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Clayton County - McDonald\Financing - Debt - Equity - Applications\A. Applications\"/>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2320" windowHeight="897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74" l="1"/>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48" i="75" s="1"/>
  <c r="J62" i="75" s="1"/>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279"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C780" i="94"/>
  <c r="B780" i="94"/>
  <c r="M780" i="94"/>
  <c r="C781" i="94"/>
  <c r="B781" i="94"/>
  <c r="M781" i="94"/>
  <c r="C782" i="94"/>
  <c r="B782" i="94"/>
  <c r="M782" i="94"/>
  <c r="C783" i="94"/>
  <c r="B783" i="94"/>
  <c r="M783" i="94"/>
  <c r="C784" i="94"/>
  <c r="B784" i="94"/>
  <c r="M784" i="94"/>
  <c r="C785" i="94"/>
  <c r="B785" i="94"/>
  <c r="M785" i="94"/>
  <c r="C786" i="94"/>
  <c r="B786" i="94"/>
  <c r="M786" i="94"/>
  <c r="C787" i="94"/>
  <c r="B787" i="94"/>
  <c r="M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80" i="94"/>
  <c r="AB782" i="94"/>
  <c r="AB784" i="94"/>
  <c r="AB786"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80" i="94"/>
  <c r="AG782" i="94"/>
  <c r="AG784" i="94"/>
  <c r="AG786"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80" i="94"/>
  <c r="AL782" i="94"/>
  <c r="AL784" i="94"/>
  <c r="AL786"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80" i="94"/>
  <c r="AQ782" i="94"/>
  <c r="AQ784" i="94"/>
  <c r="AQ786"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80" i="94"/>
  <c r="AV782"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1" i="94"/>
  <c r="X782" i="94"/>
  <c r="X783" i="94"/>
  <c r="X784"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1" i="94"/>
  <c r="Y782" i="94"/>
  <c r="Y783" i="94"/>
  <c r="Y784" i="94"/>
  <c r="Y785"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1" i="94"/>
  <c r="AI782"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48" i="75" s="1"/>
  <c r="J122" i="75" s="1"/>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c r="O1991" i="94"/>
  <c r="O330" i="72"/>
  <c r="O336" i="72"/>
  <c r="O1984" i="94"/>
  <c r="O334" i="72"/>
  <c r="O1982" i="94"/>
  <c r="O1978" i="94"/>
  <c r="O329" i="72"/>
  <c r="O1977" i="94"/>
  <c r="L306" i="72"/>
  <c r="O320" i="72"/>
  <c r="O1968" i="94" s="1"/>
  <c r="O316" i="72"/>
  <c r="O1964" i="94" s="1"/>
  <c r="O306" i="72"/>
  <c r="O1954" i="94" s="1"/>
  <c r="O298" i="72"/>
  <c r="O1946" i="94"/>
  <c r="K1934" i="94"/>
  <c r="O1936" i="94"/>
  <c r="O1927" i="94"/>
  <c r="K1870" i="94"/>
  <c r="J222" i="72"/>
  <c r="J1870" i="94" s="1"/>
  <c r="O205" i="72"/>
  <c r="O1853" i="94"/>
  <c r="I182" i="72"/>
  <c r="I1830" i="94"/>
  <c r="I1829" i="94"/>
  <c r="I1828" i="94"/>
  <c r="O1819" i="94"/>
  <c r="O107" i="72"/>
  <c r="O1755" i="94"/>
  <c r="O92" i="72"/>
  <c r="O1740" i="94" s="1"/>
  <c r="O86" i="72"/>
  <c r="O1734" i="94" s="1"/>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P1954"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H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K31" i="74" s="1"/>
  <c r="B43" i="7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E1104" i="94"/>
  <c r="A1083" i="94"/>
  <c r="A1114" i="94"/>
  <c r="A1144" i="94"/>
  <c r="E1078" i="94"/>
  <c r="C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J1072" i="94"/>
  <c r="F1072" i="94"/>
  <c r="B1072" i="94"/>
  <c r="A1072" i="94"/>
  <c r="A1104" i="94"/>
  <c r="A1134" i="94"/>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s="1"/>
  <c r="Q22" i="75"/>
  <c r="Q784" i="94" s="1"/>
  <c r="Q23" i="75"/>
  <c r="Q785" i="94"/>
  <c r="Q24" i="75"/>
  <c r="Q786" i="94" s="1"/>
  <c r="Q25" i="75"/>
  <c r="Q787" i="94" s="1"/>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IC787" i="94" s="1"/>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AM779" i="94" s="1"/>
  <c r="AM810" i="94" s="1"/>
  <c r="K821" i="94" s="1"/>
  <c r="F779" i="94"/>
  <c r="EX779" i="94" s="1"/>
  <c r="G779" i="94"/>
  <c r="H779" i="94"/>
  <c r="J779" i="94"/>
  <c r="D780" i="94"/>
  <c r="E780" i="94"/>
  <c r="AN780" i="94" s="1"/>
  <c r="F780" i="94"/>
  <c r="G780" i="94"/>
  <c r="H780" i="94"/>
  <c r="J780" i="94"/>
  <c r="D781" i="94"/>
  <c r="E781" i="94"/>
  <c r="MO781" i="94" s="1"/>
  <c r="F781" i="94"/>
  <c r="G781" i="94"/>
  <c r="H781" i="94"/>
  <c r="J781" i="94"/>
  <c r="D782" i="94"/>
  <c r="E782" i="94"/>
  <c r="AH782" i="94" s="1"/>
  <c r="F782" i="94"/>
  <c r="G782" i="94"/>
  <c r="H782" i="94"/>
  <c r="J782" i="94"/>
  <c r="GO783" i="94"/>
  <c r="D783" i="94"/>
  <c r="E783" i="94"/>
  <c r="AI783" i="94" s="1"/>
  <c r="F783" i="94"/>
  <c r="G783" i="94"/>
  <c r="H783" i="94"/>
  <c r="J783" i="94"/>
  <c r="D784" i="94"/>
  <c r="E784" i="94"/>
  <c r="AJ784" i="94" s="1"/>
  <c r="AJ810" i="94" s="1"/>
  <c r="M820" i="94" s="1"/>
  <c r="F784" i="94"/>
  <c r="G784" i="94"/>
  <c r="H784" i="94"/>
  <c r="J784" i="94"/>
  <c r="D785" i="94"/>
  <c r="E785" i="94"/>
  <c r="X785" i="94" s="1"/>
  <c r="F785" i="94"/>
  <c r="EI785" i="94" s="1"/>
  <c r="G785" i="94"/>
  <c r="H785" i="94"/>
  <c r="J785" i="94"/>
  <c r="D786" i="94"/>
  <c r="E786" i="94"/>
  <c r="Y786" i="94" s="1"/>
  <c r="F786" i="94"/>
  <c r="G786" i="94"/>
  <c r="H786" i="94"/>
  <c r="J786" i="94"/>
  <c r="D787" i="94"/>
  <c r="E787" i="94"/>
  <c r="Z787" i="94" s="1"/>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B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KX781" i="94"/>
  <c r="KP781" i="94"/>
  <c r="KH781" i="94"/>
  <c r="JZ781" i="94"/>
  <c r="JR781" i="94"/>
  <c r="JJ781" i="94"/>
  <c r="JB781" i="94"/>
  <c r="IT781" i="94"/>
  <c r="IL781" i="94"/>
  <c r="ID781" i="94"/>
  <c r="IC781" i="94"/>
  <c r="IA781" i="94"/>
  <c r="HZ781" i="94"/>
  <c r="HY781" i="94"/>
  <c r="GE781" i="94"/>
  <c r="GD781" i="94"/>
  <c r="GC781" i="94"/>
  <c r="GB781" i="94"/>
  <c r="GA781" i="94"/>
  <c r="IB780"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A570" i="94" s="1"/>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G481" i="94"/>
  <c r="G482" i="94"/>
  <c r="S471" i="94"/>
  <c r="S472" i="94" s="1"/>
  <c r="S470" i="94"/>
  <c r="J471" i="94"/>
  <c r="J470" i="94"/>
  <c r="J472" i="94" s="1"/>
  <c r="G471" i="94"/>
  <c r="G470" i="94"/>
  <c r="F470" i="94" s="1"/>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8" i="94" s="1"/>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I58" i="68"/>
  <c r="J609" i="94" s="1"/>
  <c r="W606" i="94"/>
  <c r="W593" i="94"/>
  <c r="W583" i="94"/>
  <c r="W582" i="94"/>
  <c r="M575"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c r="JT774" i="94"/>
  <c r="CY776" i="94"/>
  <c r="GI776" i="94"/>
  <c r="LQ776" i="94"/>
  <c r="DT778" i="94"/>
  <c r="MK780" i="94"/>
  <c r="DG776" i="94"/>
  <c r="EM776" i="94"/>
  <c r="GQ776" i="94"/>
  <c r="LY776" i="94"/>
  <c r="BP778" i="94"/>
  <c r="EB778" i="94"/>
  <c r="S483" i="94"/>
  <c r="U507" i="94"/>
  <c r="G536" i="94"/>
  <c r="S550" i="94"/>
  <c r="G563"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J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FW810" i="94" s="1"/>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P810" i="94" s="1"/>
  <c r="L856" i="94" s="1"/>
  <c r="DH781" i="94"/>
  <c r="DH810" i="94" s="1"/>
  <c r="CZ781" i="94"/>
  <c r="CR781" i="94"/>
  <c r="CR810" i="94" s="1"/>
  <c r="M843" i="94" s="1"/>
  <c r="CJ781" i="94"/>
  <c r="CB781" i="94"/>
  <c r="CB810" i="94" s="1"/>
  <c r="BT781" i="94"/>
  <c r="BL781" i="94"/>
  <c r="BL810" i="94" s="1"/>
  <c r="K849" i="94" s="1"/>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JY810" i="94" s="1"/>
  <c r="L879" i="94" s="1"/>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97" i="94"/>
  <c r="A802" i="94"/>
  <c r="A809" i="94"/>
  <c r="A774" i="94"/>
  <c r="A792" i="94"/>
  <c r="A805" i="94"/>
  <c r="A807" i="94"/>
  <c r="A777" i="94"/>
  <c r="A782" i="94"/>
  <c r="A798" i="94"/>
  <c r="A790" i="94"/>
  <c r="A795" i="94"/>
  <c r="A803" i="94"/>
  <c r="A775" i="94"/>
  <c r="A793" i="94"/>
  <c r="A801" i="94"/>
  <c r="A808" i="94"/>
  <c r="A780" i="94"/>
  <c r="BM780" i="94"/>
  <c r="BU780" i="94"/>
  <c r="CC780" i="94"/>
  <c r="CK780" i="94"/>
  <c r="CS780" i="94"/>
  <c r="DA780" i="94"/>
  <c r="DA810" i="94" s="1"/>
  <c r="L859" i="94" s="1"/>
  <c r="DI780" i="94"/>
  <c r="DQ780" i="94"/>
  <c r="DY780" i="94"/>
  <c r="EO780" i="94"/>
  <c r="EW780" i="94"/>
  <c r="FE780" i="94"/>
  <c r="FM780" i="94"/>
  <c r="FU780" i="94"/>
  <c r="GK780" i="94"/>
  <c r="GS780" i="94"/>
  <c r="GS810" i="94" s="1"/>
  <c r="HA780" i="94"/>
  <c r="HI780" i="94"/>
  <c r="HQ780" i="94"/>
  <c r="LI780" i="94"/>
  <c r="LI810" i="94" s="1"/>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N810" i="94" s="1"/>
  <c r="M849" i="94" s="1"/>
  <c r="BV780" i="94"/>
  <c r="CD780" i="94"/>
  <c r="CD810" i="94" s="1"/>
  <c r="N846" i="94" s="1"/>
  <c r="CL780" i="94"/>
  <c r="CT780" i="94"/>
  <c r="CT810" i="94" s="1"/>
  <c r="J860" i="94" s="1"/>
  <c r="DB780" i="94"/>
  <c r="DJ780" i="94"/>
  <c r="DJ810" i="94" s="1"/>
  <c r="K857" i="94" s="1"/>
  <c r="DR780" i="94"/>
  <c r="DZ780" i="94"/>
  <c r="DZ810" i="94" s="1"/>
  <c r="L854" i="94" s="1"/>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E810" i="94" s="1"/>
  <c r="J845" i="94" s="1"/>
  <c r="CM780" i="94"/>
  <c r="CU780" i="94"/>
  <c r="DC780" i="94"/>
  <c r="DK780" i="94"/>
  <c r="DK810" i="94" s="1"/>
  <c r="L857" i="94" s="1"/>
  <c r="DS780" i="94"/>
  <c r="EA780" i="94"/>
  <c r="EA810" i="94" s="1"/>
  <c r="M854" i="94" s="1"/>
  <c r="EI780" i="94"/>
  <c r="EQ780" i="94"/>
  <c r="EY780" i="94"/>
  <c r="FG780" i="94"/>
  <c r="FO780" i="94"/>
  <c r="GM780" i="94"/>
  <c r="GU780" i="94"/>
  <c r="HC780" i="94"/>
  <c r="HK780" i="94"/>
  <c r="HS780" i="94"/>
  <c r="LK780" i="94"/>
  <c r="LT780" i="94"/>
  <c r="CZ788" i="94"/>
  <c r="GJ788" i="94"/>
  <c r="DI796" i="94"/>
  <c r="EO796" i="94"/>
  <c r="GS796" i="94"/>
  <c r="CN804" i="94"/>
  <c r="BP780" i="94"/>
  <c r="BX780" i="94"/>
  <c r="BX810" i="94" s="1"/>
  <c r="M847" i="94" s="1"/>
  <c r="CF780" i="94"/>
  <c r="CN780" i="94"/>
  <c r="CN810" i="94" s="1"/>
  <c r="N844" i="94" s="1"/>
  <c r="CV780" i="94"/>
  <c r="DD780" i="94"/>
  <c r="DD810" i="94" s="1"/>
  <c r="J858" i="94" s="1"/>
  <c r="DL780" i="94"/>
  <c r="DT780" i="94"/>
  <c r="EB780" i="94"/>
  <c r="EJ780" i="94"/>
  <c r="ER780" i="94"/>
  <c r="EZ780" i="94"/>
  <c r="FH780" i="94"/>
  <c r="FP780" i="94"/>
  <c r="GF780" i="94"/>
  <c r="GN780" i="94"/>
  <c r="GN810" i="94" s="1"/>
  <c r="M864" i="94" s="1"/>
  <c r="GV780" i="94"/>
  <c r="HD780" i="94"/>
  <c r="HL780" i="94"/>
  <c r="HT780" i="94"/>
  <c r="LL780" i="94"/>
  <c r="DH788" i="94"/>
  <c r="EN788" i="94"/>
  <c r="GR788" i="94"/>
  <c r="DQ796" i="94"/>
  <c r="EW796" i="94"/>
  <c r="HA796" i="94"/>
  <c r="LI796" i="94"/>
  <c r="CV804" i="94"/>
  <c r="MC780" i="94"/>
  <c r="LU780" i="94"/>
  <c r="LY780" i="94"/>
  <c r="LY810" i="94" s="1"/>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CX810" i="94" s="1"/>
  <c r="N860" i="94" s="1"/>
  <c r="DF780" i="94"/>
  <c r="DN780" i="94"/>
  <c r="DN810" i="94" s="1"/>
  <c r="J856" i="94" s="1"/>
  <c r="DV780" i="94"/>
  <c r="EL780" i="94"/>
  <c r="ET780" i="94"/>
  <c r="FB780" i="94"/>
  <c r="FJ780" i="94"/>
  <c r="FR780" i="94"/>
  <c r="GH780" i="94"/>
  <c r="GP780" i="94"/>
  <c r="GP810" i="94" s="1"/>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O810" i="94" s="1"/>
  <c r="K856" i="94" s="1"/>
  <c r="DW780" i="94"/>
  <c r="EM780" i="94"/>
  <c r="EU780" i="94"/>
  <c r="FC780" i="94"/>
  <c r="FK780" i="94"/>
  <c r="FS780" i="94"/>
  <c r="GI780" i="94"/>
  <c r="GQ780" i="94"/>
  <c r="GY780" i="94"/>
  <c r="HG780" i="94"/>
  <c r="HG810" i="94" s="1"/>
  <c r="HO780" i="94"/>
  <c r="HW780" i="94"/>
  <c r="HW810" i="94" s="1"/>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F513" i="94"/>
  <c r="U521" i="94"/>
  <c r="S509" i="94"/>
  <c r="P509" i="94"/>
  <c r="M509" i="94"/>
  <c r="M577" i="94"/>
  <c r="M594" i="94"/>
  <c r="M596" i="94"/>
  <c r="M598"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L61" i="94" s="1"/>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HY810" i="94"/>
  <c r="E1028" i="94"/>
  <c r="K895" i="94"/>
  <c r="K852" i="94"/>
  <c r="P577" i="94"/>
  <c r="P594" i="94"/>
  <c r="P596" i="94"/>
  <c r="P598" i="94"/>
  <c r="MQ810" i="94"/>
  <c r="GA810" i="94"/>
  <c r="J917" i="94" s="1"/>
  <c r="BV810" i="94"/>
  <c r="K847" i="94" s="1"/>
  <c r="HJ810" i="94"/>
  <c r="J869" i="94" s="1"/>
  <c r="IV810" i="94"/>
  <c r="M893" i="94" s="1"/>
  <c r="KN810" i="94"/>
  <c r="L882" i="94" s="1"/>
  <c r="L901" i="94" s="1"/>
  <c r="MM810" i="94"/>
  <c r="DQ810" i="94"/>
  <c r="M856" i="94" s="1"/>
  <c r="CF810" i="94"/>
  <c r="K845" i="94" s="1"/>
  <c r="GR810" i="94"/>
  <c r="IR810" i="94"/>
  <c r="N892" i="94" s="1"/>
  <c r="LL810" i="94"/>
  <c r="GH810" i="94"/>
  <c r="L863" i="94" s="1"/>
  <c r="N858" i="94"/>
  <c r="L846" i="94"/>
  <c r="KW810" i="94"/>
  <c r="K884" i="94" s="1"/>
  <c r="IF810" i="94"/>
  <c r="L886" i="94" s="1"/>
  <c r="IS810" i="94"/>
  <c r="J893" i="94" s="1"/>
  <c r="JK810" i="94"/>
  <c r="M888" i="94" s="1"/>
  <c r="JD810" i="94"/>
  <c r="K891" i="94" s="1"/>
  <c r="IY810" i="94"/>
  <c r="K890" i="94" s="1"/>
  <c r="JI810" i="94"/>
  <c r="K888" i="94" s="1"/>
  <c r="JW810" i="94"/>
  <c r="J879" i="94" s="1"/>
  <c r="JM810" i="94"/>
  <c r="J889" i="94" s="1"/>
  <c r="KU810" i="94"/>
  <c r="N883" i="94" s="1"/>
  <c r="N902" i="94" s="1"/>
  <c r="KZ810" i="94"/>
  <c r="N884" i="94" s="1"/>
  <c r="JR810" i="94"/>
  <c r="J878" i="94" s="1"/>
  <c r="IL810" i="94"/>
  <c r="M887" i="94" s="1"/>
  <c r="KR810" i="94"/>
  <c r="K883" i="94" s="1"/>
  <c r="K902" i="94" s="1"/>
  <c r="HK810" i="94"/>
  <c r="K869" i="94" s="1"/>
  <c r="DV810" i="94"/>
  <c r="M855" i="94" s="1"/>
  <c r="DE810" i="94"/>
  <c r="K858" i="94" s="1"/>
  <c r="DX810" i="94"/>
  <c r="J854" i="94" s="1"/>
  <c r="GO810" i="94"/>
  <c r="N864" i="94" s="1"/>
  <c r="EN810" i="94"/>
  <c r="K908" i="94" s="1"/>
  <c r="DT810" i="94"/>
  <c r="K855" i="94" s="1"/>
  <c r="DI810" i="94"/>
  <c r="J857" i="94" s="1"/>
  <c r="GY810" i="94"/>
  <c r="N866" i="94" s="1"/>
  <c r="FL810" i="94"/>
  <c r="J913" i="94" s="1"/>
  <c r="LF810" i="94"/>
  <c r="CU810" i="94"/>
  <c r="K860" i="94" s="1"/>
  <c r="LS810" i="94"/>
  <c r="GI810" i="94"/>
  <c r="M863" i="94" s="1"/>
  <c r="V577" i="94"/>
  <c r="L408" i="94"/>
  <c r="F34" i="94"/>
  <c r="A24" i="94" s="1"/>
  <c r="P201" i="94"/>
  <c r="P113" i="94"/>
  <c r="H113" i="94"/>
  <c r="P111" i="94"/>
  <c r="H111" i="94"/>
  <c r="P110" i="94"/>
  <c r="H110" i="94"/>
  <c r="N111" i="94"/>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G48" i="75" s="1"/>
  <c r="M96" i="75" s="1"/>
  <c r="DF17" i="75"/>
  <c r="DE17" i="75"/>
  <c r="DE48" i="75" s="1"/>
  <c r="K96" i="75" s="1"/>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W48" i="75" s="1"/>
  <c r="M98" i="75" s="1"/>
  <c r="CV17" i="75"/>
  <c r="CU17" i="75"/>
  <c r="CU48" i="75" s="1"/>
  <c r="K98" i="75" s="1"/>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c r="A1047" i="93" s="1"/>
  <c r="A1075" i="93" s="1"/>
  <c r="A987" i="93"/>
  <c r="A1017" i="93"/>
  <c r="A1046" i="93" s="1"/>
  <c r="A1074" i="93" s="1"/>
  <c r="K976" i="93"/>
  <c r="K992" i="93" s="1"/>
  <c r="J976" i="93"/>
  <c r="I976" i="93"/>
  <c r="H976" i="93"/>
  <c r="G976" i="93"/>
  <c r="F976" i="93"/>
  <c r="E976" i="93"/>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A782" i="93" s="1"/>
  <c r="F781" i="93"/>
  <c r="F780" i="93"/>
  <c r="F779" i="93"/>
  <c r="F778" i="93"/>
  <c r="F777" i="93"/>
  <c r="F776" i="93"/>
  <c r="F775" i="93"/>
  <c r="F774" i="93"/>
  <c r="A774" i="93" s="1"/>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EX781" i="93" s="1"/>
  <c r="C780" i="93"/>
  <c r="C779" i="93"/>
  <c r="CO779" i="93" s="1"/>
  <c r="C778" i="93"/>
  <c r="C777" i="93"/>
  <c r="GP777" i="93" s="1"/>
  <c r="C776" i="93"/>
  <c r="C775" i="93"/>
  <c r="GX775" i="93" s="1"/>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IH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O1477" i="93"/>
  <c r="N1477" i="93"/>
  <c r="A1097" i="93"/>
  <c r="H1097" i="93"/>
  <c r="DA780" i="93"/>
  <c r="FZ767" i="93"/>
  <c r="J912" i="93"/>
  <c r="HF770" i="93"/>
  <c r="GB778" i="93"/>
  <c r="BY772" i="93"/>
  <c r="BV780" i="93"/>
  <c r="CZ804" i="93"/>
  <c r="BU796" i="93"/>
  <c r="EZ796" i="93"/>
  <c r="BY780" i="93"/>
  <c r="DC780" i="93"/>
  <c r="DA788" i="93"/>
  <c r="CK771" i="93"/>
  <c r="CK787" i="93"/>
  <c r="BW771" i="93"/>
  <c r="IK787" i="93"/>
  <c r="G907" i="93"/>
  <c r="J916" i="93"/>
  <c r="K894" i="93"/>
  <c r="G898" i="93"/>
  <c r="O898" i="93"/>
  <c r="O907" i="93"/>
  <c r="EW789" i="93"/>
  <c r="IH771" i="93"/>
  <c r="FA773" i="93"/>
  <c r="EZ781" i="93"/>
  <c r="EY789" i="93"/>
  <c r="IL787"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W781" i="93"/>
  <c r="BZ787" i="93"/>
  <c r="BX795" i="93"/>
  <c r="AD771" i="93"/>
  <c r="CP771" i="93"/>
  <c r="II779" i="93"/>
  <c r="CY787" i="93"/>
  <c r="CY795" i="93"/>
  <c r="AH803" i="93"/>
  <c r="AG771" i="93"/>
  <c r="DC787" i="93"/>
  <c r="DA771" i="93"/>
  <c r="DB795" i="93"/>
  <c r="AL771" i="93"/>
  <c r="EZ771" i="93"/>
  <c r="Z787" i="93"/>
  <c r="EX789" i="93"/>
  <c r="EY795" i="93"/>
  <c r="W795" i="93"/>
  <c r="CL787" i="93"/>
  <c r="DB779" i="93"/>
  <c r="BV787" i="93"/>
  <c r="EZ787" i="93"/>
  <c r="CR795" i="93"/>
  <c r="GS786" i="93"/>
  <c r="AI795" i="93"/>
  <c r="EZ795" i="93"/>
  <c r="DC772" i="93"/>
  <c r="CZ780"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G771"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P885" i="93"/>
  <c r="O894" i="93"/>
  <c r="CZ778" i="93"/>
  <c r="CP769" i="93"/>
  <c r="HI769" i="93"/>
  <c r="EW769" i="93"/>
  <c r="HX769" i="93"/>
  <c r="HV773" i="93"/>
  <c r="EY769" i="93"/>
  <c r="HZ769" i="93"/>
  <c r="CB769" i="93"/>
  <c r="AH771" i="93"/>
  <c r="BX771" i="93"/>
  <c r="CL771" i="93"/>
  <c r="DC771" i="93"/>
  <c r="ID771" i="93"/>
  <c r="BM777" i="93"/>
  <c r="BU779" i="93"/>
  <c r="DC779" i="93"/>
  <c r="AE787" i="93"/>
  <c r="BX787" i="93"/>
  <c r="CP787" i="93"/>
  <c r="EX787" i="93"/>
  <c r="AB795" i="93"/>
  <c r="BY795" i="93"/>
  <c r="CZ795" i="93"/>
  <c r="FA795" i="93"/>
  <c r="ID777" i="93"/>
  <c r="CL785" i="93"/>
  <c r="JN773" i="93"/>
  <c r="DQ771" i="93"/>
  <c r="HL773" i="93"/>
  <c r="HK789" i="93"/>
  <c r="K889" i="93"/>
  <c r="G894" i="93"/>
  <c r="K898" i="93"/>
  <c r="G903" i="93"/>
  <c r="O903" i="93"/>
  <c r="K907" i="93"/>
  <c r="H912" i="93"/>
  <c r="Y769" i="93"/>
  <c r="CM769" i="93"/>
  <c r="AK771" i="93"/>
  <c r="BY771" i="93"/>
  <c r="CO771" i="93"/>
  <c r="DU771" i="93"/>
  <c r="CR777" i="93"/>
  <c r="BV779" i="93"/>
  <c r="EW779" i="93"/>
  <c r="AG787" i="93"/>
  <c r="BY787" i="93"/>
  <c r="CQ787" i="93"/>
  <c r="EY787" i="93"/>
  <c r="AC795" i="93"/>
  <c r="CB795" i="93"/>
  <c r="DA795" i="93"/>
  <c r="I885" i="93"/>
  <c r="AN769" i="93"/>
  <c r="Y771" i="93"/>
  <c r="CC771" i="93"/>
  <c r="BX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BY779" i="93"/>
  <c r="FA779" i="93"/>
  <c r="AP787" i="93"/>
  <c r="CE787" i="93"/>
  <c r="DA787" i="93"/>
  <c r="IE787" i="93"/>
  <c r="BU795" i="93"/>
  <c r="CK795" i="93"/>
  <c r="EW795" i="93"/>
  <c r="IM795" i="93"/>
  <c r="I894" i="93"/>
  <c r="M898" i="93"/>
  <c r="AC771" i="93"/>
  <c r="BU771" i="93"/>
  <c r="CG771" i="93"/>
  <c r="CZ771" i="93"/>
  <c r="EY771" i="93"/>
  <c r="AI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BI777" i="93"/>
  <c r="FR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AR777" i="93"/>
  <c r="CX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BZ777" i="93"/>
  <c r="FX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EX777" i="93"/>
  <c r="HO777" i="93"/>
  <c r="HL781" i="93"/>
  <c r="HJ768" i="93"/>
  <c r="AJ769" i="93"/>
  <c r="AY769" i="93"/>
  <c r="BR769" i="93"/>
  <c r="CK769" i="93"/>
  <c r="CZ769" i="93"/>
  <c r="FJ769" i="93"/>
  <c r="GB769" i="93"/>
  <c r="GX769" i="93"/>
  <c r="HS769" i="93"/>
  <c r="IL769" i="93"/>
  <c r="DJ771" i="93"/>
  <c r="BW772" i="93"/>
  <c r="DL772" i="93"/>
  <c r="IJ772" i="93"/>
  <c r="FJ773" i="93"/>
  <c r="GG773" i="93"/>
  <c r="HI773" i="93"/>
  <c r="BD777" i="93"/>
  <c r="EY777" i="93"/>
  <c r="HZ777" i="93"/>
  <c r="CY780" i="93"/>
  <c r="FA780" i="93"/>
  <c r="BR785" i="93"/>
  <c r="CY788" i="93"/>
  <c r="EY788" i="93"/>
  <c r="CZ796" i="93"/>
  <c r="FA796" i="93"/>
  <c r="DB804" i="93"/>
  <c r="N885" i="93"/>
  <c r="AX769" i="93"/>
  <c r="CE769" i="93"/>
  <c r="GU769" i="93"/>
  <c r="DE771" i="93"/>
  <c r="AL769" i="93"/>
  <c r="BE769" i="93"/>
  <c r="BT769" i="93"/>
  <c r="CL769" i="93"/>
  <c r="DA769" i="93"/>
  <c r="FL769" i="93"/>
  <c r="GH769" i="93"/>
  <c r="GZ769" i="93"/>
  <c r="HV769" i="93"/>
  <c r="BX772" i="93"/>
  <c r="EW772" i="93"/>
  <c r="FM773" i="93"/>
  <c r="GO773" i="93"/>
  <c r="BG777" i="93"/>
  <c r="FC777" i="93"/>
  <c r="Y788" i="93"/>
  <c r="CZ788" i="93"/>
  <c r="FJ768" i="93"/>
  <c r="IB768" i="93"/>
  <c r="GM772" i="93"/>
  <c r="JC781" i="93"/>
  <c r="GM767" i="93"/>
  <c r="GX767" i="93"/>
  <c r="GB768" i="93"/>
  <c r="JM768" i="93"/>
  <c r="FU771" i="93"/>
  <c r="GN772" i="93"/>
  <c r="BP773" i="93"/>
  <c r="IS775" i="93"/>
  <c r="HM767" i="93"/>
  <c r="GC768" i="93"/>
  <c r="JN768" i="93"/>
  <c r="GU771" i="93"/>
  <c r="GO772" i="93"/>
  <c r="DP773" i="93"/>
  <c r="IB767" i="93"/>
  <c r="HH772" i="93"/>
  <c r="JK775" i="93"/>
  <c r="EY775" i="93"/>
  <c r="BH767" i="93"/>
  <c r="GP768" i="93"/>
  <c r="CY767" i="93"/>
  <c r="JP767" i="93"/>
  <c r="GU768" i="93"/>
  <c r="EG769" i="93"/>
  <c r="IW769" i="93"/>
  <c r="HK772" i="93"/>
  <c r="FY767" i="93"/>
  <c r="DR769" i="93"/>
  <c r="EZ767" i="93"/>
  <c r="DG768" i="93"/>
  <c r="FI772"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Z805" i="93" s="1"/>
  <c r="IV775" i="93"/>
  <c r="IR775" i="93"/>
  <c r="IN775" i="93"/>
  <c r="IJ775" i="93"/>
  <c r="IF775" i="93"/>
  <c r="EV775" i="93"/>
  <c r="ER775" i="93"/>
  <c r="EN775" i="93"/>
  <c r="EN805" i="93" s="1"/>
  <c r="K836" i="93" s="1"/>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I805" i="93" s="1"/>
  <c r="J830" i="93" s="1"/>
  <c r="DN775" i="93"/>
  <c r="DS775" i="93"/>
  <c r="DY775" i="93"/>
  <c r="ED775" i="93"/>
  <c r="EI775" i="93"/>
  <c r="EO775" i="93"/>
  <c r="ET775" i="93"/>
  <c r="IE775" i="93"/>
  <c r="IK775" i="93"/>
  <c r="IP775" i="93"/>
  <c r="IP805" i="93" s="1"/>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R805" i="93" s="1"/>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V805" i="93" s="1"/>
  <c r="IR778" i="93"/>
  <c r="IN778" i="93"/>
  <c r="IN805" i="93" s="1"/>
  <c r="IJ778" i="93"/>
  <c r="IF778" i="93"/>
  <c r="EV778" i="93"/>
  <c r="ER778" i="93"/>
  <c r="ER805" i="93" s="1"/>
  <c r="EN778" i="93"/>
  <c r="EJ778" i="93"/>
  <c r="EF778" i="93"/>
  <c r="EB778" i="93"/>
  <c r="EB805" i="93" s="1"/>
  <c r="N833" i="93" s="1"/>
  <c r="DX778" i="93"/>
  <c r="DT778" i="93"/>
  <c r="DP778" i="93"/>
  <c r="DL778" i="93"/>
  <c r="DH778" i="93"/>
  <c r="DD778" i="93"/>
  <c r="DD805" i="93" s="1"/>
  <c r="J829" i="93" s="1"/>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F805" i="93" s="1"/>
  <c r="L829" i="93" s="1"/>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J805" i="93" s="1"/>
  <c r="K830" i="93" s="1"/>
  <c r="DO775" i="93"/>
  <c r="DU775" i="93"/>
  <c r="DZ775" i="93"/>
  <c r="EE775" i="93"/>
  <c r="EE805" i="93" s="1"/>
  <c r="EK775" i="93"/>
  <c r="EP775" i="93"/>
  <c r="EP805" i="93" s="1"/>
  <c r="M836" i="93" s="1"/>
  <c r="EU775" i="93"/>
  <c r="IG775" i="93"/>
  <c r="IL775" i="93"/>
  <c r="IQ775" i="93"/>
  <c r="IQ805" i="93" s="1"/>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I805" i="93" s="1"/>
  <c r="BO782" i="93"/>
  <c r="BT782" i="93"/>
  <c r="BT805" i="93" s="1"/>
  <c r="N825" i="93" s="1"/>
  <c r="CC782" i="93"/>
  <c r="CI782" i="93"/>
  <c r="CN782" i="93"/>
  <c r="CS782" i="93"/>
  <c r="DE782" i="93"/>
  <c r="DK782" i="93"/>
  <c r="DP782" i="93"/>
  <c r="DU782" i="93"/>
  <c r="EA782" i="93"/>
  <c r="EF782" i="93"/>
  <c r="EK782" i="93"/>
  <c r="EQ782" i="93"/>
  <c r="EQ805" i="93" s="1"/>
  <c r="N836" i="93" s="1"/>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s="1"/>
  <c r="D977" i="93"/>
  <c r="D975" i="93"/>
  <c r="D971" i="93"/>
  <c r="E969" i="93"/>
  <c r="D970" i="93"/>
  <c r="HH805" i="93"/>
  <c r="M847" i="93" s="1"/>
  <c r="FY805" i="93"/>
  <c r="M856" i="93" s="1"/>
  <c r="JP805" i="93"/>
  <c r="GQ805" i="93"/>
  <c r="K844" i="93" s="1"/>
  <c r="GJ805" i="93"/>
  <c r="N854" i="93" s="1"/>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L805" i="93"/>
  <c r="J858" i="93" s="1"/>
  <c r="JL805" i="93"/>
  <c r="JF805" i="93"/>
  <c r="GL805" i="93"/>
  <c r="K855" i="93" s="1"/>
  <c r="GS805" i="93"/>
  <c r="M844" i="93" s="1"/>
  <c r="HT805" i="93"/>
  <c r="J850" i="93" s="1"/>
  <c r="GF805" i="93"/>
  <c r="J854" i="93" s="1"/>
  <c r="BU805" i="93"/>
  <c r="J818" i="93" s="1"/>
  <c r="HF805" i="93"/>
  <c r="K847" i="93" s="1"/>
  <c r="GK805" i="93"/>
  <c r="J855" i="93" s="1"/>
  <c r="FQ805" i="93"/>
  <c r="J859" i="93" s="1"/>
  <c r="GB805" i="93"/>
  <c r="K857" i="93" s="1"/>
  <c r="HX805" i="93"/>
  <c r="N850" i="93" s="1"/>
  <c r="BQ805" i="93"/>
  <c r="K825" i="93" s="1"/>
  <c r="FX805" i="93"/>
  <c r="L856" i="93" s="1"/>
  <c r="HV805" i="93"/>
  <c r="L850" i="93" s="1"/>
  <c r="GZ805" i="93"/>
  <c r="J846" i="93" s="1"/>
  <c r="GE805" i="93"/>
  <c r="N857" i="93" s="1"/>
  <c r="FJ805" i="93"/>
  <c r="M853" i="93" s="1"/>
  <c r="HZ805" i="93"/>
  <c r="K851" i="93" s="1"/>
  <c r="HE805" i="93"/>
  <c r="J847" i="93" s="1"/>
  <c r="FE805" i="93"/>
  <c r="M852" i="93" s="1"/>
  <c r="FU805" i="93"/>
  <c r="N859" i="93" s="1"/>
  <c r="HA805" i="93"/>
  <c r="K846" i="93" s="1"/>
  <c r="HQ805" i="93"/>
  <c r="L849" i="93" s="1"/>
  <c r="L866" i="93" s="1"/>
  <c r="FP805" i="93"/>
  <c r="N858" i="93" s="1"/>
  <c r="GV805" i="93"/>
  <c r="K845" i="93" s="1"/>
  <c r="IB805" i="93"/>
  <c r="M851" i="93" s="1"/>
  <c r="JN805" i="93"/>
  <c r="DP805" i="93"/>
  <c r="FV805" i="93"/>
  <c r="J856" i="93" s="1"/>
  <c r="FO805" i="93"/>
  <c r="M858" i="93" s="1"/>
  <c r="HP805" i="93"/>
  <c r="K849" i="93" s="1"/>
  <c r="K866" i="93" s="1"/>
  <c r="GU805" i="93"/>
  <c r="J845" i="93" s="1"/>
  <c r="FZ805" i="93"/>
  <c r="N856" i="93" s="1"/>
  <c r="JQ805" i="93"/>
  <c r="HU805" i="93"/>
  <c r="K850" i="93" s="1"/>
  <c r="GY805" i="93"/>
  <c r="N845" i="93" s="1"/>
  <c r="GD805" i="93"/>
  <c r="M857" i="93" s="1"/>
  <c r="FI805" i="93"/>
  <c r="L853" i="93" s="1"/>
  <c r="JE805" i="93"/>
  <c r="HY805" i="93"/>
  <c r="J851" i="93" s="1"/>
  <c r="HC805" i="93"/>
  <c r="M846" i="93" s="1"/>
  <c r="GH805" i="93"/>
  <c r="L854" i="93" s="1"/>
  <c r="FM805" i="93"/>
  <c r="K858" i="93" s="1"/>
  <c r="JI805" i="93"/>
  <c r="BW805" i="93"/>
  <c r="L818" i="93" s="1"/>
  <c r="HN805" i="93"/>
  <c r="N848" i="93" s="1"/>
  <c r="N865" i="93" s="1"/>
  <c r="HW805" i="93"/>
  <c r="M850" i="93" s="1"/>
  <c r="FK805" i="93"/>
  <c r="N853" i="93" s="1"/>
  <c r="GA805" i="93"/>
  <c r="J857" i="93" s="1"/>
  <c r="EW805" i="93"/>
  <c r="JH805" i="93"/>
  <c r="FD805" i="93"/>
  <c r="L852" i="93" s="1"/>
  <c r="GO805" i="93"/>
  <c r="N855" i="93" s="1"/>
  <c r="GW805" i="93"/>
  <c r="L845" i="93" s="1"/>
  <c r="GR805" i="93"/>
  <c r="L844" i="93" s="1"/>
  <c r="JJ805" i="93"/>
  <c r="DL805" i="93"/>
  <c r="M830" i="93" s="1"/>
  <c r="X805" i="93"/>
  <c r="K813" i="93" s="1"/>
  <c r="EA805" i="93"/>
  <c r="M833" i="93" s="1"/>
  <c r="BY805" i="93"/>
  <c r="N818" i="93" s="1"/>
  <c r="HO805" i="93"/>
  <c r="J849" i="93" s="1"/>
  <c r="J866" i="93" s="1"/>
  <c r="FG805" i="93"/>
  <c r="J853" i="93" s="1"/>
  <c r="HG805" i="93"/>
  <c r="L847" i="93" s="1"/>
  <c r="JO805" i="93"/>
  <c r="FF805" i="93"/>
  <c r="N852" i="93" s="1"/>
  <c r="FC805" i="93"/>
  <c r="K852" i="93" s="1"/>
  <c r="HD805" i="93"/>
  <c r="N846" i="93" s="1"/>
  <c r="N867" i="93" s="1"/>
  <c r="FH805" i="93"/>
  <c r="K853" i="93" s="1"/>
  <c r="K862" i="93" s="1"/>
  <c r="GC805" i="93"/>
  <c r="L857" i="93" s="1"/>
  <c r="FB805" i="93"/>
  <c r="J852" i="93" s="1"/>
  <c r="CT805" i="93"/>
  <c r="FW805" i="93"/>
  <c r="K856" i="93" s="1"/>
  <c r="HR805" i="93"/>
  <c r="M849" i="93" s="1"/>
  <c r="M866" i="93" s="1"/>
  <c r="GG805" i="93"/>
  <c r="K854" i="93" s="1"/>
  <c r="BX805" i="93"/>
  <c r="M818" i="93" s="1"/>
  <c r="DK805" i="93"/>
  <c r="L830" i="93" s="1"/>
  <c r="BO805" i="93"/>
  <c r="N826" i="93" s="1"/>
  <c r="BD805" i="93"/>
  <c r="M821" i="93" s="1"/>
  <c r="CN805" i="93"/>
  <c r="EG805" i="93"/>
  <c r="EM805" i="93"/>
  <c r="J836" i="93" s="1"/>
  <c r="DG805" i="93"/>
  <c r="M829" i="93" s="1"/>
  <c r="AU805" i="93"/>
  <c r="DS805" i="93"/>
  <c r="J832" i="93" s="1"/>
  <c r="IU805" i="93"/>
  <c r="IE805" i="93"/>
  <c r="IX805" i="93"/>
  <c r="AE805" i="93"/>
  <c r="M814" i="93" s="1"/>
  <c r="DO805" i="93"/>
  <c r="AJ805" i="93"/>
  <c r="AI805" i="93"/>
  <c r="BL805" i="93"/>
  <c r="K826" i="93" s="1"/>
  <c r="EJ805" i="93"/>
  <c r="L835" i="93" s="1"/>
  <c r="BM805" i="93"/>
  <c r="L826" i="93" s="1"/>
  <c r="EO805" i="93"/>
  <c r="L836" i="93" s="1"/>
  <c r="Z805" i="93"/>
  <c r="M813" i="93" s="1"/>
  <c r="M815" i="93" s="1"/>
  <c r="BE805" i="93"/>
  <c r="N821" i="93" s="1"/>
  <c r="DQ805" i="93"/>
  <c r="IG805" i="93"/>
  <c r="IR805" i="93"/>
  <c r="BH805" i="93"/>
  <c r="DH805" i="93"/>
  <c r="N829" i="93" s="1"/>
  <c r="JA805" i="93"/>
  <c r="EU805" i="93"/>
  <c r="BS805" i="93"/>
  <c r="M825" i="93" s="1"/>
  <c r="BC805" i="93"/>
  <c r="L821" i="93" s="1"/>
  <c r="AZ805" i="93"/>
  <c r="N822" i="93" s="1"/>
  <c r="BP805" i="93"/>
  <c r="J825" i="93" s="1"/>
  <c r="DX805" i="93"/>
  <c r="J833" i="93" s="1"/>
  <c r="AK805" i="93"/>
  <c r="BA805" i="93"/>
  <c r="J821" i="93" s="1"/>
  <c r="DM805" i="93"/>
  <c r="N830" i="93" s="1"/>
  <c r="AT805" i="93"/>
  <c r="EL805" i="93"/>
  <c r="N835" i="93" s="1"/>
  <c r="EK805" i="93"/>
  <c r="M835" i="93" s="1"/>
  <c r="AY805" i="93"/>
  <c r="M822" i="93" s="1"/>
  <c r="EI805" i="93"/>
  <c r="K835" i="93" s="1"/>
  <c r="IY805" i="93"/>
  <c r="DW805" i="93"/>
  <c r="N832" i="93" s="1"/>
  <c r="AQ805" i="93"/>
  <c r="IK805" i="93"/>
  <c r="DT805" i="93"/>
  <c r="K832" i="93" s="1"/>
  <c r="IF805" i="93"/>
  <c r="AG805" i="93"/>
  <c r="DY805" i="93"/>
  <c r="K833" i="93" s="1"/>
  <c r="BF805" i="93"/>
  <c r="ES805" i="93"/>
  <c r="BJ805" i="93"/>
  <c r="IT805" i="93"/>
  <c r="AX805" i="93"/>
  <c r="L822" i="93" s="1"/>
  <c r="BN805" i="93"/>
  <c r="M826" i="93" s="1"/>
  <c r="DZ805" i="93"/>
  <c r="L833" i="93" s="1"/>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S527" i="93" s="1"/>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J513" i="93" s="1"/>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F461" i="93" s="1"/>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G453" i="93"/>
  <c r="J500" i="93"/>
  <c r="M459" i="93"/>
  <c r="P519" i="93"/>
  <c r="U540" i="93"/>
  <c r="S562" i="93"/>
  <c r="S453" i="93"/>
  <c r="S513" i="93"/>
  <c r="D474" i="93"/>
  <c r="L393" i="93"/>
  <c r="J746" i="93"/>
  <c r="A452" i="93"/>
  <c r="U451" i="93"/>
  <c r="J469" i="93"/>
  <c r="P474" i="93"/>
  <c r="U526" i="93"/>
  <c r="A546" i="93"/>
  <c r="M513" i="93"/>
  <c r="G463" i="93"/>
  <c r="E471" i="93" s="1"/>
  <c r="U565" i="93"/>
  <c r="O943" i="93"/>
  <c r="L867" i="93"/>
  <c r="M453" i="93"/>
  <c r="G541" i="93"/>
  <c r="A450" i="93"/>
  <c r="S541" i="93"/>
  <c r="G547" i="93"/>
  <c r="S463" i="93"/>
  <c r="S519" i="93"/>
  <c r="P562" i="93"/>
  <c r="P582" i="93"/>
  <c r="P586" i="93"/>
  <c r="M730" i="93"/>
  <c r="L746" i="93"/>
  <c r="S474" i="93"/>
  <c r="M562" i="93"/>
  <c r="G566" i="93"/>
  <c r="S566" i="93"/>
  <c r="M746" i="93"/>
  <c r="K746" i="93"/>
  <c r="M469" i="93"/>
  <c r="P469" i="93"/>
  <c r="S469" i="93"/>
  <c r="U452" i="93"/>
  <c r="M500" i="93"/>
  <c r="P500" i="93"/>
  <c r="S547" i="93"/>
  <c r="G554" i="93"/>
  <c r="J582" i="93"/>
  <c r="J586" i="93"/>
  <c r="V568" i="93"/>
  <c r="J453" i="93"/>
  <c r="J463" i="93"/>
  <c r="M474" i="93"/>
  <c r="U512" i="93"/>
  <c r="P513" i="93"/>
  <c r="I730" i="93"/>
  <c r="G513" i="93"/>
  <c r="J519" i="93"/>
  <c r="M519" i="93"/>
  <c r="J566" i="93"/>
  <c r="P566" i="93"/>
  <c r="J730" i="93"/>
  <c r="I746" i="93"/>
  <c r="E977" i="93"/>
  <c r="E975" i="93"/>
  <c r="E971" i="93"/>
  <c r="E970" i="93"/>
  <c r="F969" i="93"/>
  <c r="D972" i="93"/>
  <c r="D978" i="93"/>
  <c r="P942" i="93"/>
  <c r="K868"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c r="P585" i="93"/>
  <c r="P587" i="93"/>
  <c r="P589" i="93"/>
  <c r="M568" i="93"/>
  <c r="M585" i="93"/>
  <c r="M587" i="93"/>
  <c r="M589" i="93"/>
  <c r="E972" i="93"/>
  <c r="E978" i="93"/>
  <c r="F971" i="93"/>
  <c r="G969" i="93"/>
  <c r="F977" i="93"/>
  <c r="F975" i="93"/>
  <c r="F970"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G970" i="93"/>
  <c r="H969" i="93"/>
  <c r="G971" i="93"/>
  <c r="G977" i="93"/>
  <c r="G975" i="93"/>
  <c r="F972" i="93"/>
  <c r="F978" i="93"/>
  <c r="P182"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s="1"/>
  <c r="E50" i="89"/>
  <c r="G49" i="89"/>
  <c r="E49" i="89"/>
  <c r="C21" i="90" s="1"/>
  <c r="F30" i="89"/>
  <c r="D62" i="90"/>
  <c r="D56" i="92" s="1"/>
  <c r="E24" i="89"/>
  <c r="E23" i="89"/>
  <c r="E21" i="89"/>
  <c r="E17" i="89"/>
  <c r="C31" i="90" s="1"/>
  <c r="E16" i="89"/>
  <c r="C30" i="90" s="1"/>
  <c r="F48" i="92" s="1"/>
  <c r="E13" i="89"/>
  <c r="E11" i="89"/>
  <c r="C25" i="90" s="1"/>
  <c r="E47" i="89"/>
  <c r="E22" i="89"/>
  <c r="E20" i="89"/>
  <c r="E19" i="89"/>
  <c r="C137" i="90"/>
  <c r="E12" i="89"/>
  <c r="C23" i="90"/>
  <c r="E10" i="89"/>
  <c r="C15" i="90" s="1"/>
  <c r="E8" i="89"/>
  <c r="C19" i="90" s="1"/>
  <c r="C142" i="90" s="1"/>
  <c r="E7" i="89"/>
  <c r="C18" i="90"/>
  <c r="C141" i="90" s="1"/>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H16" i="86" s="1"/>
  <c r="E4" i="86"/>
  <c r="F56" i="86" s="1"/>
  <c r="G49" i="86"/>
  <c r="F49" i="86"/>
  <c r="E49" i="86"/>
  <c r="D49" i="86"/>
  <c r="O61" i="85"/>
  <c r="F75" i="89"/>
  <c r="E183" i="90"/>
  <c r="F73" i="89"/>
  <c r="F71" i="89"/>
  <c r="E166" i="90"/>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s="1"/>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s="1"/>
  <c r="C16" i="84"/>
  <c r="A2" i="84"/>
  <c r="C14" i="84"/>
  <c r="F17" i="85"/>
  <c r="E11" i="84"/>
  <c r="E57" i="90"/>
  <c r="C11" i="84"/>
  <c r="C57" i="90"/>
  <c r="H12" i="84"/>
  <c r="C12" i="84"/>
  <c r="K11" i="84"/>
  <c r="D130" i="90"/>
  <c r="H11" i="84"/>
  <c r="C130" i="90" s="1"/>
  <c r="K10" i="84"/>
  <c r="C146" i="90"/>
  <c r="H10" i="84"/>
  <c r="C144" i="90"/>
  <c r="C10" i="84"/>
  <c r="C55" i="90" s="1"/>
  <c r="H9" i="84"/>
  <c r="E5" i="89" s="1"/>
  <c r="D14" i="84"/>
  <c r="K36" i="88"/>
  <c r="D16" i="83"/>
  <c r="F15" i="85"/>
  <c r="G1000" i="93"/>
  <c r="G1001" i="93"/>
  <c r="G1007" i="93"/>
  <c r="H999" i="93"/>
  <c r="G1005" i="93"/>
  <c r="F1002" i="93"/>
  <c r="F1008" i="93"/>
  <c r="G6" i="74"/>
  <c r="I999" i="93"/>
  <c r="H1000" i="93"/>
  <c r="H1001" i="93"/>
  <c r="H1005" i="93"/>
  <c r="H1007" i="93"/>
  <c r="G1002" i="93"/>
  <c r="G1008" i="93"/>
  <c r="O12" i="86"/>
  <c r="K5" i="86"/>
  <c r="H1002" i="93"/>
  <c r="H1008" i="93"/>
  <c r="I1007" i="93"/>
  <c r="I1005" i="93"/>
  <c r="I1001" i="93"/>
  <c r="J999" i="93"/>
  <c r="I1000" i="93"/>
  <c r="O22" i="86"/>
  <c r="I16" i="86"/>
  <c r="F101" i="92"/>
  <c r="F95" i="92"/>
  <c r="I65" i="92"/>
  <c r="E184" i="90"/>
  <c r="E81" i="90"/>
  <c r="D39" i="88"/>
  <c r="J1007" i="93"/>
  <c r="J1005" i="93"/>
  <c r="J1001" i="93"/>
  <c r="K999" i="93"/>
  <c r="J1000" i="93"/>
  <c r="I1002" i="93"/>
  <c r="I1008" i="93"/>
  <c r="F84" i="92"/>
  <c r="C34" i="84"/>
  <c r="C29" i="84"/>
  <c r="K26" i="84" s="1"/>
  <c r="K33" i="84"/>
  <c r="K1007" i="93"/>
  <c r="B1029" i="93"/>
  <c r="K1000" i="93"/>
  <c r="K1005" i="93"/>
  <c r="K1001" i="93"/>
  <c r="J1002" i="93"/>
  <c r="J1008" i="93"/>
  <c r="K29" i="84"/>
  <c r="A47" i="84"/>
  <c r="C36" i="84"/>
  <c r="K37" i="84" s="1"/>
  <c r="K35"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3" i="93"/>
  <c r="K803" i="93" s="1"/>
  <c r="L803" i="93" s="1"/>
  <c r="I801" i="93"/>
  <c r="K801" i="93" s="1"/>
  <c r="L801" i="93" s="1"/>
  <c r="I799" i="93"/>
  <c r="K799" i="93" s="1"/>
  <c r="L799" i="93" s="1"/>
  <c r="I797" i="93"/>
  <c r="K797" i="93" s="1"/>
  <c r="L797" i="93" s="1"/>
  <c r="I795" i="93"/>
  <c r="K795" i="93" s="1"/>
  <c r="L795" i="93" s="1"/>
  <c r="I793" i="93"/>
  <c r="K793" i="93" s="1"/>
  <c r="L793" i="93" s="1"/>
  <c r="I791" i="93"/>
  <c r="K791" i="93" s="1"/>
  <c r="L791" i="93" s="1"/>
  <c r="I789" i="93"/>
  <c r="K789" i="93" s="1"/>
  <c r="L789" i="93" s="1"/>
  <c r="I787" i="93"/>
  <c r="K787" i="93" s="1"/>
  <c r="L787" i="93" s="1"/>
  <c r="I785" i="93"/>
  <c r="K785" i="93" s="1"/>
  <c r="L785" i="93" s="1"/>
  <c r="I783" i="93"/>
  <c r="K783" i="93" s="1"/>
  <c r="L783" i="93" s="1"/>
  <c r="I773" i="93"/>
  <c r="K773" i="93" s="1"/>
  <c r="L773" i="93" s="1"/>
  <c r="K232" i="72"/>
  <c r="K1784" i="93"/>
  <c r="O1665" i="93"/>
  <c r="L232" i="72"/>
  <c r="L1784" i="93"/>
  <c r="P1665" i="93"/>
  <c r="H90" i="66"/>
  <c r="H88" i="66"/>
  <c r="H87" i="66"/>
  <c r="N88"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K21" i="74"/>
  <c r="K1036" i="94" s="1"/>
  <c r="J21" i="74"/>
  <c r="J1036" i="94" s="1"/>
  <c r="I21" i="74"/>
  <c r="H21" i="74"/>
  <c r="H1036" i="94" s="1"/>
  <c r="G21" i="74"/>
  <c r="F21" i="74"/>
  <c r="E21" i="74"/>
  <c r="E1036" i="94" s="1"/>
  <c r="D21" i="74"/>
  <c r="C21" i="74"/>
  <c r="C1036" i="94" s="1"/>
  <c r="B21" i="74"/>
  <c r="K46" i="75"/>
  <c r="L46" i="75" s="1"/>
  <c r="K44" i="75"/>
  <c r="L44" i="75" s="1"/>
  <c r="K42" i="75"/>
  <c r="L42" i="75" s="1"/>
  <c r="K40" i="75"/>
  <c r="L40" i="75" s="1"/>
  <c r="K38" i="75"/>
  <c r="L38" i="75" s="1"/>
  <c r="K36" i="75"/>
  <c r="L36" i="75" s="1"/>
  <c r="K34" i="75"/>
  <c r="L34" i="75" s="1"/>
  <c r="K32" i="75"/>
  <c r="L32" i="75" s="1"/>
  <c r="K30" i="75"/>
  <c r="L30" i="75" s="1"/>
  <c r="K28" i="75"/>
  <c r="L28"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44" i="75"/>
  <c r="R806" i="94" s="1"/>
  <c r="R43" i="75"/>
  <c r="R805" i="94" s="1"/>
  <c r="R42" i="75"/>
  <c r="R41" i="75"/>
  <c r="R40" i="75"/>
  <c r="R39" i="75"/>
  <c r="R38" i="75"/>
  <c r="R37" i="75"/>
  <c r="R799" i="94" s="1"/>
  <c r="R36" i="75"/>
  <c r="R35" i="75"/>
  <c r="R34" i="75"/>
  <c r="R796" i="94" s="1"/>
  <c r="R33" i="75"/>
  <c r="R795" i="94" s="1"/>
  <c r="R32" i="75"/>
  <c r="R794" i="94" s="1"/>
  <c r="R31" i="75"/>
  <c r="R793" i="94" s="1"/>
  <c r="R30" i="75"/>
  <c r="R792" i="94" s="1"/>
  <c r="R29" i="75"/>
  <c r="R28" i="75"/>
  <c r="R790" i="94" s="1"/>
  <c r="R27" i="75"/>
  <c r="R789" i="94" s="1"/>
  <c r="R26" i="75"/>
  <c r="R25" i="75"/>
  <c r="R24" i="75"/>
  <c r="R23" i="75"/>
  <c r="R18" i="75"/>
  <c r="R780" i="94" s="1"/>
  <c r="R16" i="75"/>
  <c r="R778" i="94" s="1"/>
  <c r="R15" i="75"/>
  <c r="R777" i="94" s="1"/>
  <c r="R14" i="75"/>
  <c r="R11" i="75"/>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J1776" i="93"/>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T48" i="75" s="1"/>
  <c r="HS19" i="75"/>
  <c r="HR19" i="75"/>
  <c r="HQ19" i="75"/>
  <c r="HP19" i="75"/>
  <c r="HO19" i="75"/>
  <c r="HI19" i="75"/>
  <c r="HH19" i="75"/>
  <c r="HG19" i="75"/>
  <c r="HF19" i="75"/>
  <c r="HE19" i="75"/>
  <c r="HD19" i="75"/>
  <c r="HC19" i="75"/>
  <c r="HC48" i="75" s="1"/>
  <c r="M105" i="75" s="1"/>
  <c r="HB19" i="75"/>
  <c r="HA19" i="75"/>
  <c r="GZ19" i="75"/>
  <c r="GT19" i="75"/>
  <c r="GS19" i="75"/>
  <c r="GR19" i="75"/>
  <c r="GR48" i="75" s="1"/>
  <c r="GQ19" i="75"/>
  <c r="GP19" i="75"/>
  <c r="GO19" i="75"/>
  <c r="GN19" i="75"/>
  <c r="GM19" i="75"/>
  <c r="GL19" i="75"/>
  <c r="GL48" i="75" s="1"/>
  <c r="K102" i="75" s="1"/>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N48" i="75" s="1"/>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U48" i="75" s="1"/>
  <c r="HT18" i="75"/>
  <c r="HS18" i="75"/>
  <c r="HR18" i="75"/>
  <c r="HQ18" i="75"/>
  <c r="HP18" i="75"/>
  <c r="HO18" i="75"/>
  <c r="HI18" i="75"/>
  <c r="HH18" i="75"/>
  <c r="HG18" i="75"/>
  <c r="HF18" i="75"/>
  <c r="HF48" i="75" s="1"/>
  <c r="HE18" i="75"/>
  <c r="HD18" i="75"/>
  <c r="HC18" i="75"/>
  <c r="HB18" i="75"/>
  <c r="HA18" i="75"/>
  <c r="GZ18" i="75"/>
  <c r="GT18" i="75"/>
  <c r="GS18" i="75"/>
  <c r="GS48" i="75" s="1"/>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R48" i="75" s="1"/>
  <c r="MQ17" i="75"/>
  <c r="MP17" i="75"/>
  <c r="MP48" i="75" s="1"/>
  <c r="MO17" i="75"/>
  <c r="MN17" i="75"/>
  <c r="MM17" i="75"/>
  <c r="ML17" i="75"/>
  <c r="MK17" i="75"/>
  <c r="MJ17" i="75"/>
  <c r="MI17" i="75"/>
  <c r="MH17" i="75"/>
  <c r="MG17" i="75"/>
  <c r="MF17" i="75"/>
  <c r="ME17" i="75"/>
  <c r="LE17" i="75"/>
  <c r="LD17" i="75"/>
  <c r="LC17" i="75"/>
  <c r="LC48" i="75" s="1"/>
  <c r="L123" i="75" s="1"/>
  <c r="LB17" i="75"/>
  <c r="LA17" i="75"/>
  <c r="LA48" i="75" s="1"/>
  <c r="KU17" i="75"/>
  <c r="KT17" i="75"/>
  <c r="KT48" i="75" s="1"/>
  <c r="KS17" i="75"/>
  <c r="KR17" i="75"/>
  <c r="KQ17" i="75"/>
  <c r="KK17" i="75"/>
  <c r="KJ17" i="75"/>
  <c r="KI17" i="75"/>
  <c r="KI48" i="75" s="1"/>
  <c r="L119" i="75" s="1"/>
  <c r="KH17" i="75"/>
  <c r="KG17" i="75"/>
  <c r="KG48" i="75" s="1"/>
  <c r="J119" i="75" s="1"/>
  <c r="KA17" i="75"/>
  <c r="JZ17" i="75"/>
  <c r="JZ48" i="75" s="1"/>
  <c r="M117" i="75" s="1"/>
  <c r="JY17" i="75"/>
  <c r="JX17" i="75"/>
  <c r="JX48" i="75" s="1"/>
  <c r="K117" i="75" s="1"/>
  <c r="JW17" i="75"/>
  <c r="JQ17" i="75"/>
  <c r="JQ48" i="75" s="1"/>
  <c r="N127" i="75" s="1"/>
  <c r="JP17" i="75"/>
  <c r="JO17" i="75"/>
  <c r="JO48" i="75" s="1"/>
  <c r="L127" i="75" s="1"/>
  <c r="JN17" i="75"/>
  <c r="JM17" i="75"/>
  <c r="JG17" i="75"/>
  <c r="JF17" i="75"/>
  <c r="JF48" i="75" s="1"/>
  <c r="JE17" i="75"/>
  <c r="JD17" i="75"/>
  <c r="JD48" i="75" s="1"/>
  <c r="K129" i="75" s="1"/>
  <c r="JC17" i="75"/>
  <c r="IW17" i="75"/>
  <c r="IW48" i="75" s="1"/>
  <c r="N131" i="75" s="1"/>
  <c r="IV17" i="75"/>
  <c r="IU17" i="75"/>
  <c r="IU48" i="75" s="1"/>
  <c r="IT17" i="75"/>
  <c r="IS17" i="75"/>
  <c r="IM17" i="75"/>
  <c r="IL17" i="75"/>
  <c r="IL48" i="75" s="1"/>
  <c r="M125" i="75" s="1"/>
  <c r="IK17" i="75"/>
  <c r="IJ17" i="75"/>
  <c r="IJ48" i="75" s="1"/>
  <c r="K125" i="75" s="1"/>
  <c r="II17" i="75"/>
  <c r="IC17" i="75"/>
  <c r="IB17" i="75"/>
  <c r="IA17" i="75"/>
  <c r="HZ17" i="75"/>
  <c r="HY17" i="75"/>
  <c r="HY48" i="75" s="1"/>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c r="N66" i="93"/>
  <c r="N77" i="94"/>
  <c r="U166" i="72"/>
  <c r="P316" i="72"/>
  <c r="P1857" i="93" s="1"/>
  <c r="O1861" i="93"/>
  <c r="O1857" i="93"/>
  <c r="I781" i="93"/>
  <c r="K781" i="93" s="1"/>
  <c r="L781" i="93" s="1"/>
  <c r="R772" i="93"/>
  <c r="R804" i="93"/>
  <c r="R789" i="93"/>
  <c r="R791" i="93"/>
  <c r="R800" i="93"/>
  <c r="R801" i="93"/>
  <c r="C119" i="74"/>
  <c r="N400" i="93"/>
  <c r="D122" i="74"/>
  <c r="N403" i="93"/>
  <c r="R13" i="75"/>
  <c r="R775" i="94" s="1"/>
  <c r="Q770" i="93"/>
  <c r="G55" i="84"/>
  <c r="E55" i="84"/>
  <c r="I55" i="84"/>
  <c r="K55" i="84"/>
  <c r="C58" i="84"/>
  <c r="K58" i="84" s="1"/>
  <c r="B53" i="82"/>
  <c r="B984" i="93"/>
  <c r="A2011" i="93"/>
  <c r="I712" i="93"/>
  <c r="O1974" i="93"/>
  <c r="P66" i="93"/>
  <c r="L32" i="68"/>
  <c r="L394" i="93" s="1"/>
  <c r="F115" i="78"/>
  <c r="F120" i="74"/>
  <c r="N401" i="93"/>
  <c r="J60" i="74"/>
  <c r="N402" i="93"/>
  <c r="R12" i="75"/>
  <c r="R774" i="94" s="1"/>
  <c r="Q769" i="93"/>
  <c r="I89" i="74"/>
  <c r="I1039" i="93" s="1"/>
  <c r="O1870" i="93"/>
  <c r="G101" i="90"/>
  <c r="E1595" i="93"/>
  <c r="O1968" i="93"/>
  <c r="A839" i="93"/>
  <c r="C43" i="90"/>
  <c r="F92" i="74"/>
  <c r="E57" i="74"/>
  <c r="C58" i="74"/>
  <c r="K58" i="74"/>
  <c r="H57" i="74"/>
  <c r="H1009" i="93" s="1"/>
  <c r="F58" i="74"/>
  <c r="D59" i="74"/>
  <c r="D89" i="74"/>
  <c r="B90" i="74"/>
  <c r="J90" i="74"/>
  <c r="J92" i="74"/>
  <c r="D120" i="74"/>
  <c r="G90" i="74"/>
  <c r="C120" i="74"/>
  <c r="I57" i="74"/>
  <c r="E25" i="87" s="1"/>
  <c r="G58" i="74"/>
  <c r="B60" i="74"/>
  <c r="E89" i="74"/>
  <c r="C90" i="74"/>
  <c r="K90" i="74"/>
  <c r="D119" i="74"/>
  <c r="E122" i="74"/>
  <c r="D57" i="74"/>
  <c r="E20" i="87" s="1"/>
  <c r="B58" i="74"/>
  <c r="J58" i="74"/>
  <c r="F60" i="74"/>
  <c r="H89" i="74"/>
  <c r="F90" i="74"/>
  <c r="B92" i="74"/>
  <c r="E119" i="74"/>
  <c r="P92" i="72"/>
  <c r="P1638" i="93" s="1"/>
  <c r="F36" i="78"/>
  <c r="N54" i="66"/>
  <c r="F116" i="78"/>
  <c r="F113" i="78"/>
  <c r="F117" i="78"/>
  <c r="Q55" i="73"/>
  <c r="O40" i="66"/>
  <c r="M768" i="94" s="1"/>
  <c r="P55" i="73"/>
  <c r="L440" i="72"/>
  <c r="M307" i="73"/>
  <c r="M1397" i="93" s="1"/>
  <c r="L1397" i="93" s="1"/>
  <c r="A111" i="75"/>
  <c r="O426" i="72"/>
  <c r="P54" i="66"/>
  <c r="A1" i="72"/>
  <c r="E36" i="78"/>
  <c r="A1" i="74"/>
  <c r="N1" i="74" s="1"/>
  <c r="D38" i="78"/>
  <c r="P26" i="72"/>
  <c r="P86" i="72"/>
  <c r="P1634" i="93"/>
  <c r="M299" i="72"/>
  <c r="DN48" i="75"/>
  <c r="J94" i="75" s="1"/>
  <c r="GV48" i="75"/>
  <c r="K104" i="75" s="1"/>
  <c r="HL48" i="75"/>
  <c r="L107" i="75" s="1"/>
  <c r="LT48" i="75"/>
  <c r="CZ48" i="75"/>
  <c r="K97" i="75" s="1"/>
  <c r="DI48" i="75"/>
  <c r="J95" i="75" s="1"/>
  <c r="DM48" i="75"/>
  <c r="N95" i="75" s="1"/>
  <c r="DQ48" i="75"/>
  <c r="M94" i="75" s="1"/>
  <c r="FS48" i="75"/>
  <c r="L153" i="75" s="1"/>
  <c r="GI48" i="75"/>
  <c r="M101" i="75" s="1"/>
  <c r="GU48" i="75"/>
  <c r="J104" i="75" s="1"/>
  <c r="GY48" i="75"/>
  <c r="N104" i="75" s="1"/>
  <c r="HG48" i="75"/>
  <c r="HK48" i="75"/>
  <c r="K107" i="75" s="1"/>
  <c r="IA48" i="75"/>
  <c r="L131" i="75"/>
  <c r="LG48" i="75"/>
  <c r="LS48" i="75"/>
  <c r="LW48" i="75"/>
  <c r="MA48" i="75"/>
  <c r="MI48" i="75"/>
  <c r="MQ48" i="75"/>
  <c r="DA48" i="75"/>
  <c r="L97" i="75" s="1"/>
  <c r="GF48" i="75"/>
  <c r="J101" i="75" s="1"/>
  <c r="V132" i="78"/>
  <c r="M132" i="78"/>
  <c r="M149" i="78"/>
  <c r="M151" i="78"/>
  <c r="M153" i="78"/>
  <c r="E37"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B57" i="74"/>
  <c r="B1009" i="93" s="1"/>
  <c r="F57" i="74"/>
  <c r="J57" i="74"/>
  <c r="J1009" i="93" s="1"/>
  <c r="D58" i="74"/>
  <c r="H58" i="74"/>
  <c r="D60" i="74"/>
  <c r="H60" i="74"/>
  <c r="B89" i="74"/>
  <c r="F89" i="74"/>
  <c r="F1039" i="93" s="1"/>
  <c r="J89" i="74"/>
  <c r="D90" i="74"/>
  <c r="H90" i="74"/>
  <c r="D92" i="74"/>
  <c r="H92" i="74"/>
  <c r="B119" i="74"/>
  <c r="B1067" i="93" s="1"/>
  <c r="F119" i="74"/>
  <c r="E120" i="74"/>
  <c r="C122" i="74"/>
  <c r="G60" i="74"/>
  <c r="C92" i="74"/>
  <c r="B122" i="74"/>
  <c r="F122" i="74"/>
  <c r="C57" i="74"/>
  <c r="G57" i="74"/>
  <c r="E23" i="87" s="1"/>
  <c r="K57" i="74"/>
  <c r="E58" i="74"/>
  <c r="I58" i="74"/>
  <c r="E60" i="74"/>
  <c r="I60" i="74"/>
  <c r="C89" i="74"/>
  <c r="E29" i="87" s="1"/>
  <c r="G89" i="74"/>
  <c r="K89" i="74"/>
  <c r="K1039" i="93" s="1"/>
  <c r="E90" i="74"/>
  <c r="I90" i="74"/>
  <c r="E92" i="74"/>
  <c r="I92" i="74"/>
  <c r="B120" i="74"/>
  <c r="A1" i="73"/>
  <c r="T173" i="72"/>
  <c r="I40" i="66"/>
  <c r="I51" i="93" s="1"/>
  <c r="O1638" i="93"/>
  <c r="P320" i="72"/>
  <c r="P1861" i="93" s="1"/>
  <c r="O1634" i="93"/>
  <c r="DJ48" i="75"/>
  <c r="K95" i="75" s="1"/>
  <c r="GN48" i="75"/>
  <c r="M102" i="75" s="1"/>
  <c r="DO48" i="75"/>
  <c r="K94" i="75" s="1"/>
  <c r="GW48" i="75"/>
  <c r="L104" i="75" s="1"/>
  <c r="HQ48" i="75"/>
  <c r="L108" i="75" s="1"/>
  <c r="IC48" i="75"/>
  <c r="J123" i="75"/>
  <c r="LM48" i="75"/>
  <c r="LY48" i="75"/>
  <c r="MO48" i="75"/>
  <c r="DB48" i="75"/>
  <c r="M97" i="75" s="1"/>
  <c r="DK48" i="75"/>
  <c r="L95" i="75" s="1"/>
  <c r="GG48" i="75"/>
  <c r="K101" i="75" s="1"/>
  <c r="GO48" i="75"/>
  <c r="N102" i="75" s="1"/>
  <c r="HM48" i="75"/>
  <c r="M107" i="75" s="1"/>
  <c r="IK48" i="75"/>
  <c r="L125" i="75" s="1"/>
  <c r="IS48" i="75"/>
  <c r="J131" i="75" s="1"/>
  <c r="JE48" i="75"/>
  <c r="L129" i="75" s="1"/>
  <c r="JM48" i="75"/>
  <c r="J127" i="75" s="1"/>
  <c r="JY48" i="75"/>
  <c r="L117" i="75" s="1"/>
  <c r="KK48" i="75"/>
  <c r="N119" i="75" s="1"/>
  <c r="KS48" i="75"/>
  <c r="L121" i="75" s="1"/>
  <c r="L140" i="75" s="1"/>
  <c r="LE48" i="75"/>
  <c r="N123" i="75" s="1"/>
  <c r="LI48" i="75"/>
  <c r="LQ48" i="75"/>
  <c r="LU48" i="75"/>
  <c r="MC48" i="75"/>
  <c r="MK48" i="75"/>
  <c r="CY48" i="75"/>
  <c r="J97" i="75" s="1"/>
  <c r="DC48" i="75"/>
  <c r="N97" i="75" s="1"/>
  <c r="DL48" i="75"/>
  <c r="M95" i="75" s="1"/>
  <c r="DP48" i="75"/>
  <c r="L94" i="75" s="1"/>
  <c r="DR48" i="75"/>
  <c r="N94" i="75" s="1"/>
  <c r="GJ48" i="75"/>
  <c r="N101" i="75" s="1"/>
  <c r="HP48" i="75"/>
  <c r="K108" i="75" s="1"/>
  <c r="IV48" i="75"/>
  <c r="M131" i="75" s="1"/>
  <c r="JP48" i="75"/>
  <c r="M127" i="75" s="1"/>
  <c r="KJ48" i="75"/>
  <c r="M119" i="75" s="1"/>
  <c r="KR48" i="75"/>
  <c r="K121" i="75" s="1"/>
  <c r="K140" i="75" s="1"/>
  <c r="K1214" i="94" s="1"/>
  <c r="M1214" i="94" s="1"/>
  <c r="LH48" i="75"/>
  <c r="LL48" i="75"/>
  <c r="LP48" i="75"/>
  <c r="LX48" i="75"/>
  <c r="MB48" i="75"/>
  <c r="GH48" i="75"/>
  <c r="L101" i="75" s="1"/>
  <c r="GP48" i="75"/>
  <c r="GX48" i="75"/>
  <c r="M104" i="75" s="1"/>
  <c r="HB48" i="75"/>
  <c r="L105" i="75" s="1"/>
  <c r="HJ48" i="75"/>
  <c r="J107" i="75" s="1"/>
  <c r="HN48" i="75"/>
  <c r="N107" i="75" s="1"/>
  <c r="HZ48" i="75"/>
  <c r="M129" i="75"/>
  <c r="M121" i="75"/>
  <c r="M140" i="75" s="1"/>
  <c r="K1216" i="94" s="1"/>
  <c r="LF48" i="75"/>
  <c r="LJ48" i="75"/>
  <c r="LN48" i="75"/>
  <c r="LR48" i="75"/>
  <c r="LV48" i="75"/>
  <c r="LZ48" i="75"/>
  <c r="MD48" i="75"/>
  <c r="MH48" i="75"/>
  <c r="P151" i="78"/>
  <c r="P153" i="78"/>
  <c r="F35" i="78"/>
  <c r="F37" i="78"/>
  <c r="E35" i="78"/>
  <c r="E38" i="78" s="1"/>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G1039" i="93"/>
  <c r="G1046" i="93"/>
  <c r="F1067" i="93"/>
  <c r="F1074" i="93"/>
  <c r="C1067" i="93"/>
  <c r="C1074" i="93" s="1"/>
  <c r="J1039" i="93"/>
  <c r="J1046" i="93" s="1"/>
  <c r="K24" i="75"/>
  <c r="L24" i="75" s="1"/>
  <c r="P71" i="72"/>
  <c r="P1621" i="93" s="1"/>
  <c r="O1826" i="93"/>
  <c r="P22" i="72"/>
  <c r="J68" i="74"/>
  <c r="J1083" i="94" s="1"/>
  <c r="I36" i="74"/>
  <c r="I1051" i="94" s="1"/>
  <c r="I771" i="93"/>
  <c r="K771" i="93" s="1"/>
  <c r="L771" i="93" s="1"/>
  <c r="K14" i="75"/>
  <c r="L14" i="75" s="1"/>
  <c r="I777" i="93"/>
  <c r="K777" i="93" s="1"/>
  <c r="L777" i="93" s="1"/>
  <c r="K20" i="75"/>
  <c r="L20" i="75" s="1"/>
  <c r="K15" i="75"/>
  <c r="L15" i="75" s="1"/>
  <c r="I767" i="93"/>
  <c r="K767" i="93" s="1"/>
  <c r="L767" i="93" s="1"/>
  <c r="K10" i="75"/>
  <c r="L10" i="75" s="1"/>
  <c r="K13" i="75"/>
  <c r="L13" i="75" s="1"/>
  <c r="I779" i="93"/>
  <c r="K779" i="93" s="1"/>
  <c r="L779" i="93" s="1"/>
  <c r="K22" i="75"/>
  <c r="L22" i="75" s="1"/>
  <c r="I775" i="93"/>
  <c r="K775" i="93" s="1"/>
  <c r="L775" i="93" s="1"/>
  <c r="K18" i="75"/>
  <c r="L18" i="75" s="1"/>
  <c r="K19" i="75"/>
  <c r="L19" i="75" s="1"/>
  <c r="K21" i="75"/>
  <c r="L21" i="75" s="1"/>
  <c r="I769" i="93"/>
  <c r="K769" i="93" s="1"/>
  <c r="L769" i="93" s="1"/>
  <c r="K12" i="75"/>
  <c r="L12" i="75" s="1"/>
  <c r="R770" i="93"/>
  <c r="R769" i="93"/>
  <c r="C1009" i="93"/>
  <c r="E19" i="87"/>
  <c r="E32" i="87"/>
  <c r="E18" i="87"/>
  <c r="F68" i="74"/>
  <c r="F1083" i="94" s="1"/>
  <c r="F1012" i="93"/>
  <c r="F1020" i="93"/>
  <c r="J980" i="93"/>
  <c r="I1009" i="93"/>
  <c r="I1021" i="93" s="1"/>
  <c r="J1040" i="93"/>
  <c r="J1047" i="93"/>
  <c r="B1039" i="93"/>
  <c r="B1050" i="93" s="1"/>
  <c r="E28" i="87"/>
  <c r="J1010" i="93"/>
  <c r="E129" i="74"/>
  <c r="E1144" i="94" s="1"/>
  <c r="E1070" i="93"/>
  <c r="E1077" i="93"/>
  <c r="F980" i="93"/>
  <c r="B1040" i="93"/>
  <c r="K1010" i="93"/>
  <c r="B1010" i="93"/>
  <c r="B1018" i="93"/>
  <c r="D1067" i="93"/>
  <c r="D1074" i="93" s="1"/>
  <c r="D1039" i="93"/>
  <c r="E30" i="87"/>
  <c r="C1010" i="93"/>
  <c r="D1009" i="93"/>
  <c r="D1021" i="93" s="1"/>
  <c r="K1040" i="93"/>
  <c r="C1068" i="93"/>
  <c r="C1075" i="93"/>
  <c r="D1011" i="93"/>
  <c r="E1009" i="93"/>
  <c r="E1021" i="93" s="1"/>
  <c r="E21" i="87"/>
  <c r="E1067" i="93"/>
  <c r="E1074" i="93" s="1"/>
  <c r="E36" i="74"/>
  <c r="E1051" i="94" s="1"/>
  <c r="E982" i="93"/>
  <c r="E990" i="93"/>
  <c r="C1040" i="93"/>
  <c r="C1047" i="93"/>
  <c r="G1040" i="93"/>
  <c r="F1010" i="93"/>
  <c r="B99" i="74"/>
  <c r="B1114" i="94" s="1"/>
  <c r="B1042" i="93"/>
  <c r="B1049" i="93"/>
  <c r="I980" i="93"/>
  <c r="E1039" i="93"/>
  <c r="E1046" i="93" s="1"/>
  <c r="E31" i="87"/>
  <c r="B980" i="93"/>
  <c r="E24" i="87"/>
  <c r="F99" i="74"/>
  <c r="F1114" i="94" s="1"/>
  <c r="F1042" i="93"/>
  <c r="F1049" i="93"/>
  <c r="K1009" i="93"/>
  <c r="E27" i="87"/>
  <c r="E26" i="87"/>
  <c r="F1040" i="93"/>
  <c r="K979" i="93"/>
  <c r="K987" i="93" s="1"/>
  <c r="B68" i="74"/>
  <c r="B1083" i="94" s="1"/>
  <c r="B1012" i="93"/>
  <c r="B1020" i="93"/>
  <c r="D1068" i="93"/>
  <c r="D1075" i="93"/>
  <c r="G981" i="93"/>
  <c r="I58" i="84"/>
  <c r="G1009" i="93"/>
  <c r="G1021" i="93" s="1"/>
  <c r="F1009" i="93"/>
  <c r="E22" i="87"/>
  <c r="H1039" i="93"/>
  <c r="H1050" i="93" s="1"/>
  <c r="J99" i="74"/>
  <c r="J1114" i="94" s="1"/>
  <c r="J1042" i="93"/>
  <c r="J1049" i="93"/>
  <c r="E980" i="93"/>
  <c r="E988" i="93"/>
  <c r="K45" i="82"/>
  <c r="K1215" i="94"/>
  <c r="N1215"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T211" i="72"/>
  <c r="L307" i="73"/>
  <c r="O6" i="75"/>
  <c r="P306" i="72"/>
  <c r="P1848" i="93" s="1"/>
  <c r="K1151" i="93"/>
  <c r="K57" i="73"/>
  <c r="N57" i="73" s="1"/>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84" i="94" s="1"/>
  <c r="R21" i="75"/>
  <c r="R783" i="94" s="1"/>
  <c r="R20" i="75"/>
  <c r="R782" i="94" s="1"/>
  <c r="R19" i="75"/>
  <c r="R781" i="94" s="1"/>
  <c r="Q58" i="73"/>
  <c r="C996" i="93"/>
  <c r="F1078" i="93"/>
  <c r="B995" i="93"/>
  <c r="C12" i="86"/>
  <c r="C994" i="93"/>
  <c r="D11" i="86"/>
  <c r="P1562" i="93"/>
  <c r="J1050" i="93"/>
  <c r="C1017" i="93"/>
  <c r="C1021" i="93"/>
  <c r="E1050" i="93"/>
  <c r="K991" i="93"/>
  <c r="E1078" i="93"/>
  <c r="H1046" i="93"/>
  <c r="K1021" i="93"/>
  <c r="K1017" i="93"/>
  <c r="E1017" i="93"/>
  <c r="D1017" i="93"/>
  <c r="B1046" i="93"/>
  <c r="I1017" i="93"/>
  <c r="G1050" i="93"/>
  <c r="F1017" i="93"/>
  <c r="F1021" i="93"/>
  <c r="G1017" i="93"/>
  <c r="D1078" i="93"/>
  <c r="D1046" i="93"/>
  <c r="D1050" i="93"/>
  <c r="R779" i="93"/>
  <c r="R776" i="93"/>
  <c r="R777" i="93"/>
  <c r="D996" i="93"/>
  <c r="C995" i="93"/>
  <c r="D12" i="86"/>
  <c r="D994" i="93"/>
  <c r="E11" i="86"/>
  <c r="E996" i="93"/>
  <c r="D995" i="93"/>
  <c r="E12" i="86"/>
  <c r="E994" i="93"/>
  <c r="F11" i="86"/>
  <c r="F996" i="93"/>
  <c r="E995" i="93"/>
  <c r="F12" i="86"/>
  <c r="F994" i="93"/>
  <c r="G11" i="86"/>
  <c r="O1951" i="93"/>
  <c r="B988" i="93"/>
  <c r="B989" i="93"/>
  <c r="G996" i="93"/>
  <c r="F995" i="93"/>
  <c r="G12" i="86"/>
  <c r="G994" i="93"/>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B45" i="74"/>
  <c r="B55" i="74"/>
  <c r="J34" i="74"/>
  <c r="J1049" i="94" s="1"/>
  <c r="J35" i="74"/>
  <c r="J1050" i="94" s="1"/>
  <c r="I996" i="93"/>
  <c r="H995" i="93"/>
  <c r="I12" i="86"/>
  <c r="I994" i="93"/>
  <c r="C31" i="86"/>
  <c r="P1709" i="93"/>
  <c r="P153" i="72"/>
  <c r="L235" i="72"/>
  <c r="O1602" i="93"/>
  <c r="O1601" i="93"/>
  <c r="P1602" i="93"/>
  <c r="P1601" i="93"/>
  <c r="C45" i="74"/>
  <c r="C55" i="74"/>
  <c r="C65" i="82"/>
  <c r="K34" i="74"/>
  <c r="K1049" i="94" s="1"/>
  <c r="K35" i="74"/>
  <c r="K1050" i="94" s="1"/>
  <c r="J996" i="93"/>
  <c r="I995" i="93"/>
  <c r="D32" i="86"/>
  <c r="C32" i="86"/>
  <c r="J994" i="93"/>
  <c r="D31" i="86"/>
  <c r="P1707" i="93"/>
  <c r="O1959" i="93"/>
  <c r="E1586" i="93"/>
  <c r="P1959" i="93"/>
  <c r="P1950" i="93"/>
  <c r="D45" i="74"/>
  <c r="D55" i="74"/>
  <c r="D65" i="82"/>
  <c r="B66" i="74"/>
  <c r="B1081" i="94" s="1"/>
  <c r="B67" i="74"/>
  <c r="B1082" i="94" s="1"/>
  <c r="J995" i="93"/>
  <c r="K994" i="93"/>
  <c r="E31" i="86"/>
  <c r="O1950" i="93"/>
  <c r="E1594" i="93"/>
  <c r="E45" i="74"/>
  <c r="E55" i="74"/>
  <c r="E65" i="82"/>
  <c r="C66" i="74"/>
  <c r="C1081" i="94" s="1"/>
  <c r="C67" i="74"/>
  <c r="C1082" i="94" s="1"/>
  <c r="K996" i="93"/>
  <c r="B1026" i="93"/>
  <c r="K995" i="93"/>
  <c r="E32" i="86"/>
  <c r="B1024" i="93"/>
  <c r="F31" i="86"/>
  <c r="F45" i="74"/>
  <c r="F55" i="74"/>
  <c r="F65" i="82"/>
  <c r="D66" i="74"/>
  <c r="D1081" i="94" s="1"/>
  <c r="D67" i="74"/>
  <c r="D1082" i="94" s="1"/>
  <c r="C1026" i="93"/>
  <c r="B1025" i="93"/>
  <c r="F32" i="86"/>
  <c r="C1024" i="93"/>
  <c r="G31" i="86"/>
  <c r="G45" i="74"/>
  <c r="G55" i="74"/>
  <c r="E66" i="74"/>
  <c r="E1081" i="94" s="1"/>
  <c r="E67" i="74"/>
  <c r="E1082" i="94" s="1"/>
  <c r="D1026" i="93"/>
  <c r="C1025" i="93"/>
  <c r="G32" i="86"/>
  <c r="D1024" i="93"/>
  <c r="I31" i="86"/>
  <c r="H31" i="86"/>
  <c r="H45" i="74"/>
  <c r="H55" i="74"/>
  <c r="F66" i="74"/>
  <c r="F1081" i="94" s="1"/>
  <c r="F67" i="74"/>
  <c r="F1082" i="94" s="1"/>
  <c r="E1026" i="93"/>
  <c r="D1025" i="93"/>
  <c r="H32" i="86"/>
  <c r="E1024" i="93"/>
  <c r="I45" i="74"/>
  <c r="I55" i="74"/>
  <c r="G66" i="74"/>
  <c r="G1081" i="94" s="1"/>
  <c r="G67" i="74"/>
  <c r="G1082" i="94" s="1"/>
  <c r="F1026" i="93"/>
  <c r="E1025" i="93"/>
  <c r="I32" i="86"/>
  <c r="F1024" i="93"/>
  <c r="C51" i="86"/>
  <c r="J45" i="74"/>
  <c r="J55" i="74"/>
  <c r="J65" i="82"/>
  <c r="H66" i="74"/>
  <c r="H1081" i="94" s="1"/>
  <c r="H67" i="74"/>
  <c r="H1082" i="94" s="1"/>
  <c r="G1026" i="93"/>
  <c r="F1025" i="93"/>
  <c r="C52" i="86"/>
  <c r="G1024" i="93"/>
  <c r="D51" i="86"/>
  <c r="K45" i="74"/>
  <c r="K55" i="74"/>
  <c r="K65" i="82"/>
  <c r="I66" i="74"/>
  <c r="I1081" i="94" s="1"/>
  <c r="I67" i="74"/>
  <c r="I1082" i="94" s="1"/>
  <c r="H1026" i="93"/>
  <c r="G1025" i="93"/>
  <c r="D52" i="86"/>
  <c r="H1024" i="93"/>
  <c r="E51" i="86"/>
  <c r="B59" i="82"/>
  <c r="B77" i="74"/>
  <c r="B87" i="74"/>
  <c r="J66" i="74"/>
  <c r="J1081" i="94" s="1"/>
  <c r="J67" i="74"/>
  <c r="J1082" i="94" s="1"/>
  <c r="I1026" i="93"/>
  <c r="H1025" i="93"/>
  <c r="E52" i="86"/>
  <c r="I1024" i="93"/>
  <c r="F51" i="86"/>
  <c r="C77" i="74"/>
  <c r="C87" i="74"/>
  <c r="K66" i="74"/>
  <c r="K1081" i="94" s="1"/>
  <c r="K67" i="74"/>
  <c r="K1082" i="94" s="1"/>
  <c r="J1026" i="93"/>
  <c r="I1025" i="93"/>
  <c r="F52" i="86"/>
  <c r="J1024" i="93"/>
  <c r="G51" i="86"/>
  <c r="D77" i="74"/>
  <c r="D87" i="74"/>
  <c r="B97" i="74"/>
  <c r="B1112" i="94" s="1"/>
  <c r="B98" i="74"/>
  <c r="B1113" i="94" s="1"/>
  <c r="K1026" i="93"/>
  <c r="J1025" i="93"/>
  <c r="G52" i="86"/>
  <c r="K1024" i="93"/>
  <c r="H51" i="86"/>
  <c r="F408" i="93"/>
  <c r="E77" i="74"/>
  <c r="E87" i="74"/>
  <c r="C97" i="74"/>
  <c r="C1112" i="94" s="1"/>
  <c r="C98" i="74"/>
  <c r="C1113" i="94" s="1"/>
  <c r="B1055" i="93"/>
  <c r="K1025" i="93"/>
  <c r="H52" i="86"/>
  <c r="B1053" i="93"/>
  <c r="F77" i="74"/>
  <c r="F87" i="74"/>
  <c r="D97" i="74"/>
  <c r="D1112" i="94" s="1"/>
  <c r="D98" i="74"/>
  <c r="D1113" i="94" s="1"/>
  <c r="C1055" i="93"/>
  <c r="B1054" i="93"/>
  <c r="C1053" i="93"/>
  <c r="G77" i="74"/>
  <c r="G87" i="74"/>
  <c r="E97" i="74"/>
  <c r="E1112" i="94" s="1"/>
  <c r="E98" i="74"/>
  <c r="E1113" i="94" s="1"/>
  <c r="D1055" i="93"/>
  <c r="C1054" i="93"/>
  <c r="D1053" i="93"/>
  <c r="H77" i="74"/>
  <c r="H87" i="74"/>
  <c r="F97" i="74"/>
  <c r="F1112" i="94" s="1"/>
  <c r="F98" i="74"/>
  <c r="F1113" i="94" s="1"/>
  <c r="E1055" i="93"/>
  <c r="D1054" i="93"/>
  <c r="E1053" i="93"/>
  <c r="I77" i="74"/>
  <c r="I87" i="74"/>
  <c r="G97" i="74"/>
  <c r="G1112" i="94" s="1"/>
  <c r="G98" i="74"/>
  <c r="G1113" i="94" s="1"/>
  <c r="F1055" i="93"/>
  <c r="E1054" i="93"/>
  <c r="F1053" i="93"/>
  <c r="J77" i="74"/>
  <c r="J87" i="74"/>
  <c r="H97" i="74"/>
  <c r="H1112" i="94" s="1"/>
  <c r="H98" i="74"/>
  <c r="H1113" i="94" s="1"/>
  <c r="G1055" i="93"/>
  <c r="F1054" i="93"/>
  <c r="G1053" i="93"/>
  <c r="K77" i="74"/>
  <c r="K87" i="74"/>
  <c r="I97" i="74"/>
  <c r="I1112" i="94" s="1"/>
  <c r="I98" i="74"/>
  <c r="I1113" i="94" s="1"/>
  <c r="H1055" i="93"/>
  <c r="G1054" i="93"/>
  <c r="H1053" i="93"/>
  <c r="B107" i="74"/>
  <c r="B117" i="74"/>
  <c r="J97" i="74"/>
  <c r="J1112" i="94" s="1"/>
  <c r="J98" i="74"/>
  <c r="J1113" i="94" s="1"/>
  <c r="I1055" i="93"/>
  <c r="H1054" i="93"/>
  <c r="I1053" i="93"/>
  <c r="C107" i="74"/>
  <c r="C117" i="74"/>
  <c r="K97" i="74"/>
  <c r="K1112" i="94" s="1"/>
  <c r="K98" i="74"/>
  <c r="K1113" i="94" s="1"/>
  <c r="J1055" i="93"/>
  <c r="I1054" i="93"/>
  <c r="J1053" i="93"/>
  <c r="D107" i="74"/>
  <c r="D117" i="74"/>
  <c r="B127" i="74"/>
  <c r="B1142" i="94" s="1"/>
  <c r="B128" i="74"/>
  <c r="B1143" i="94" s="1"/>
  <c r="K1055" i="93"/>
  <c r="J1054" i="93"/>
  <c r="K1053" i="93"/>
  <c r="E107" i="74"/>
  <c r="E117" i="74"/>
  <c r="C127" i="74"/>
  <c r="C1142" i="94" s="1"/>
  <c r="C128" i="74"/>
  <c r="C1143" i="94" s="1"/>
  <c r="B1083" i="93"/>
  <c r="K1054" i="93"/>
  <c r="B1081" i="93"/>
  <c r="F107" i="74"/>
  <c r="F117" i="74"/>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6" i="72"/>
  <c r="E1591" i="93"/>
  <c r="O1848" i="93"/>
  <c r="C133" i="90"/>
  <c r="L59" i="85" s="1"/>
  <c r="B32" i="82"/>
  <c r="B35" i="82" s="1"/>
  <c r="B36" i="82" s="1"/>
  <c r="I405" i="93"/>
  <c r="B63" i="74"/>
  <c r="B1015" i="93" s="1"/>
  <c r="C63" i="74"/>
  <c r="G34" i="86" s="1"/>
  <c r="E63" i="74"/>
  <c r="E1015" i="93" s="1"/>
  <c r="F63" i="74"/>
  <c r="C54" i="86" s="1"/>
  <c r="D63" i="74"/>
  <c r="H34" i="86" s="1"/>
  <c r="N405" i="93"/>
  <c r="C14" i="86"/>
  <c r="R20" i="74"/>
  <c r="B985" i="93"/>
  <c r="R975" i="93" s="1"/>
  <c r="H1027" i="93"/>
  <c r="I1027" i="93"/>
  <c r="J1027" i="93"/>
  <c r="K1027" i="93"/>
  <c r="A9" i="83"/>
  <c r="F1325" i="94" l="1"/>
  <c r="K1325" i="94"/>
  <c r="I1325" i="94"/>
  <c r="F1472" i="93"/>
  <c r="J1472" i="93" s="1"/>
  <c r="G500" i="93"/>
  <c r="S132" i="78"/>
  <c r="L395" i="93"/>
  <c r="D1015" i="93"/>
  <c r="B1078" i="94"/>
  <c r="D1078" i="94"/>
  <c r="F1078" i="94"/>
  <c r="F1015" i="93"/>
  <c r="I34" i="86"/>
  <c r="F34" i="86"/>
  <c r="D985" i="93"/>
  <c r="H31" i="74"/>
  <c r="H985" i="93" s="1"/>
  <c r="D405" i="93"/>
  <c r="C1015" i="93"/>
  <c r="G14" i="86"/>
  <c r="J31" i="74"/>
  <c r="J985" i="93" s="1"/>
  <c r="C16" i="86"/>
  <c r="D56" i="86"/>
  <c r="K985" i="93"/>
  <c r="E34" i="86"/>
  <c r="I435" i="94"/>
  <c r="E985" i="93"/>
  <c r="H14" i="86"/>
  <c r="I31" i="74"/>
  <c r="C34" i="86" s="1"/>
  <c r="I421" i="93"/>
  <c r="J600" i="93"/>
  <c r="J164" i="78"/>
  <c r="C53" i="82"/>
  <c r="C1045" i="94"/>
  <c r="C984" i="93"/>
  <c r="I59" i="84"/>
  <c r="E59" i="84"/>
  <c r="G59" i="84"/>
  <c r="K59" i="84"/>
  <c r="E61" i="84"/>
  <c r="I61" i="84"/>
  <c r="K61" i="84"/>
  <c r="K62" i="84" s="1"/>
  <c r="G61" i="84"/>
  <c r="G60" i="84"/>
  <c r="K60" i="84"/>
  <c r="I60" i="84"/>
  <c r="I62" i="84" s="1"/>
  <c r="E60" i="84"/>
  <c r="C62" i="84"/>
  <c r="K932" i="93"/>
  <c r="E58" i="84"/>
  <c r="G58" i="84"/>
  <c r="N142" i="75"/>
  <c r="K66" i="73" s="1"/>
  <c r="J142" i="75"/>
  <c r="K62" i="73" s="1"/>
  <c r="L863" i="93"/>
  <c r="J867" i="93"/>
  <c r="GK48" i="75"/>
  <c r="J102" i="75" s="1"/>
  <c r="GM48" i="75"/>
  <c r="L102" i="75" s="1"/>
  <c r="GQ48" i="75"/>
  <c r="GZ48" i="75"/>
  <c r="J105" i="75" s="1"/>
  <c r="HD48" i="75"/>
  <c r="N105" i="75" s="1"/>
  <c r="HH48" i="75"/>
  <c r="HO48" i="75"/>
  <c r="J108" i="75" s="1"/>
  <c r="HS48" i="75"/>
  <c r="N108" i="75" s="1"/>
  <c r="HW48" i="75"/>
  <c r="MF48" i="75"/>
  <c r="MJ48" i="75"/>
  <c r="ML48" i="75"/>
  <c r="IC810" i="94"/>
  <c r="JH810" i="94"/>
  <c r="J888" i="94" s="1"/>
  <c r="IA787" i="94"/>
  <c r="IA810" i="94" s="1"/>
  <c r="MS48" i="75"/>
  <c r="P237" i="75" s="1"/>
  <c r="CE805" i="93"/>
  <c r="J871" i="93" s="1"/>
  <c r="CR805" i="93"/>
  <c r="M873" i="93" s="1"/>
  <c r="BK810" i="94"/>
  <c r="J849" i="94" s="1"/>
  <c r="CV810" i="94"/>
  <c r="L860" i="94" s="1"/>
  <c r="EB810" i="94"/>
  <c r="N854" i="94" s="1"/>
  <c r="BW810" i="94"/>
  <c r="L847" i="94" s="1"/>
  <c r="W786" i="94"/>
  <c r="W784" i="94"/>
  <c r="W782" i="94"/>
  <c r="W780" i="94"/>
  <c r="DC805" i="93"/>
  <c r="N875" i="93" s="1"/>
  <c r="CX805" i="93"/>
  <c r="CU805" i="93"/>
  <c r="LO48" i="75"/>
  <c r="EP810" i="94"/>
  <c r="M908" i="94" s="1"/>
  <c r="FP810" i="94"/>
  <c r="N913" i="94" s="1"/>
  <c r="FZ810" i="94"/>
  <c r="FQ48" i="75"/>
  <c r="J153" i="75" s="1"/>
  <c r="GC48" i="75"/>
  <c r="L155" i="75" s="1"/>
  <c r="CP805" i="93"/>
  <c r="K873" i="93" s="1"/>
  <c r="CL805" i="93"/>
  <c r="EH810" i="94"/>
  <c r="J907" i="94" s="1"/>
  <c r="A787" i="94"/>
  <c r="Q774" i="93"/>
  <c r="R17" i="75"/>
  <c r="A786" i="94"/>
  <c r="FR48" i="75"/>
  <c r="K153" i="75" s="1"/>
  <c r="FT48" i="75"/>
  <c r="M153" i="75" s="1"/>
  <c r="FV48" i="75"/>
  <c r="FX48" i="75"/>
  <c r="FZ48" i="75"/>
  <c r="GB48" i="75"/>
  <c r="K155" i="75" s="1"/>
  <c r="GD48" i="75"/>
  <c r="M155" i="75" s="1"/>
  <c r="BZ805" i="93"/>
  <c r="J870" i="93" s="1"/>
  <c r="IJ805" i="93"/>
  <c r="LN810" i="94"/>
  <c r="FF810" i="94"/>
  <c r="N911" i="94" s="1"/>
  <c r="A785" i="94"/>
  <c r="FX810" i="94"/>
  <c r="GD810" i="94"/>
  <c r="M917" i="94" s="1"/>
  <c r="FU48" i="75"/>
  <c r="N153" i="75" s="1"/>
  <c r="FW48" i="75"/>
  <c r="FY48" i="75"/>
  <c r="DA805" i="93"/>
  <c r="L875" i="93" s="1"/>
  <c r="LK48" i="75"/>
  <c r="II805" i="93"/>
  <c r="CF805" i="93"/>
  <c r="K871" i="93" s="1"/>
  <c r="A805" i="93"/>
  <c r="A762" i="93" s="1"/>
  <c r="EQ810" i="94"/>
  <c r="N908" i="94" s="1"/>
  <c r="FE48" i="75"/>
  <c r="M149" i="75" s="1"/>
  <c r="IL805" i="93"/>
  <c r="CA805" i="93"/>
  <c r="K870" i="93" s="1"/>
  <c r="FA810" i="94"/>
  <c r="N910" i="94" s="1"/>
  <c r="LO810" i="94"/>
  <c r="EM810" i="94"/>
  <c r="J908" i="94" s="1"/>
  <c r="FG810" i="94"/>
  <c r="J912" i="94" s="1"/>
  <c r="A779" i="94"/>
  <c r="F810" i="94"/>
  <c r="GC810" i="94"/>
  <c r="L917" i="94" s="1"/>
  <c r="GE810" i="94"/>
  <c r="N917" i="94" s="1"/>
  <c r="BD810" i="94"/>
  <c r="M824" i="94" s="1"/>
  <c r="N1214" i="94"/>
  <c r="L138" i="75"/>
  <c r="K50" i="73" s="1"/>
  <c r="JH48" i="75"/>
  <c r="J126" i="75" s="1"/>
  <c r="BD48" i="75"/>
  <c r="M62" i="75" s="1"/>
  <c r="L106" i="75"/>
  <c r="FG48" i="75"/>
  <c r="J150" i="75" s="1"/>
  <c r="M1215" i="94"/>
  <c r="JL48" i="75"/>
  <c r="N126" i="75" s="1"/>
  <c r="JZ810" i="94"/>
  <c r="M879" i="94" s="1"/>
  <c r="KP810" i="94"/>
  <c r="N882" i="94" s="1"/>
  <c r="N901" i="94" s="1"/>
  <c r="JL810" i="94"/>
  <c r="N888" i="94" s="1"/>
  <c r="IG810" i="94"/>
  <c r="M886" i="94" s="1"/>
  <c r="KS810" i="94"/>
  <c r="L883" i="94" s="1"/>
  <c r="L902" i="94" s="1"/>
  <c r="ME810" i="94"/>
  <c r="II810" i="94"/>
  <c r="J887" i="94" s="1"/>
  <c r="KE810" i="94"/>
  <c r="M880" i="94" s="1"/>
  <c r="MG810" i="94"/>
  <c r="KA810" i="94"/>
  <c r="N879" i="94" s="1"/>
  <c r="KQ810" i="94"/>
  <c r="J883" i="94" s="1"/>
  <c r="J902" i="94" s="1"/>
  <c r="IH810" i="94"/>
  <c r="N886" i="94" s="1"/>
  <c r="KT810" i="94"/>
  <c r="M883" i="94" s="1"/>
  <c r="M902" i="94" s="1"/>
  <c r="KZ48" i="75"/>
  <c r="N122" i="75" s="1"/>
  <c r="IG48" i="75"/>
  <c r="M124" i="75" s="1"/>
  <c r="FN48" i="75"/>
  <c r="L151" i="75" s="1"/>
  <c r="AJ48" i="75"/>
  <c r="M58" i="75" s="1"/>
  <c r="AM48" i="75"/>
  <c r="K59" i="75" s="1"/>
  <c r="EC48" i="75"/>
  <c r="J66" i="75" s="1"/>
  <c r="BF48" i="75"/>
  <c r="J64" i="75" s="1"/>
  <c r="CK805" i="93"/>
  <c r="AP805" i="93"/>
  <c r="N816" i="93" s="1"/>
  <c r="FB48" i="75"/>
  <c r="J149" i="75" s="1"/>
  <c r="AV48" i="75"/>
  <c r="J61" i="75" s="1"/>
  <c r="AL48" i="75"/>
  <c r="J59" i="75" s="1"/>
  <c r="DU805" i="93"/>
  <c r="L832" i="93" s="1"/>
  <c r="CQ805" i="93"/>
  <c r="L873" i="93" s="1"/>
  <c r="BG805" i="93"/>
  <c r="AW805" i="93"/>
  <c r="K822" i="93" s="1"/>
  <c r="AA805" i="93"/>
  <c r="N813" i="93" s="1"/>
  <c r="CT48" i="75"/>
  <c r="J98" i="75" s="1"/>
  <c r="CV48" i="75"/>
  <c r="L98" i="75" s="1"/>
  <c r="CX48" i="75"/>
  <c r="N98" i="75" s="1"/>
  <c r="DD48" i="75"/>
  <c r="J96" i="75" s="1"/>
  <c r="DF48" i="75"/>
  <c r="L96" i="75" s="1"/>
  <c r="DH48" i="75"/>
  <c r="N96" i="75" s="1"/>
  <c r="CW810" i="94"/>
  <c r="M860" i="94" s="1"/>
  <c r="FD810" i="94"/>
  <c r="L911" i="94" s="1"/>
  <c r="FT810" i="94"/>
  <c r="M915" i="94" s="1"/>
  <c r="MC810" i="94"/>
  <c r="GJ810" i="94"/>
  <c r="N863" i="94" s="1"/>
  <c r="HC810" i="94"/>
  <c r="M867" i="94" s="1"/>
  <c r="AC810" i="94"/>
  <c r="K819" i="94" s="1"/>
  <c r="AW48" i="75"/>
  <c r="K61" i="75" s="1"/>
  <c r="DE805" i="93"/>
  <c r="K829" i="93" s="1"/>
  <c r="EV810" i="94"/>
  <c r="N909" i="94" s="1"/>
  <c r="LH810" i="94"/>
  <c r="MK810" i="94"/>
  <c r="HX810" i="94"/>
  <c r="MN810" i="94"/>
  <c r="GB810" i="94"/>
  <c r="K917" i="94" s="1"/>
  <c r="KO48" i="75"/>
  <c r="M120" i="75" s="1"/>
  <c r="M139" i="75" s="1"/>
  <c r="IQ48" i="75"/>
  <c r="M130" i="75" s="1"/>
  <c r="FC48" i="75"/>
  <c r="K149" i="75" s="1"/>
  <c r="AT48" i="75"/>
  <c r="M60" i="75" s="1"/>
  <c r="L827" i="93"/>
  <c r="FP48" i="75"/>
  <c r="N151" i="75" s="1"/>
  <c r="AT810" i="94"/>
  <c r="M822" i="94" s="1"/>
  <c r="Z810" i="94"/>
  <c r="M818" i="94" s="1"/>
  <c r="BJ48" i="75"/>
  <c r="N64" i="75" s="1"/>
  <c r="Z48" i="75"/>
  <c r="M56" i="75" s="1"/>
  <c r="AQ48" i="75"/>
  <c r="J60" i="75" s="1"/>
  <c r="J900" i="94"/>
  <c r="JV810" i="94"/>
  <c r="N878" i="94" s="1"/>
  <c r="N899" i="94" s="1"/>
  <c r="JF810" i="94"/>
  <c r="M891" i="94" s="1"/>
  <c r="IP810" i="94"/>
  <c r="L892" i="94" s="1"/>
  <c r="KJ810" i="94"/>
  <c r="M881" i="94" s="1"/>
  <c r="KX48" i="75"/>
  <c r="L122" i="75" s="1"/>
  <c r="JJ48" i="75"/>
  <c r="L126" i="75" s="1"/>
  <c r="IY48" i="75"/>
  <c r="K128" i="75" s="1"/>
  <c r="EW48" i="75"/>
  <c r="J148" i="75" s="1"/>
  <c r="FK48" i="75"/>
  <c r="N150" i="75" s="1"/>
  <c r="FI48" i="75"/>
  <c r="L150" i="75" s="1"/>
  <c r="FL48" i="75"/>
  <c r="J151" i="75" s="1"/>
  <c r="ED810" i="94"/>
  <c r="K828" i="94" s="1"/>
  <c r="AW810" i="94"/>
  <c r="K823" i="94" s="1"/>
  <c r="AC48" i="75"/>
  <c r="K57" i="75" s="1"/>
  <c r="AB48" i="75"/>
  <c r="J57" i="75" s="1"/>
  <c r="DS48" i="75"/>
  <c r="J93" i="75" s="1"/>
  <c r="DU48" i="75"/>
  <c r="L93" i="75" s="1"/>
  <c r="DW48" i="75"/>
  <c r="N93" i="75" s="1"/>
  <c r="DX48" i="75"/>
  <c r="J92" i="75" s="1"/>
  <c r="DZ48" i="75"/>
  <c r="L92" i="75" s="1"/>
  <c r="EB48" i="75"/>
  <c r="N92" i="75" s="1"/>
  <c r="GQ810" i="94"/>
  <c r="FS810" i="94"/>
  <c r="L915" i="94" s="1"/>
  <c r="FC810" i="94"/>
  <c r="K911" i="94" s="1"/>
  <c r="CI810" i="94"/>
  <c r="N845" i="94" s="1"/>
  <c r="FR810" i="94"/>
  <c r="K915" i="94" s="1"/>
  <c r="CH810" i="94"/>
  <c r="M845" i="94" s="1"/>
  <c r="BR810" i="94"/>
  <c r="L848" i="94" s="1"/>
  <c r="HE810" i="94"/>
  <c r="FQ810" i="94"/>
  <c r="J915" i="94" s="1"/>
  <c r="EK810" i="94"/>
  <c r="M907" i="94" s="1"/>
  <c r="DM810" i="94"/>
  <c r="N857" i="94" s="1"/>
  <c r="CG810" i="94"/>
  <c r="L845" i="94" s="1"/>
  <c r="LT810" i="94"/>
  <c r="HS810" i="94"/>
  <c r="N870" i="94" s="1"/>
  <c r="GM810" i="94"/>
  <c r="L864" i="94" s="1"/>
  <c r="HR810" i="94"/>
  <c r="M870" i="94" s="1"/>
  <c r="HB810" i="94"/>
  <c r="L867" i="94" s="1"/>
  <c r="GL810" i="94"/>
  <c r="K864" i="94" s="1"/>
  <c r="FU810" i="94"/>
  <c r="N915" i="94" s="1"/>
  <c r="FE810" i="94"/>
  <c r="M911" i="94" s="1"/>
  <c r="EO810" i="94"/>
  <c r="L908" i="94" s="1"/>
  <c r="JU810" i="94"/>
  <c r="M878" i="94" s="1"/>
  <c r="KK810" i="94"/>
  <c r="N881" i="94" s="1"/>
  <c r="IM810" i="94"/>
  <c r="N887" i="94" s="1"/>
  <c r="JC810" i="94"/>
  <c r="J891" i="94" s="1"/>
  <c r="KL810" i="94"/>
  <c r="J882" i="94" s="1"/>
  <c r="LB810" i="94"/>
  <c r="K885" i="94" s="1"/>
  <c r="JP810" i="94"/>
  <c r="M889" i="94" s="1"/>
  <c r="M900" i="94" s="1"/>
  <c r="KF810" i="94"/>
  <c r="N880" i="94" s="1"/>
  <c r="IN810" i="94"/>
  <c r="J892" i="94" s="1"/>
  <c r="LV810" i="94"/>
  <c r="LP810" i="94"/>
  <c r="BT810" i="94"/>
  <c r="N848" i="94" s="1"/>
  <c r="IK810" i="94"/>
  <c r="L887" i="94" s="1"/>
  <c r="MJ810" i="94"/>
  <c r="FV810" i="94"/>
  <c r="EX48" i="75"/>
  <c r="K148" i="75" s="1"/>
  <c r="BI810" i="94"/>
  <c r="M826" i="94" s="1"/>
  <c r="AO781" i="94"/>
  <c r="BG810" i="94"/>
  <c r="K826" i="94" s="1"/>
  <c r="BB810" i="94"/>
  <c r="K824" i="94" s="1"/>
  <c r="AH810" i="94"/>
  <c r="K820" i="94" s="1"/>
  <c r="AI48" i="75"/>
  <c r="L58" i="75" s="1"/>
  <c r="AD48" i="75"/>
  <c r="L57" i="75" s="1"/>
  <c r="Y48" i="75"/>
  <c r="L56" i="75" s="1"/>
  <c r="ED48" i="75"/>
  <c r="K66" i="75" s="1"/>
  <c r="BG48" i="75"/>
  <c r="K64" i="75" s="1"/>
  <c r="BB48" i="75"/>
  <c r="K62" i="75" s="1"/>
  <c r="AH48" i="75"/>
  <c r="K58" i="75" s="1"/>
  <c r="IB781" i="94"/>
  <c r="IB810" i="94" s="1"/>
  <c r="KF48" i="75"/>
  <c r="N118" i="75" s="1"/>
  <c r="KY48" i="75"/>
  <c r="M122" i="75" s="1"/>
  <c r="KE48" i="75"/>
  <c r="M118" i="75" s="1"/>
  <c r="KB48" i="75"/>
  <c r="J118" i="75" s="1"/>
  <c r="KP48" i="75"/>
  <c r="N120" i="75" s="1"/>
  <c r="N139" i="75" s="1"/>
  <c r="JV48" i="75"/>
  <c r="N116" i="75" s="1"/>
  <c r="JK48" i="75"/>
  <c r="M126" i="75" s="1"/>
  <c r="JU48" i="75"/>
  <c r="M116" i="75" s="1"/>
  <c r="JR48" i="75"/>
  <c r="J116" i="75" s="1"/>
  <c r="IR48" i="75"/>
  <c r="N130" i="75" s="1"/>
  <c r="JB48" i="75"/>
  <c r="N128" i="75" s="1"/>
  <c r="IH48" i="75"/>
  <c r="N124" i="75" s="1"/>
  <c r="IP48" i="75"/>
  <c r="L130" i="75" s="1"/>
  <c r="IZ48" i="75"/>
  <c r="L128" i="75" s="1"/>
  <c r="IF48" i="75"/>
  <c r="L124" i="75" s="1"/>
  <c r="IO48" i="75"/>
  <c r="K130" i="75" s="1"/>
  <c r="FF48" i="75"/>
  <c r="N149" i="75" s="1"/>
  <c r="FJ48" i="75"/>
  <c r="M150" i="75" s="1"/>
  <c r="FM48" i="75"/>
  <c r="K151" i="75" s="1"/>
  <c r="AY810" i="94"/>
  <c r="M823" i="94" s="1"/>
  <c r="AE810" i="94"/>
  <c r="M819" i="94" s="1"/>
  <c r="BA810" i="94"/>
  <c r="J824" i="94" s="1"/>
  <c r="AY48" i="75"/>
  <c r="M61" i="75" s="1"/>
  <c r="AE48" i="75"/>
  <c r="M57" i="75" s="1"/>
  <c r="J831" i="93"/>
  <c r="K834" i="93"/>
  <c r="N834" i="93"/>
  <c r="M831" i="93"/>
  <c r="N862" i="93"/>
  <c r="O857" i="93"/>
  <c r="N861" i="93"/>
  <c r="N868" i="93"/>
  <c r="JB805" i="93"/>
  <c r="EF805" i="93"/>
  <c r="EV805" i="93"/>
  <c r="AR805" i="93"/>
  <c r="CJ805" i="93"/>
  <c r="N903" i="94"/>
  <c r="HU810" i="94"/>
  <c r="HT810" i="94"/>
  <c r="HA810" i="94"/>
  <c r="K867" i="94" s="1"/>
  <c r="GX810" i="94"/>
  <c r="M866" i="94" s="1"/>
  <c r="MP810" i="94"/>
  <c r="GW810" i="94"/>
  <c r="L866" i="94" s="1"/>
  <c r="GF810" i="94"/>
  <c r="J863" i="94" s="1"/>
  <c r="CL810" i="94"/>
  <c r="L844" i="94" s="1"/>
  <c r="IO810" i="94"/>
  <c r="K892" i="94" s="1"/>
  <c r="DR810" i="94"/>
  <c r="N856" i="94" s="1"/>
  <c r="O856" i="94" s="1"/>
  <c r="KH810" i="94"/>
  <c r="K881" i="94" s="1"/>
  <c r="EU810" i="94"/>
  <c r="M909" i="94" s="1"/>
  <c r="DF810" i="94"/>
  <c r="L858" i="94" s="1"/>
  <c r="LZ810" i="94"/>
  <c r="DW810" i="94"/>
  <c r="N855" i="94" s="1"/>
  <c r="KX810" i="94"/>
  <c r="L884" i="94" s="1"/>
  <c r="EI810" i="94"/>
  <c r="K907" i="94" s="1"/>
  <c r="JG810" i="94"/>
  <c r="N891" i="94" s="1"/>
  <c r="BP810" i="94"/>
  <c r="J848" i="94" s="1"/>
  <c r="DL810" i="94"/>
  <c r="M857" i="94" s="1"/>
  <c r="O857" i="94" s="1"/>
  <c r="LG810" i="94"/>
  <c r="ER810" i="94"/>
  <c r="J909" i="94" s="1"/>
  <c r="ES810" i="94"/>
  <c r="K909" i="94" s="1"/>
  <c r="LM810" i="94"/>
  <c r="EW810" i="94"/>
  <c r="J910" i="94" s="1"/>
  <c r="FM810" i="94"/>
  <c r="K913" i="94" s="1"/>
  <c r="LK810" i="94"/>
  <c r="HI810" i="94"/>
  <c r="MH810" i="94"/>
  <c r="GU810" i="94"/>
  <c r="J866" i="94" s="1"/>
  <c r="LX810" i="94"/>
  <c r="GG810" i="94"/>
  <c r="K863" i="94" s="1"/>
  <c r="HM810" i="94"/>
  <c r="M869" i="94" s="1"/>
  <c r="LU810" i="94"/>
  <c r="FJ810" i="94"/>
  <c r="M912" i="94" s="1"/>
  <c r="BZ810" i="94"/>
  <c r="J846" i="94" s="1"/>
  <c r="DB810" i="94"/>
  <c r="M859" i="94" s="1"/>
  <c r="KD48" i="75"/>
  <c r="L118" i="75" s="1"/>
  <c r="KW48" i="75"/>
  <c r="K122" i="75" s="1"/>
  <c r="O122" i="75" s="1"/>
  <c r="KC48" i="75"/>
  <c r="K118" i="75" s="1"/>
  <c r="O118" i="75" s="1"/>
  <c r="KN48" i="75"/>
  <c r="L120" i="75" s="1"/>
  <c r="L139" i="75" s="1"/>
  <c r="KM48" i="75"/>
  <c r="K120" i="75" s="1"/>
  <c r="K139" i="75" s="1"/>
  <c r="KL48" i="75"/>
  <c r="J120" i="75" s="1"/>
  <c r="JT48" i="75"/>
  <c r="L116" i="75" s="1"/>
  <c r="JI48" i="75"/>
  <c r="K126" i="75" s="1"/>
  <c r="O126" i="75" s="1"/>
  <c r="JS48" i="75"/>
  <c r="K116" i="75" s="1"/>
  <c r="O116" i="75" s="1"/>
  <c r="DT48" i="75"/>
  <c r="K93" i="75" s="1"/>
  <c r="DV48" i="75"/>
  <c r="M93" i="75" s="1"/>
  <c r="DY48" i="75"/>
  <c r="K92" i="75" s="1"/>
  <c r="EA48" i="75"/>
  <c r="M92" i="75" s="1"/>
  <c r="AU48" i="75"/>
  <c r="N60" i="75" s="1"/>
  <c r="AP48" i="75"/>
  <c r="N59" i="75" s="1"/>
  <c r="AK48" i="75"/>
  <c r="N58" i="75" s="1"/>
  <c r="AF48" i="75"/>
  <c r="N57" i="75" s="1"/>
  <c r="AA48" i="75"/>
  <c r="N56" i="75" s="1"/>
  <c r="EF48" i="75"/>
  <c r="M66" i="75" s="1"/>
  <c r="BI48" i="75"/>
  <c r="M64" i="75" s="1"/>
  <c r="AO48" i="75"/>
  <c r="M59" i="75" s="1"/>
  <c r="EE48" i="75"/>
  <c r="L66" i="75" s="1"/>
  <c r="BH48" i="75"/>
  <c r="L64" i="75" s="1"/>
  <c r="BC48" i="75"/>
  <c r="L62" i="75" s="1"/>
  <c r="AX48" i="75"/>
  <c r="L61" i="75" s="1"/>
  <c r="AS48" i="75"/>
  <c r="L60" i="75" s="1"/>
  <c r="AN48" i="75"/>
  <c r="L59" i="75" s="1"/>
  <c r="AG48" i="75"/>
  <c r="J58" i="75" s="1"/>
  <c r="JA48" i="75"/>
  <c r="M128" i="75" s="1"/>
  <c r="IE48" i="75"/>
  <c r="K124" i="75" s="1"/>
  <c r="IN48" i="75"/>
  <c r="J130" i="75" s="1"/>
  <c r="O130" i="75" s="1"/>
  <c r="IX48" i="75"/>
  <c r="J128" i="75" s="1"/>
  <c r="ID48" i="75"/>
  <c r="J124" i="75" s="1"/>
  <c r="CS48" i="75"/>
  <c r="N81" i="75" s="1"/>
  <c r="CR48" i="75"/>
  <c r="M81" i="75" s="1"/>
  <c r="CQ48" i="75"/>
  <c r="L81" i="75" s="1"/>
  <c r="CP48" i="75"/>
  <c r="K81" i="75" s="1"/>
  <c r="CO48" i="75"/>
  <c r="J81" i="75" s="1"/>
  <c r="CN48" i="75"/>
  <c r="N82" i="75" s="1"/>
  <c r="CM48" i="75"/>
  <c r="M82" i="75" s="1"/>
  <c r="CL48" i="75"/>
  <c r="L82" i="75" s="1"/>
  <c r="CK48" i="75"/>
  <c r="K82" i="75" s="1"/>
  <c r="CJ48" i="75"/>
  <c r="J82" i="75" s="1"/>
  <c r="CI48" i="75"/>
  <c r="N83" i="75" s="1"/>
  <c r="CH48" i="75"/>
  <c r="M83" i="75" s="1"/>
  <c r="CG48" i="75"/>
  <c r="L83" i="75" s="1"/>
  <c r="CF48" i="75"/>
  <c r="K83" i="75" s="1"/>
  <c r="CE48" i="75"/>
  <c r="J83" i="75" s="1"/>
  <c r="CD48" i="75"/>
  <c r="N84" i="75" s="1"/>
  <c r="CC48" i="75"/>
  <c r="M84" i="75" s="1"/>
  <c r="CB48" i="75"/>
  <c r="L84" i="75" s="1"/>
  <c r="CA48" i="75"/>
  <c r="K84" i="75" s="1"/>
  <c r="BZ48" i="75"/>
  <c r="J84" i="75" s="1"/>
  <c r="BY48" i="75"/>
  <c r="N85" i="75" s="1"/>
  <c r="BT48" i="75"/>
  <c r="N86" i="75" s="1"/>
  <c r="BS48" i="75"/>
  <c r="M86" i="75" s="1"/>
  <c r="BR48" i="75"/>
  <c r="L86" i="75" s="1"/>
  <c r="BQ48" i="75"/>
  <c r="K86" i="75" s="1"/>
  <c r="BP48" i="75"/>
  <c r="J86" i="75" s="1"/>
  <c r="BO48" i="75"/>
  <c r="N87" i="75" s="1"/>
  <c r="BN48" i="75"/>
  <c r="M87" i="75" s="1"/>
  <c r="BM48" i="75"/>
  <c r="L87" i="75" s="1"/>
  <c r="BL48" i="75"/>
  <c r="K87" i="75" s="1"/>
  <c r="BK48" i="75"/>
  <c r="J87" i="75" s="1"/>
  <c r="EL48" i="75"/>
  <c r="N145" i="75" s="1"/>
  <c r="EK48" i="75"/>
  <c r="M145" i="75" s="1"/>
  <c r="EJ48" i="75"/>
  <c r="L145" i="75" s="1"/>
  <c r="EI48" i="75"/>
  <c r="K145" i="75" s="1"/>
  <c r="EH48" i="75"/>
  <c r="J145" i="75" s="1"/>
  <c r="EQ48" i="75"/>
  <c r="N146" i="75" s="1"/>
  <c r="EP48" i="75"/>
  <c r="M146" i="75" s="1"/>
  <c r="EO48" i="75"/>
  <c r="L146" i="75" s="1"/>
  <c r="EN48" i="75"/>
  <c r="K146" i="75" s="1"/>
  <c r="EM48" i="75"/>
  <c r="J146" i="75" s="1"/>
  <c r="EV48" i="75"/>
  <c r="N147" i="75" s="1"/>
  <c r="EU48" i="75"/>
  <c r="M147" i="75" s="1"/>
  <c r="ET48" i="75"/>
  <c r="L147" i="75" s="1"/>
  <c r="ES48" i="75"/>
  <c r="K147" i="75" s="1"/>
  <c r="ER48" i="75"/>
  <c r="J147" i="75" s="1"/>
  <c r="FA48" i="75"/>
  <c r="N148" i="75" s="1"/>
  <c r="EZ48" i="75"/>
  <c r="M148" i="75" s="1"/>
  <c r="EY48" i="75"/>
  <c r="L148" i="75" s="1"/>
  <c r="FD48" i="75"/>
  <c r="L149" i="75" s="1"/>
  <c r="FH48" i="75"/>
  <c r="K150" i="75" s="1"/>
  <c r="FO48" i="75"/>
  <c r="M151" i="75" s="1"/>
  <c r="EG810" i="94"/>
  <c r="N828" i="94" s="1"/>
  <c r="BJ810" i="94"/>
  <c r="N826" i="94" s="1"/>
  <c r="BE810" i="94"/>
  <c r="N824" i="94" s="1"/>
  <c r="AZ810" i="94"/>
  <c r="N823" i="94" s="1"/>
  <c r="AU810" i="94"/>
  <c r="N822" i="94" s="1"/>
  <c r="AP810" i="94"/>
  <c r="N821" i="94" s="1"/>
  <c r="AK810" i="94"/>
  <c r="N820" i="94" s="1"/>
  <c r="AF810" i="94"/>
  <c r="N819" i="94" s="1"/>
  <c r="AA810" i="94"/>
  <c r="N818" i="94" s="1"/>
  <c r="EF810" i="94"/>
  <c r="M828" i="94" s="1"/>
  <c r="AO810" i="94"/>
  <c r="M821" i="94" s="1"/>
  <c r="EE810" i="94"/>
  <c r="L828" i="94" s="1"/>
  <c r="BH810" i="94"/>
  <c r="L826" i="94" s="1"/>
  <c r="BC810" i="94"/>
  <c r="L824" i="94" s="1"/>
  <c r="AX810" i="94"/>
  <c r="L823" i="94" s="1"/>
  <c r="AS810" i="94"/>
  <c r="L822" i="94" s="1"/>
  <c r="AN810" i="94"/>
  <c r="L821" i="94" s="1"/>
  <c r="AI810" i="94"/>
  <c r="L820" i="94" s="1"/>
  <c r="AD810" i="94"/>
  <c r="L819" i="94" s="1"/>
  <c r="Y810" i="94"/>
  <c r="L818" i="94" s="1"/>
  <c r="AR810" i="94"/>
  <c r="K822" i="94" s="1"/>
  <c r="X810" i="94"/>
  <c r="K818" i="94" s="1"/>
  <c r="EC810" i="94"/>
  <c r="J828" i="94" s="1"/>
  <c r="BF810" i="94"/>
  <c r="J826" i="94" s="1"/>
  <c r="O57" i="75"/>
  <c r="H63" i="66" s="1"/>
  <c r="AR48" i="75"/>
  <c r="K60" i="75" s="1"/>
  <c r="X48" i="75"/>
  <c r="K56" i="75" s="1"/>
  <c r="W48" i="75"/>
  <c r="J56" i="75" s="1"/>
  <c r="M57" i="73"/>
  <c r="M138" i="75"/>
  <c r="J103" i="75"/>
  <c r="O101" i="75"/>
  <c r="O153" i="75"/>
  <c r="P92" i="94" s="1"/>
  <c r="O97" i="75"/>
  <c r="L113" i="75"/>
  <c r="K109" i="75"/>
  <c r="K99" i="75"/>
  <c r="O104" i="75"/>
  <c r="O95" i="75"/>
  <c r="O830" i="93"/>
  <c r="N831" i="93"/>
  <c r="M827" i="93"/>
  <c r="L837" i="93"/>
  <c r="O942" i="93"/>
  <c r="L831" i="93"/>
  <c r="O60" i="75"/>
  <c r="O58" i="75"/>
  <c r="A48" i="75"/>
  <c r="A5" i="75" s="1"/>
  <c r="GA48" i="75"/>
  <c r="J155" i="75" s="1"/>
  <c r="GE48" i="75"/>
  <c r="N155" i="75" s="1"/>
  <c r="GT48" i="75"/>
  <c r="N103" i="75" s="1"/>
  <c r="HA48" i="75"/>
  <c r="K105" i="75" s="1"/>
  <c r="K106" i="75" s="1"/>
  <c r="HE48" i="75"/>
  <c r="J106" i="75" s="1"/>
  <c r="HI48" i="75"/>
  <c r="N106" i="75" s="1"/>
  <c r="HR48" i="75"/>
  <c r="M108" i="75" s="1"/>
  <c r="O108" i="75" s="1"/>
  <c r="HV48" i="75"/>
  <c r="L109" i="75" s="1"/>
  <c r="HX48" i="75"/>
  <c r="N109" i="75" s="1"/>
  <c r="IB48" i="75"/>
  <c r="II48" i="75"/>
  <c r="J125" i="75" s="1"/>
  <c r="IM48" i="75"/>
  <c r="N125" i="75" s="1"/>
  <c r="IT48" i="75"/>
  <c r="K131" i="75" s="1"/>
  <c r="O131" i="75" s="1"/>
  <c r="JC48" i="75"/>
  <c r="J129" i="75" s="1"/>
  <c r="JG48" i="75"/>
  <c r="N129" i="75" s="1"/>
  <c r="JN48" i="75"/>
  <c r="K127" i="75" s="1"/>
  <c r="O127" i="75" s="1"/>
  <c r="JW48" i="75"/>
  <c r="J117" i="75" s="1"/>
  <c r="KA48" i="75"/>
  <c r="N117" i="75" s="1"/>
  <c r="KH48" i="75"/>
  <c r="K119" i="75" s="1"/>
  <c r="KQ48" i="75"/>
  <c r="J121" i="75" s="1"/>
  <c r="KU48" i="75"/>
  <c r="N121" i="75" s="1"/>
  <c r="N140" i="75" s="1"/>
  <c r="LB48" i="75"/>
  <c r="K123" i="75" s="1"/>
  <c r="LD48" i="75"/>
  <c r="M123" i="75" s="1"/>
  <c r="M113" i="75" s="1"/>
  <c r="ME48" i="75"/>
  <c r="MG48" i="75"/>
  <c r="MM48" i="75"/>
  <c r="O236" i="75" s="1"/>
  <c r="N823" i="93"/>
  <c r="J872" i="93"/>
  <c r="O829" i="93"/>
  <c r="N864" i="93"/>
  <c r="P943" i="93"/>
  <c r="K867" i="93"/>
  <c r="H86" i="94"/>
  <c r="P146" i="75"/>
  <c r="P908" i="94" s="1"/>
  <c r="O59" i="75"/>
  <c r="O56" i="75"/>
  <c r="IH805" i="93"/>
  <c r="GX805" i="93"/>
  <c r="M845" i="93" s="1"/>
  <c r="O845" i="93" s="1"/>
  <c r="GP805" i="93"/>
  <c r="J844" i="93" s="1"/>
  <c r="J863" i="93" s="1"/>
  <c r="O883" i="94"/>
  <c r="HZ779" i="94"/>
  <c r="MR779" i="94"/>
  <c r="O98" i="75"/>
  <c r="M865" i="94"/>
  <c r="K865" i="94"/>
  <c r="O845" i="94"/>
  <c r="O860" i="94"/>
  <c r="O902" i="94"/>
  <c r="O863" i="94"/>
  <c r="O917" i="94"/>
  <c r="N141" i="75"/>
  <c r="N50" i="73"/>
  <c r="M50" i="73"/>
  <c r="K1209" i="94"/>
  <c r="K1145" i="93"/>
  <c r="K51" i="73"/>
  <c r="N62" i="73"/>
  <c r="M62" i="73"/>
  <c r="N66" i="73"/>
  <c r="M66" i="73"/>
  <c r="M1216" i="94"/>
  <c r="N1216" i="94"/>
  <c r="J109" i="75"/>
  <c r="O107" i="75"/>
  <c r="K1150" i="93"/>
  <c r="K56" i="73"/>
  <c r="L103" i="75"/>
  <c r="O119" i="75"/>
  <c r="L136" i="75"/>
  <c r="M103" i="75"/>
  <c r="O102" i="75"/>
  <c r="L142" i="75"/>
  <c r="K103" i="75"/>
  <c r="M106" i="75"/>
  <c r="M109" i="75"/>
  <c r="O821" i="93"/>
  <c r="K823" i="93"/>
  <c r="K837" i="93"/>
  <c r="M837" i="93"/>
  <c r="O833" i="93"/>
  <c r="K872" i="93"/>
  <c r="K874" i="93" s="1"/>
  <c r="L823" i="93"/>
  <c r="M823" i="93"/>
  <c r="K861" i="93"/>
  <c r="O852" i="93"/>
  <c r="J862" i="93"/>
  <c r="O853" i="93"/>
  <c r="L862" i="93"/>
  <c r="J864" i="93"/>
  <c r="J841" i="93"/>
  <c r="J861" i="93"/>
  <c r="O856" i="93"/>
  <c r="K843" i="93"/>
  <c r="K841" i="93"/>
  <c r="K864" i="93"/>
  <c r="M861" i="93"/>
  <c r="O847" i="93"/>
  <c r="K827" i="93"/>
  <c r="O850" i="93"/>
  <c r="K863" i="93"/>
  <c r="M868" i="93"/>
  <c r="N827" i="93"/>
  <c r="L834" i="93"/>
  <c r="N837" i="93"/>
  <c r="N1151" i="93"/>
  <c r="M1151" i="93"/>
  <c r="K1208" i="94"/>
  <c r="K1144" i="93"/>
  <c r="K1220" i="94"/>
  <c r="K1156" i="93"/>
  <c r="K1224" i="94"/>
  <c r="K1160" i="93"/>
  <c r="K1217" i="94"/>
  <c r="K1153" i="93"/>
  <c r="K59" i="73"/>
  <c r="K1152" i="93"/>
  <c r="K58" i="73"/>
  <c r="M115" i="75"/>
  <c r="M136" i="75"/>
  <c r="K136" i="75"/>
  <c r="O105" i="75"/>
  <c r="O237" i="75"/>
  <c r="J140" i="75"/>
  <c r="O129" i="75"/>
  <c r="M99" i="75"/>
  <c r="J99" i="75"/>
  <c r="O94" i="75"/>
  <c r="O836" i="93"/>
  <c r="M867" i="93"/>
  <c r="O846" i="93"/>
  <c r="K831" i="93"/>
  <c r="O825" i="93"/>
  <c r="J868" i="93"/>
  <c r="O93" i="75"/>
  <c r="EC777" i="93"/>
  <c r="EC805" i="93" s="1"/>
  <c r="J834" i="93" s="1"/>
  <c r="BK781" i="93"/>
  <c r="BK805" i="93" s="1"/>
  <c r="J826" i="93" s="1"/>
  <c r="O826" i="93" s="1"/>
  <c r="IW777" i="93"/>
  <c r="IW805" i="93" s="1"/>
  <c r="HS775" i="93"/>
  <c r="HS805" i="93" s="1"/>
  <c r="N849" i="93" s="1"/>
  <c r="N841" i="93" s="1"/>
  <c r="FT775" i="93"/>
  <c r="GN777" i="93"/>
  <c r="GN805" i="93" s="1"/>
  <c r="M855" i="93" s="1"/>
  <c r="CG777" i="93"/>
  <c r="CG805" i="93" s="1"/>
  <c r="L871" i="93" s="1"/>
  <c r="AC777" i="93"/>
  <c r="CB777" i="93"/>
  <c r="CB805" i="93" s="1"/>
  <c r="L870" i="93" s="1"/>
  <c r="EH779" i="93"/>
  <c r="EH805" i="93" s="1"/>
  <c r="J835" i="93" s="1"/>
  <c r="GM777" i="93"/>
  <c r="GM805" i="93" s="1"/>
  <c r="L855" i="93" s="1"/>
  <c r="CC777" i="93"/>
  <c r="AB777" i="93"/>
  <c r="AB805" i="93" s="1"/>
  <c r="J814" i="93" s="1"/>
  <c r="DV779" i="93"/>
  <c r="DV805" i="93" s="1"/>
  <c r="M832" i="93" s="1"/>
  <c r="GI777" i="93"/>
  <c r="GI805" i="93" s="1"/>
  <c r="M854" i="93" s="1"/>
  <c r="O854" i="93" s="1"/>
  <c r="AV777" i="93"/>
  <c r="AV805" i="93" s="1"/>
  <c r="J822" i="93" s="1"/>
  <c r="HJ777" i="93"/>
  <c r="HJ805" i="93" s="1"/>
  <c r="J848" i="93" s="1"/>
  <c r="DB777" i="93"/>
  <c r="DB805" i="93" s="1"/>
  <c r="M875" i="93" s="1"/>
  <c r="AS777" i="93"/>
  <c r="AS805" i="93" s="1"/>
  <c r="FT777" i="93"/>
  <c r="BV777" i="93"/>
  <c r="BV805" i="93" s="1"/>
  <c r="K818" i="93" s="1"/>
  <c r="O818" i="93" s="1"/>
  <c r="CO775" i="93"/>
  <c r="CO805" i="93" s="1"/>
  <c r="J873" i="93" s="1"/>
  <c r="GT777" i="93"/>
  <c r="GT805" i="93" s="1"/>
  <c r="N844" i="93" s="1"/>
  <c r="CV777" i="93"/>
  <c r="CV805" i="93" s="1"/>
  <c r="AN777" i="93"/>
  <c r="AN805" i="93" s="1"/>
  <c r="L816" i="93" s="1"/>
  <c r="CC779" i="93"/>
  <c r="CY779" i="93"/>
  <c r="CY805" i="93" s="1"/>
  <c r="J875" i="93" s="1"/>
  <c r="AH779" i="93"/>
  <c r="AH805" i="93" s="1"/>
  <c r="CS779" i="93"/>
  <c r="CS805" i="93" s="1"/>
  <c r="N873" i="93" s="1"/>
  <c r="AD779" i="93"/>
  <c r="AD805" i="93" s="1"/>
  <c r="L814" i="93" s="1"/>
  <c r="IS779" i="93"/>
  <c r="IS805" i="93" s="1"/>
  <c r="CM779" i="93"/>
  <c r="CM805" i="93" s="1"/>
  <c r="Y779" i="93"/>
  <c r="Y805" i="93" s="1"/>
  <c r="L813" i="93" s="1"/>
  <c r="HM781" i="93"/>
  <c r="HM805" i="93" s="1"/>
  <c r="M848" i="93" s="1"/>
  <c r="M865" i="93" s="1"/>
  <c r="IO779" i="93"/>
  <c r="IO805" i="93" s="1"/>
  <c r="JG781" i="93"/>
  <c r="JG805" i="93" s="1"/>
  <c r="O941" i="93" s="1"/>
  <c r="IM779" i="93"/>
  <c r="IM805" i="93" s="1"/>
  <c r="CI779" i="93"/>
  <c r="CI805" i="93" s="1"/>
  <c r="N871" i="93" s="1"/>
  <c r="W779" i="93"/>
  <c r="W805" i="93" s="1"/>
  <c r="J813" i="93" s="1"/>
  <c r="FN777" i="93"/>
  <c r="FN805" i="93" s="1"/>
  <c r="L858" i="93" s="1"/>
  <c r="O858" i="93" s="1"/>
  <c r="CW777" i="93"/>
  <c r="CW805" i="93" s="1"/>
  <c r="AF777" i="93"/>
  <c r="AF805" i="93" s="1"/>
  <c r="N814" i="93" s="1"/>
  <c r="N815" i="93" s="1"/>
  <c r="N817" i="93" s="1"/>
  <c r="N819" i="93" s="1"/>
  <c r="IA779" i="93"/>
  <c r="IA805" i="93" s="1"/>
  <c r="L851" i="93" s="1"/>
  <c r="L841" i="93" s="1"/>
  <c r="CZ779" i="93"/>
  <c r="CZ805" i="93" s="1"/>
  <c r="K875" i="93" s="1"/>
  <c r="ID779" i="93"/>
  <c r="ID805" i="93" s="1"/>
  <c r="FA781" i="93"/>
  <c r="FA805" i="93" s="1"/>
  <c r="AC779" i="93"/>
  <c r="CD779" i="93"/>
  <c r="CD805" i="93" s="1"/>
  <c r="N870" i="93" s="1"/>
  <c r="N872" i="93" s="1"/>
  <c r="AO779" i="93"/>
  <c r="AO805" i="93" s="1"/>
  <c r="M816" i="93" s="1"/>
  <c r="M817" i="93" s="1"/>
  <c r="M819" i="93" s="1"/>
  <c r="AM779" i="93"/>
  <c r="AM805" i="93" s="1"/>
  <c r="K816" i="93" s="1"/>
  <c r="EX779" i="93"/>
  <c r="EX805" i="93" s="1"/>
  <c r="CH779" i="93"/>
  <c r="CH805" i="93" s="1"/>
  <c r="M871" i="93" s="1"/>
  <c r="O96" i="75"/>
  <c r="M899" i="94"/>
  <c r="J898" i="94"/>
  <c r="J901" i="94"/>
  <c r="K904" i="94"/>
  <c r="J899" i="94"/>
  <c r="M898" i="94"/>
  <c r="L865" i="94"/>
  <c r="M871" i="94"/>
  <c r="L868" i="94"/>
  <c r="A810" i="94"/>
  <c r="A767" i="94" s="1"/>
  <c r="MR810" i="94"/>
  <c r="JS810" i="94"/>
  <c r="K878" i="94" s="1"/>
  <c r="KI810" i="94"/>
  <c r="L881" i="94" s="1"/>
  <c r="KY810" i="94"/>
  <c r="M884" i="94" s="1"/>
  <c r="M903" i="94" s="1"/>
  <c r="KB810" i="94"/>
  <c r="J880" i="94" s="1"/>
  <c r="JO810" i="94"/>
  <c r="L889" i="94" s="1"/>
  <c r="L900" i="94" s="1"/>
  <c r="MF810" i="94"/>
  <c r="JE810" i="94"/>
  <c r="L891" i="94" s="1"/>
  <c r="O891" i="94" s="1"/>
  <c r="IQ810" i="94"/>
  <c r="M892" i="94" s="1"/>
  <c r="O892" i="94" s="1"/>
  <c r="KM810" i="94"/>
  <c r="K882" i="94" s="1"/>
  <c r="K901" i="94" s="1"/>
  <c r="LC810" i="94"/>
  <c r="L885" i="94" s="1"/>
  <c r="FH810" i="94"/>
  <c r="K912" i="94" s="1"/>
  <c r="FI810" i="94"/>
  <c r="L912" i="94" s="1"/>
  <c r="LJ810" i="94"/>
  <c r="HQ810" i="94"/>
  <c r="L870" i="94" s="1"/>
  <c r="HD810" i="94"/>
  <c r="N867" i="94" s="1"/>
  <c r="N868" i="94" s="1"/>
  <c r="GK810" i="94"/>
  <c r="J864" i="94" s="1"/>
  <c r="O864" i="94" s="1"/>
  <c r="MB810" i="94"/>
  <c r="GT810" i="94"/>
  <c r="N865" i="94" s="1"/>
  <c r="LR810" i="94"/>
  <c r="MI810" i="94"/>
  <c r="HF810" i="94"/>
  <c r="HV810" i="94"/>
  <c r="MD810" i="94"/>
  <c r="HO810" i="94"/>
  <c r="J870" i="94" s="1"/>
  <c r="J871" i="94" s="1"/>
  <c r="LW810" i="94"/>
  <c r="HH810" i="94"/>
  <c r="M868" i="94" s="1"/>
  <c r="LQ810" i="94"/>
  <c r="MA810" i="94"/>
  <c r="JT810" i="94"/>
  <c r="L878" i="94" s="1"/>
  <c r="GV810" i="94"/>
  <c r="K866" i="94" s="1"/>
  <c r="O866" i="94" s="1"/>
  <c r="CZ810" i="94"/>
  <c r="K859" i="94" s="1"/>
  <c r="IU810" i="94"/>
  <c r="L893" i="94" s="1"/>
  <c r="IE810" i="94"/>
  <c r="K886" i="94" s="1"/>
  <c r="K897" i="94" s="1"/>
  <c r="HN810" i="94"/>
  <c r="N869" i="94" s="1"/>
  <c r="N871" i="94" s="1"/>
  <c r="FK810" i="94"/>
  <c r="N912" i="94" s="1"/>
  <c r="CP810" i="94"/>
  <c r="K843" i="94" s="1"/>
  <c r="JJ810" i="94"/>
  <c r="L888" i="94" s="1"/>
  <c r="O888" i="94" s="1"/>
  <c r="IT810" i="94"/>
  <c r="K893" i="94" s="1"/>
  <c r="ID810" i="94"/>
  <c r="J886" i="94" s="1"/>
  <c r="HL810" i="94"/>
  <c r="L869" i="94" s="1"/>
  <c r="O869" i="94" s="1"/>
  <c r="CJ810" i="94"/>
  <c r="J844" i="94" s="1"/>
  <c r="KG810" i="94"/>
  <c r="J881" i="94" s="1"/>
  <c r="JQ810" i="94"/>
  <c r="N889" i="94" s="1"/>
  <c r="N900" i="94" s="1"/>
  <c r="JA810" i="94"/>
  <c r="M890" i="94" s="1"/>
  <c r="M897" i="94" s="1"/>
  <c r="EY810" i="94"/>
  <c r="L910" i="94" s="1"/>
  <c r="MS810" i="94"/>
  <c r="KV810" i="94"/>
  <c r="J884" i="94" s="1"/>
  <c r="O884" i="94" s="1"/>
  <c r="IZ810" i="94"/>
  <c r="L890" i="94" s="1"/>
  <c r="L897" i="94" s="1"/>
  <c r="IJ810" i="94"/>
  <c r="K887" i="94" s="1"/>
  <c r="JB810" i="94"/>
  <c r="N890" i="94" s="1"/>
  <c r="N897" i="94" s="1"/>
  <c r="LA810" i="94"/>
  <c r="J885" i="94" s="1"/>
  <c r="FO810" i="94"/>
  <c r="M913" i="94" s="1"/>
  <c r="LE810" i="94"/>
  <c r="N885" i="94" s="1"/>
  <c r="N877" i="94" s="1"/>
  <c r="KO810" i="94"/>
  <c r="M882" i="94" s="1"/>
  <c r="M901" i="94" s="1"/>
  <c r="KD810" i="94"/>
  <c r="L880" i="94" s="1"/>
  <c r="L903" i="94" s="1"/>
  <c r="JN810" i="94"/>
  <c r="K889" i="94" s="1"/>
  <c r="IX810" i="94"/>
  <c r="J890" i="94" s="1"/>
  <c r="FN810" i="94"/>
  <c r="L913" i="94" s="1"/>
  <c r="LD810" i="94"/>
  <c r="M885" i="94" s="1"/>
  <c r="M875" i="94" s="1"/>
  <c r="JX810" i="94"/>
  <c r="K879" i="94" s="1"/>
  <c r="KC810" i="94"/>
  <c r="K880" i="94" s="1"/>
  <c r="K903" i="94" s="1"/>
  <c r="IW810" i="94"/>
  <c r="N893" i="94" s="1"/>
  <c r="N898" i="94" s="1"/>
  <c r="FY810" i="94"/>
  <c r="GZ810" i="94"/>
  <c r="J867" i="94" s="1"/>
  <c r="ML810" i="94"/>
  <c r="O998" i="94" s="1"/>
  <c r="HP810" i="94"/>
  <c r="K870" i="94" s="1"/>
  <c r="K871" i="94" s="1"/>
  <c r="HZ810" i="94"/>
  <c r="MO810" i="94"/>
  <c r="BM810" i="94"/>
  <c r="L849" i="94" s="1"/>
  <c r="BO810" i="94"/>
  <c r="N849" i="94" s="1"/>
  <c r="BQ810" i="94"/>
  <c r="K848" i="94" s="1"/>
  <c r="BS810" i="94"/>
  <c r="M848" i="94" s="1"/>
  <c r="BU810" i="94"/>
  <c r="J847" i="94" s="1"/>
  <c r="BY810" i="94"/>
  <c r="N847" i="94" s="1"/>
  <c r="CA810" i="94"/>
  <c r="K846" i="94" s="1"/>
  <c r="CC810" i="94"/>
  <c r="M846" i="94" s="1"/>
  <c r="CK810" i="94"/>
  <c r="K844" i="94" s="1"/>
  <c r="CM810" i="94"/>
  <c r="M844" i="94" s="1"/>
  <c r="M850" i="94" s="1"/>
  <c r="CO810" i="94"/>
  <c r="J843" i="94" s="1"/>
  <c r="CQ810" i="94"/>
  <c r="L843" i="94" s="1"/>
  <c r="CS810" i="94"/>
  <c r="N843" i="94" s="1"/>
  <c r="CY810" i="94"/>
  <c r="J859" i="94" s="1"/>
  <c r="DC810" i="94"/>
  <c r="N859" i="94" s="1"/>
  <c r="N861" i="94" s="1"/>
  <c r="DG810" i="94"/>
  <c r="M858" i="94" s="1"/>
  <c r="O858" i="94" s="1"/>
  <c r="DS810" i="94"/>
  <c r="J855" i="94" s="1"/>
  <c r="DU810" i="94"/>
  <c r="L855" i="94" s="1"/>
  <c r="L861" i="94" s="1"/>
  <c r="DY810" i="94"/>
  <c r="K854" i="94" s="1"/>
  <c r="EJ810" i="94"/>
  <c r="L907" i="94" s="1"/>
  <c r="EL810" i="94"/>
  <c r="N907" i="94" s="1"/>
  <c r="N914" i="94" s="1"/>
  <c r="N916" i="94" s="1"/>
  <c r="N918" i="94" s="1"/>
  <c r="ET810" i="94"/>
  <c r="L909" i="94" s="1"/>
  <c r="EX810" i="94"/>
  <c r="K910" i="94" s="1"/>
  <c r="EZ810" i="94"/>
  <c r="M910" i="94" s="1"/>
  <c r="FB810" i="94"/>
  <c r="J911" i="94" s="1"/>
  <c r="O911" i="94" s="1"/>
  <c r="L141" i="75"/>
  <c r="J141" i="75"/>
  <c r="N137" i="75"/>
  <c r="L137" i="75"/>
  <c r="J137" i="75"/>
  <c r="L135" i="75"/>
  <c r="K135" i="75"/>
  <c r="M141" i="75"/>
  <c r="K141" i="75"/>
  <c r="M137" i="75"/>
  <c r="K137" i="75"/>
  <c r="N135" i="75"/>
  <c r="M135" i="75"/>
  <c r="J135" i="75"/>
  <c r="O81" i="75"/>
  <c r="O82" i="75"/>
  <c r="O83" i="75"/>
  <c r="O84" i="75"/>
  <c r="BX48" i="75"/>
  <c r="M85" i="75" s="1"/>
  <c r="M88" i="75" s="1"/>
  <c r="BV48" i="75"/>
  <c r="K85" i="75" s="1"/>
  <c r="K88" i="75" s="1"/>
  <c r="N825" i="94"/>
  <c r="N827" i="94" s="1"/>
  <c r="N829" i="94" s="1"/>
  <c r="K825" i="94"/>
  <c r="K827" i="94" s="1"/>
  <c r="K829" i="94" s="1"/>
  <c r="BW48" i="75"/>
  <c r="L85" i="75" s="1"/>
  <c r="L88" i="75" s="1"/>
  <c r="BU48" i="75"/>
  <c r="J85" i="75" s="1"/>
  <c r="O86" i="75"/>
  <c r="O87" i="75"/>
  <c r="O146" i="75"/>
  <c r="M825" i="94"/>
  <c r="M827" i="94" s="1"/>
  <c r="M829" i="94" s="1"/>
  <c r="L825" i="94"/>
  <c r="L827" i="94" s="1"/>
  <c r="L829" i="94" s="1"/>
  <c r="BE48" i="75"/>
  <c r="N62" i="75" s="1"/>
  <c r="O62" i="75" s="1"/>
  <c r="K63" i="75"/>
  <c r="J63" i="75"/>
  <c r="W787" i="94"/>
  <c r="AB787" i="94"/>
  <c r="AG787" i="94"/>
  <c r="AL787" i="94"/>
  <c r="AQ787" i="94"/>
  <c r="W785" i="94"/>
  <c r="AB785" i="94"/>
  <c r="AG785" i="94"/>
  <c r="AL785" i="94"/>
  <c r="AQ785" i="94"/>
  <c r="W783" i="94"/>
  <c r="AB783" i="94"/>
  <c r="AG783" i="94"/>
  <c r="AL783" i="94"/>
  <c r="AQ783" i="94"/>
  <c r="AV783" i="94"/>
  <c r="W781" i="94"/>
  <c r="AB781" i="94"/>
  <c r="AG781" i="94"/>
  <c r="AL781" i="94"/>
  <c r="AQ781" i="94"/>
  <c r="AV781" i="94"/>
  <c r="W779" i="94"/>
  <c r="W810" i="94" s="1"/>
  <c r="J818" i="94" s="1"/>
  <c r="AB779" i="94"/>
  <c r="AG779" i="94"/>
  <c r="AG810" i="94" s="1"/>
  <c r="J820" i="94" s="1"/>
  <c r="O820" i="94" s="1"/>
  <c r="AL779" i="94"/>
  <c r="AQ779" i="94"/>
  <c r="AQ810" i="94" s="1"/>
  <c r="J822" i="94" s="1"/>
  <c r="O822" i="94" s="1"/>
  <c r="AV779" i="94"/>
  <c r="AV810" i="94" s="1"/>
  <c r="J823" i="94" s="1"/>
  <c r="O823" i="94" s="1"/>
  <c r="EG48" i="75"/>
  <c r="N66" i="75" s="1"/>
  <c r="O66" i="75" s="1"/>
  <c r="AZ48" i="75"/>
  <c r="N61" i="75" s="1"/>
  <c r="O61" i="75" s="1"/>
  <c r="M63" i="75"/>
  <c r="L63" i="75"/>
  <c r="L732" i="94"/>
  <c r="K17" i="75"/>
  <c r="L17" i="75" s="1"/>
  <c r="K11" i="75"/>
  <c r="L11" i="75" s="1"/>
  <c r="K23" i="75"/>
  <c r="L23" i="75" s="1"/>
  <c r="K25" i="75"/>
  <c r="L25" i="75" s="1"/>
  <c r="K27" i="75"/>
  <c r="L27" i="75" s="1"/>
  <c r="K29" i="75"/>
  <c r="L29" i="75" s="1"/>
  <c r="K31" i="75"/>
  <c r="L31" i="75" s="1"/>
  <c r="K33" i="75"/>
  <c r="L33" i="75" s="1"/>
  <c r="K35" i="75"/>
  <c r="L35" i="75" s="1"/>
  <c r="K37" i="75"/>
  <c r="L37" i="75" s="1"/>
  <c r="K39" i="75"/>
  <c r="L39" i="75" s="1"/>
  <c r="K41" i="75"/>
  <c r="L41" i="75" s="1"/>
  <c r="K43" i="75"/>
  <c r="L43" i="75" s="1"/>
  <c r="K45" i="75"/>
  <c r="L45" i="75" s="1"/>
  <c r="K47" i="75"/>
  <c r="L47" i="75" s="1"/>
  <c r="L730" i="93"/>
  <c r="K730" i="93"/>
  <c r="I778" i="93"/>
  <c r="K778" i="93" s="1"/>
  <c r="L778" i="93" s="1"/>
  <c r="I774" i="93"/>
  <c r="K774" i="93" s="1"/>
  <c r="L774" i="93" s="1"/>
  <c r="I776" i="93"/>
  <c r="K776" i="93" s="1"/>
  <c r="L776" i="93" s="1"/>
  <c r="I768" i="93"/>
  <c r="K768" i="93" s="1"/>
  <c r="L768" i="93" s="1"/>
  <c r="I770" i="93"/>
  <c r="K770" i="93" s="1"/>
  <c r="L770" i="93" s="1"/>
  <c r="I780" i="93"/>
  <c r="K780" i="93" s="1"/>
  <c r="L780" i="93" s="1"/>
  <c r="I772" i="93"/>
  <c r="K772" i="93" s="1"/>
  <c r="L772" i="93" s="1"/>
  <c r="I782" i="93"/>
  <c r="K782" i="93" s="1"/>
  <c r="L782" i="93" s="1"/>
  <c r="I784" i="93"/>
  <c r="K784" i="93" s="1"/>
  <c r="L784" i="93" s="1"/>
  <c r="I786" i="93"/>
  <c r="K786" i="93" s="1"/>
  <c r="L786" i="93" s="1"/>
  <c r="I788" i="93"/>
  <c r="K788" i="93" s="1"/>
  <c r="L788" i="93" s="1"/>
  <c r="I790" i="93"/>
  <c r="K790" i="93" s="1"/>
  <c r="L790" i="93" s="1"/>
  <c r="I792" i="93"/>
  <c r="K792" i="93" s="1"/>
  <c r="L792" i="93" s="1"/>
  <c r="I794" i="93"/>
  <c r="K794" i="93" s="1"/>
  <c r="L794" i="93" s="1"/>
  <c r="I796" i="93"/>
  <c r="K796" i="93" s="1"/>
  <c r="L796" i="93" s="1"/>
  <c r="I798" i="93"/>
  <c r="K798" i="93" s="1"/>
  <c r="L798" i="93" s="1"/>
  <c r="I800" i="93"/>
  <c r="K800" i="93" s="1"/>
  <c r="L800" i="93" s="1"/>
  <c r="I802" i="93"/>
  <c r="K802" i="93" s="1"/>
  <c r="L802" i="93" s="1"/>
  <c r="I804" i="93"/>
  <c r="K804" i="93" s="1"/>
  <c r="L804" i="93" s="1"/>
  <c r="L810" i="94"/>
  <c r="L811" i="94" s="1"/>
  <c r="P927" i="93"/>
  <c r="B1036" i="94"/>
  <c r="P221" i="75"/>
  <c r="D1036" i="94"/>
  <c r="F1036" i="94"/>
  <c r="B1068" i="94"/>
  <c r="G1036" i="94"/>
  <c r="I1036" i="94"/>
  <c r="G522" i="94"/>
  <c r="A561" i="93"/>
  <c r="S568" i="93"/>
  <c r="G132" i="78"/>
  <c r="J407" i="72" s="1"/>
  <c r="G36" i="86"/>
  <c r="F36" i="86"/>
  <c r="H56" i="86"/>
  <c r="E36" i="86"/>
  <c r="C56" i="86"/>
  <c r="C36" i="86"/>
  <c r="D16" i="86"/>
  <c r="G16" i="86"/>
  <c r="E56" i="86"/>
  <c r="H36" i="86"/>
  <c r="G56" i="86"/>
  <c r="F16" i="86"/>
  <c r="I36" i="86"/>
  <c r="D36" i="86"/>
  <c r="E16" i="86"/>
  <c r="P45" i="73"/>
  <c r="P1139" i="93" s="1"/>
  <c r="L409" i="94"/>
  <c r="L410" i="94" s="1"/>
  <c r="G483" i="94"/>
  <c r="B44" i="78"/>
  <c r="J474" i="93"/>
  <c r="J568" i="93" s="1"/>
  <c r="J585" i="93" s="1"/>
  <c r="J587" i="93" s="1"/>
  <c r="J589" i="93" s="1"/>
  <c r="G474" i="93"/>
  <c r="B480" i="93" s="1"/>
  <c r="J483" i="94"/>
  <c r="J577" i="94" s="1"/>
  <c r="J594" i="94" s="1"/>
  <c r="J596" i="94" s="1"/>
  <c r="J598" i="94" s="1"/>
  <c r="L33" i="68"/>
  <c r="J132" i="78"/>
  <c r="J149" i="78" s="1"/>
  <c r="E3" i="86" s="1"/>
  <c r="F34" i="78"/>
  <c r="E472" i="93"/>
  <c r="E473" i="93"/>
  <c r="E474" i="93" s="1"/>
  <c r="G470" i="93" s="1"/>
  <c r="H18" i="84"/>
  <c r="G34" i="78"/>
  <c r="G472" i="94"/>
  <c r="G577" i="94" s="1"/>
  <c r="S577" i="94"/>
  <c r="E480" i="94"/>
  <c r="C43" i="74"/>
  <c r="D43" i="74" s="1"/>
  <c r="B997" i="93"/>
  <c r="B1058" i="94"/>
  <c r="D34" i="86"/>
  <c r="E14" i="86"/>
  <c r="I14" i="86"/>
  <c r="I985" i="93"/>
  <c r="R28" i="74"/>
  <c r="R37" i="74"/>
  <c r="R34" i="74"/>
  <c r="R35" i="74"/>
  <c r="I45" i="68" s="1"/>
  <c r="R25" i="74"/>
  <c r="R32" i="74"/>
  <c r="R39" i="74"/>
  <c r="R27" i="74"/>
  <c r="R31" i="74"/>
  <c r="R38" i="74"/>
  <c r="R22" i="74"/>
  <c r="F985" i="93"/>
  <c r="G985" i="93"/>
  <c r="F14" i="86"/>
  <c r="B1046" i="94"/>
  <c r="C1046" i="94"/>
  <c r="D1046" i="94"/>
  <c r="E1046" i="94"/>
  <c r="F1046" i="94"/>
  <c r="G1046" i="94"/>
  <c r="H1046" i="94"/>
  <c r="I1046" i="94"/>
  <c r="J1046" i="94"/>
  <c r="K1046" i="94"/>
  <c r="D1072" i="94"/>
  <c r="H1072" i="94"/>
  <c r="I1104" i="94"/>
  <c r="C1104" i="94"/>
  <c r="G1104" i="94"/>
  <c r="K1104" i="94"/>
  <c r="B1074" i="93"/>
  <c r="B1078" i="93"/>
  <c r="F1050" i="93"/>
  <c r="F1046" i="93"/>
  <c r="J1021" i="93"/>
  <c r="J1017" i="93"/>
  <c r="B1021" i="93"/>
  <c r="B1017" i="93"/>
  <c r="H1017" i="93"/>
  <c r="H1021" i="93"/>
  <c r="I1046" i="93"/>
  <c r="I1050" i="93"/>
  <c r="I65" i="82"/>
  <c r="H65" i="82"/>
  <c r="G65" i="82"/>
  <c r="B65" i="82"/>
  <c r="C1078" i="93"/>
  <c r="C1039" i="93"/>
  <c r="C1134" i="94"/>
  <c r="K1046" i="93"/>
  <c r="K1050" i="93"/>
  <c r="E1134" i="94"/>
  <c r="K1040" i="94"/>
  <c r="E17" i="87"/>
  <c r="C1072" i="94"/>
  <c r="E1072" i="94"/>
  <c r="G1072" i="94"/>
  <c r="I1072" i="94"/>
  <c r="K1072" i="94"/>
  <c r="B1104" i="94"/>
  <c r="D1104" i="94"/>
  <c r="F1104" i="94"/>
  <c r="H1104" i="94"/>
  <c r="J1104" i="94"/>
  <c r="B1134" i="94"/>
  <c r="D1134" i="94"/>
  <c r="F1134" i="94"/>
  <c r="B25" i="74"/>
  <c r="B39" i="74" s="1"/>
  <c r="C25" i="74"/>
  <c r="D25" i="74"/>
  <c r="E25" i="74"/>
  <c r="F25" i="74"/>
  <c r="G25" i="74"/>
  <c r="H25" i="74"/>
  <c r="I25" i="74"/>
  <c r="J25" i="74"/>
  <c r="O51" i="93"/>
  <c r="O63" i="94"/>
  <c r="I63" i="94"/>
  <c r="A3" i="71"/>
  <c r="T175" i="72"/>
  <c r="A1" i="78"/>
  <c r="W1" i="78" s="1"/>
  <c r="A1" i="77"/>
  <c r="N40" i="66"/>
  <c r="P42" i="73"/>
  <c r="A3" i="93"/>
  <c r="F1910" i="93"/>
  <c r="R784" i="93"/>
  <c r="R790" i="93"/>
  <c r="R788" i="93"/>
  <c r="R794" i="93"/>
  <c r="A378" i="94"/>
  <c r="A628" i="94"/>
  <c r="I713" i="94"/>
  <c r="T1821" i="94"/>
  <c r="L370" i="94"/>
  <c r="E65" i="89"/>
  <c r="C8" i="90"/>
  <c r="G1217" i="94"/>
  <c r="G1215" i="94"/>
  <c r="G1213" i="94"/>
  <c r="G1210" i="94"/>
  <c r="G1209" i="94"/>
  <c r="G1208" i="94"/>
  <c r="G1207" i="94"/>
  <c r="G1206" i="94"/>
  <c r="G1153" i="93"/>
  <c r="G1143" i="93"/>
  <c r="G1139" i="93"/>
  <c r="G1138" i="93"/>
  <c r="G1137" i="93"/>
  <c r="G1157" i="93"/>
  <c r="O1621" i="93"/>
  <c r="G1150" i="93"/>
  <c r="G1144" i="93"/>
  <c r="G1159" i="93"/>
  <c r="G1160" i="93"/>
  <c r="G62" i="73"/>
  <c r="G50" i="73"/>
  <c r="G65" i="73"/>
  <c r="G55" i="73"/>
  <c r="G43" i="73"/>
  <c r="G58" i="73"/>
  <c r="G48" i="73"/>
  <c r="G63" i="73"/>
  <c r="G51" i="73"/>
  <c r="G41" i="73"/>
  <c r="O1719" i="94"/>
  <c r="G1224" i="94"/>
  <c r="G1223" i="94"/>
  <c r="G1222" i="94"/>
  <c r="G1221" i="94"/>
  <c r="G1220" i="94"/>
  <c r="G1216" i="94"/>
  <c r="G1214" i="94"/>
  <c r="G1203" i="94"/>
  <c r="G1202" i="94"/>
  <c r="G1201" i="94"/>
  <c r="G1200" i="94"/>
  <c r="G1199" i="94"/>
  <c r="G1158" i="93"/>
  <c r="G1152" i="93"/>
  <c r="G1136" i="93"/>
  <c r="G1135" i="93"/>
  <c r="G1156" i="93"/>
  <c r="G1149" i="93"/>
  <c r="G1142" i="93"/>
  <c r="G1145" i="93"/>
  <c r="G1146" i="93"/>
  <c r="G1151" i="93"/>
  <c r="G66" i="73"/>
  <c r="G56" i="73"/>
  <c r="G44" i="73"/>
  <c r="G59" i="73"/>
  <c r="G49" i="73"/>
  <c r="G64" i="73"/>
  <c r="G52" i="73"/>
  <c r="G42" i="73"/>
  <c r="G57" i="73"/>
  <c r="G45" i="73"/>
  <c r="P58" i="73"/>
  <c r="K133" i="75"/>
  <c r="R778" i="93"/>
  <c r="K40" i="66"/>
  <c r="T177" i="72" s="1"/>
  <c r="R785" i="93"/>
  <c r="R775" i="93"/>
  <c r="R773" i="93"/>
  <c r="R803" i="93"/>
  <c r="M6" i="75"/>
  <c r="T174" i="72"/>
  <c r="O763" i="93"/>
  <c r="P1136" i="93"/>
  <c r="L50" i="73"/>
  <c r="L43" i="73"/>
  <c r="L45" i="73"/>
  <c r="L44" i="73"/>
  <c r="L57" i="73"/>
  <c r="L62" i="73"/>
  <c r="R787" i="93"/>
  <c r="R773" i="94"/>
  <c r="R768" i="93"/>
  <c r="R785" i="94"/>
  <c r="R780" i="93"/>
  <c r="R787" i="94"/>
  <c r="R782" i="93"/>
  <c r="R791" i="94"/>
  <c r="R786" i="93"/>
  <c r="R797" i="94"/>
  <c r="R792" i="93"/>
  <c r="R801" i="94"/>
  <c r="R796" i="93"/>
  <c r="R803" i="94"/>
  <c r="R798" i="93"/>
  <c r="R807" i="94"/>
  <c r="R802" i="93"/>
  <c r="T1822" i="94"/>
  <c r="O768" i="94"/>
  <c r="T1728" i="93"/>
  <c r="M763" i="93"/>
  <c r="R776" i="94"/>
  <c r="R771" i="93"/>
  <c r="R786" i="94"/>
  <c r="R781" i="93"/>
  <c r="R788" i="94"/>
  <c r="R783" i="93"/>
  <c r="R798" i="94"/>
  <c r="R793" i="93"/>
  <c r="R800" i="94"/>
  <c r="R795" i="93"/>
  <c r="R802" i="94"/>
  <c r="R797" i="93"/>
  <c r="R804" i="94"/>
  <c r="R799" i="93"/>
  <c r="A1" i="76"/>
  <c r="I3" i="76"/>
  <c r="A1" i="67"/>
  <c r="A1" i="68"/>
  <c r="S1" i="68" s="1"/>
  <c r="A1" i="75"/>
  <c r="U1" i="75" s="1"/>
  <c r="A3" i="79"/>
  <c r="A1" i="66"/>
  <c r="H8" i="84"/>
  <c r="F14" i="85" s="1"/>
  <c r="A3" i="83" s="1"/>
  <c r="J50" i="93"/>
  <c r="A623" i="93"/>
  <c r="A364" i="93"/>
  <c r="T1729" i="93"/>
  <c r="T1727" i="93"/>
  <c r="A3" i="94"/>
  <c r="P1200" i="94"/>
  <c r="T1823" i="94"/>
  <c r="I59" i="68" l="1"/>
  <c r="P50" i="68" s="1"/>
  <c r="G1776" i="93"/>
  <c r="R987" i="93"/>
  <c r="C985" i="93"/>
  <c r="D14" i="86"/>
  <c r="R33" i="74"/>
  <c r="R29" i="74"/>
  <c r="R21" i="74"/>
  <c r="R26" i="74"/>
  <c r="R24" i="74"/>
  <c r="R30" i="74"/>
  <c r="R40" i="74"/>
  <c r="R36" i="74"/>
  <c r="D1045" i="94"/>
  <c r="D984" i="93"/>
  <c r="D53" i="82"/>
  <c r="G62" i="84"/>
  <c r="E62" i="84"/>
  <c r="O831" i="93"/>
  <c r="K138" i="75"/>
  <c r="L48" i="75"/>
  <c r="L49" i="75" s="1"/>
  <c r="R779" i="94"/>
  <c r="R774" i="93"/>
  <c r="P74" i="93"/>
  <c r="O151" i="75"/>
  <c r="O148" i="75"/>
  <c r="P148" i="75" s="1"/>
  <c r="P910" i="94" s="1"/>
  <c r="P69" i="66"/>
  <c r="O147" i="75"/>
  <c r="P64" i="66" s="1"/>
  <c r="O145" i="75"/>
  <c r="P62" i="66" s="1"/>
  <c r="O149" i="75"/>
  <c r="P89" i="94" s="1"/>
  <c r="O150" i="75"/>
  <c r="P67" i="66" s="1"/>
  <c r="O908" i="94"/>
  <c r="M914" i="94"/>
  <c r="M916" i="94" s="1"/>
  <c r="M918" i="94" s="1"/>
  <c r="O909" i="94"/>
  <c r="O913" i="94"/>
  <c r="O915" i="94"/>
  <c r="O235" i="75"/>
  <c r="O123" i="75"/>
  <c r="J113" i="75"/>
  <c r="N115" i="75"/>
  <c r="J136" i="75"/>
  <c r="K41" i="73" s="1"/>
  <c r="O155" i="75"/>
  <c r="P94" i="94" s="1"/>
  <c r="O826" i="94"/>
  <c r="P915" i="94" s="1"/>
  <c r="O824" i="94"/>
  <c r="O124" i="75"/>
  <c r="O64" i="75"/>
  <c r="O92" i="75"/>
  <c r="L115" i="75"/>
  <c r="N99" i="75"/>
  <c r="O867" i="94"/>
  <c r="O889" i="94"/>
  <c r="O816" i="93"/>
  <c r="N874" i="93"/>
  <c r="N876" i="93" s="1"/>
  <c r="P236" i="75"/>
  <c r="O103" i="75"/>
  <c r="H77" i="94" s="1"/>
  <c r="F58" i="73"/>
  <c r="F1216" i="94"/>
  <c r="F1152" i="93"/>
  <c r="H1152" i="93" s="1"/>
  <c r="O117" i="75"/>
  <c r="L99" i="75"/>
  <c r="F59" i="73"/>
  <c r="F1217" i="94"/>
  <c r="F1153" i="93"/>
  <c r="H1153" i="93" s="1"/>
  <c r="O867" i="93"/>
  <c r="O121" i="75"/>
  <c r="K152" i="75"/>
  <c r="K154" i="75" s="1"/>
  <c r="K156" i="75" s="1"/>
  <c r="M152" i="75"/>
  <c r="M154" i="75" s="1"/>
  <c r="M156" i="75" s="1"/>
  <c r="N88" i="75"/>
  <c r="O128" i="75"/>
  <c r="J139" i="75"/>
  <c r="O120" i="75"/>
  <c r="F57" i="73"/>
  <c r="F1151" i="93"/>
  <c r="H1151" i="93" s="1"/>
  <c r="F1215" i="94"/>
  <c r="O828" i="94"/>
  <c r="P917" i="94" s="1"/>
  <c r="J152" i="75"/>
  <c r="L152" i="75"/>
  <c r="L154" i="75" s="1"/>
  <c r="L156" i="75" s="1"/>
  <c r="N152" i="75"/>
  <c r="N154" i="75" s="1"/>
  <c r="N156" i="75" s="1"/>
  <c r="F56" i="73"/>
  <c r="F1214" i="94"/>
  <c r="F1150" i="93"/>
  <c r="H1150" i="93" s="1"/>
  <c r="O910" i="94"/>
  <c r="O855" i="94"/>
  <c r="N850" i="94"/>
  <c r="O846" i="94"/>
  <c r="O847" i="94"/>
  <c r="O848" i="94"/>
  <c r="O849" i="94"/>
  <c r="O912" i="94"/>
  <c r="M904" i="94"/>
  <c r="N904" i="94"/>
  <c r="O855" i="93"/>
  <c r="O871" i="93"/>
  <c r="M863" i="93"/>
  <c r="L864" i="93"/>
  <c r="O106" i="75"/>
  <c r="F66" i="73"/>
  <c r="F1224" i="94"/>
  <c r="F1160" i="93"/>
  <c r="H1160" i="93" s="1"/>
  <c r="H85" i="94"/>
  <c r="P145" i="75"/>
  <c r="P907" i="94" s="1"/>
  <c r="H62" i="66"/>
  <c r="H75" i="93"/>
  <c r="P235" i="75"/>
  <c r="N138" i="75"/>
  <c r="N113" i="75"/>
  <c r="N136" i="75"/>
  <c r="H89" i="94"/>
  <c r="H66" i="66"/>
  <c r="P149" i="75"/>
  <c r="P911" i="94" s="1"/>
  <c r="O893" i="94"/>
  <c r="J877" i="94"/>
  <c r="L904" i="94"/>
  <c r="O873" i="93"/>
  <c r="H88" i="94"/>
  <c r="H65" i="66"/>
  <c r="K142" i="75"/>
  <c r="K115" i="75"/>
  <c r="K113" i="75"/>
  <c r="O113" i="75" s="1"/>
  <c r="J138" i="75"/>
  <c r="J115" i="75"/>
  <c r="O125" i="75"/>
  <c r="H87" i="94"/>
  <c r="H64" i="66"/>
  <c r="P147" i="75"/>
  <c r="P909" i="94" s="1"/>
  <c r="M142" i="75"/>
  <c r="O832" i="93"/>
  <c r="M834" i="93"/>
  <c r="H94" i="94"/>
  <c r="H78" i="93"/>
  <c r="H71" i="66"/>
  <c r="P155" i="75"/>
  <c r="F56" i="89"/>
  <c r="D37" i="90" s="1"/>
  <c r="L65" i="75"/>
  <c r="L67" i="75" s="1"/>
  <c r="L75" i="75"/>
  <c r="L837" i="94" s="1"/>
  <c r="L74" i="75"/>
  <c r="L836" i="94" s="1"/>
  <c r="L71" i="75"/>
  <c r="L833" i="94" s="1"/>
  <c r="L77" i="75"/>
  <c r="L839" i="94" s="1"/>
  <c r="L76" i="75"/>
  <c r="L838" i="94" s="1"/>
  <c r="L73" i="75"/>
  <c r="L835" i="94" s="1"/>
  <c r="L72" i="75"/>
  <c r="L834" i="94" s="1"/>
  <c r="D9" i="88"/>
  <c r="E9" i="88" s="1"/>
  <c r="H90" i="94"/>
  <c r="H67" i="66"/>
  <c r="P150" i="75"/>
  <c r="P912" i="94" s="1"/>
  <c r="AL810" i="94"/>
  <c r="J821" i="94" s="1"/>
  <c r="O821" i="94" s="1"/>
  <c r="AB810" i="94"/>
  <c r="J819" i="94" s="1"/>
  <c r="O819" i="94" s="1"/>
  <c r="J65" i="75"/>
  <c r="J75" i="75"/>
  <c r="J837" i="94" s="1"/>
  <c r="J74" i="75"/>
  <c r="J836" i="94" s="1"/>
  <c r="J71" i="75"/>
  <c r="J833" i="94" s="1"/>
  <c r="J77" i="75"/>
  <c r="J839" i="94" s="1"/>
  <c r="J76" i="75"/>
  <c r="J838" i="94" s="1"/>
  <c r="J73" i="75"/>
  <c r="J835" i="94" s="1"/>
  <c r="J72" i="75"/>
  <c r="J834" i="94" s="1"/>
  <c r="D7" i="88"/>
  <c r="N63" i="75"/>
  <c r="P90" i="94"/>
  <c r="P87" i="94"/>
  <c r="P85" i="94"/>
  <c r="I90" i="94"/>
  <c r="I67" i="66"/>
  <c r="P66" i="66"/>
  <c r="I87" i="94"/>
  <c r="I64" i="66"/>
  <c r="I75" i="93"/>
  <c r="I85" i="94"/>
  <c r="I62" i="66"/>
  <c r="F44" i="73"/>
  <c r="F1202" i="94"/>
  <c r="F1138" i="93"/>
  <c r="H1138" i="93" s="1"/>
  <c r="F49" i="73"/>
  <c r="F1207" i="94"/>
  <c r="F1143" i="93"/>
  <c r="H1143" i="93" s="1"/>
  <c r="F63" i="73"/>
  <c r="F1221" i="94"/>
  <c r="F1157" i="93"/>
  <c r="H1157" i="93" s="1"/>
  <c r="F43" i="73"/>
  <c r="F1137" i="93"/>
  <c r="H1137" i="93" s="1"/>
  <c r="F1201" i="94"/>
  <c r="F50" i="73"/>
  <c r="F1208" i="94"/>
  <c r="F1144" i="93"/>
  <c r="H1144" i="93" s="1"/>
  <c r="F62" i="73"/>
  <c r="F1220" i="94"/>
  <c r="F1156" i="93"/>
  <c r="O141" i="75"/>
  <c r="L914" i="94"/>
  <c r="L916" i="94" s="1"/>
  <c r="L918" i="94" s="1"/>
  <c r="O859" i="94"/>
  <c r="L850" i="94"/>
  <c r="O890" i="94"/>
  <c r="O885" i="94"/>
  <c r="K898" i="94"/>
  <c r="O844" i="94"/>
  <c r="J897" i="94"/>
  <c r="O897" i="94" s="1"/>
  <c r="O886" i="94"/>
  <c r="L899" i="94"/>
  <c r="L877" i="94"/>
  <c r="K868" i="94"/>
  <c r="P998" i="94"/>
  <c r="O997" i="94"/>
  <c r="P997" i="94"/>
  <c r="K899" i="94"/>
  <c r="K877" i="94"/>
  <c r="J914" i="94"/>
  <c r="K914" i="94"/>
  <c r="K916" i="94" s="1"/>
  <c r="K918" i="94" s="1"/>
  <c r="O901" i="94"/>
  <c r="M877" i="94"/>
  <c r="L875" i="94"/>
  <c r="M861" i="94"/>
  <c r="O813" i="93"/>
  <c r="J815" i="93"/>
  <c r="L815" i="93"/>
  <c r="L817" i="93" s="1"/>
  <c r="L819" i="93" s="1"/>
  <c r="O875" i="93"/>
  <c r="N863" i="93"/>
  <c r="N843" i="93"/>
  <c r="J865" i="93"/>
  <c r="O865" i="93" s="1"/>
  <c r="O848" i="93"/>
  <c r="L872" i="93"/>
  <c r="L874" i="93" s="1"/>
  <c r="L876" i="93" s="1"/>
  <c r="FT805" i="93"/>
  <c r="M859" i="93" s="1"/>
  <c r="O834" i="93"/>
  <c r="O907" i="94"/>
  <c r="O878" i="94"/>
  <c r="L843" i="93"/>
  <c r="P941" i="93"/>
  <c r="M843" i="93"/>
  <c r="L861" i="93"/>
  <c r="L868" i="93"/>
  <c r="O99" i="75"/>
  <c r="K1149" i="93"/>
  <c r="K55" i="73"/>
  <c r="O140" i="75"/>
  <c r="K1213" i="94"/>
  <c r="H66" i="93"/>
  <c r="K1627" i="94"/>
  <c r="M1152" i="93"/>
  <c r="N1152" i="93"/>
  <c r="M1153" i="93"/>
  <c r="N1153" i="93"/>
  <c r="M1224" i="94"/>
  <c r="N1224" i="94"/>
  <c r="N1156" i="93"/>
  <c r="N1161" i="93" s="1"/>
  <c r="M1156" i="93"/>
  <c r="M1144" i="93"/>
  <c r="N1144" i="93"/>
  <c r="O844" i="93"/>
  <c r="J843" i="93"/>
  <c r="M864" i="93"/>
  <c r="O864" i="93" s="1"/>
  <c r="O851" i="93"/>
  <c r="J827" i="93"/>
  <c r="O827" i="93" s="1"/>
  <c r="P71" i="66"/>
  <c r="K1201" i="94"/>
  <c r="K1137" i="93"/>
  <c r="K43" i="73"/>
  <c r="N1150" i="93"/>
  <c r="M1150" i="93"/>
  <c r="O109" i="75"/>
  <c r="M51" i="73"/>
  <c r="N51" i="73"/>
  <c r="N1209" i="94"/>
  <c r="M1209" i="94"/>
  <c r="I1157" i="93"/>
  <c r="M65" i="75"/>
  <c r="M67" i="75" s="1"/>
  <c r="M77" i="75"/>
  <c r="M839" i="94" s="1"/>
  <c r="M76" i="75"/>
  <c r="M838" i="94" s="1"/>
  <c r="M73" i="75"/>
  <c r="M835" i="94" s="1"/>
  <c r="M72" i="75"/>
  <c r="M834" i="94" s="1"/>
  <c r="M74" i="75"/>
  <c r="M836" i="94" s="1"/>
  <c r="M75" i="75"/>
  <c r="M837" i="94" s="1"/>
  <c r="M71" i="75"/>
  <c r="M833" i="94" s="1"/>
  <c r="D10" i="88"/>
  <c r="E10" i="88" s="1"/>
  <c r="J825" i="94"/>
  <c r="O818" i="94"/>
  <c r="K65" i="75"/>
  <c r="K67" i="75" s="1"/>
  <c r="K77" i="75"/>
  <c r="K839" i="94" s="1"/>
  <c r="K76" i="75"/>
  <c r="K838" i="94" s="1"/>
  <c r="K73" i="75"/>
  <c r="K835" i="94" s="1"/>
  <c r="K72" i="75"/>
  <c r="K834" i="94" s="1"/>
  <c r="K75" i="75"/>
  <c r="K837" i="94" s="1"/>
  <c r="K71" i="75"/>
  <c r="K833" i="94" s="1"/>
  <c r="K74" i="75"/>
  <c r="K836" i="94" s="1"/>
  <c r="D8" i="88"/>
  <c r="E8" i="88" s="1"/>
  <c r="L1954" i="93"/>
  <c r="H91" i="94"/>
  <c r="P151" i="75"/>
  <c r="P913" i="94" s="1"/>
  <c r="H68" i="66"/>
  <c r="H74" i="93"/>
  <c r="H73" i="93" s="1"/>
  <c r="P88" i="94"/>
  <c r="P65" i="66"/>
  <c r="P86" i="94"/>
  <c r="P63" i="66"/>
  <c r="I91" i="94"/>
  <c r="I68" i="66"/>
  <c r="O85" i="75"/>
  <c r="J88" i="75"/>
  <c r="O88" i="75" s="1"/>
  <c r="P91" i="94"/>
  <c r="P68" i="66"/>
  <c r="I88" i="94"/>
  <c r="I65" i="66"/>
  <c r="I74" i="93"/>
  <c r="I73" i="93" s="1"/>
  <c r="I86" i="94"/>
  <c r="I63" i="66"/>
  <c r="F41" i="73"/>
  <c r="F1199" i="94"/>
  <c r="F1135" i="93"/>
  <c r="O135" i="75"/>
  <c r="F45" i="73"/>
  <c r="F1203" i="94"/>
  <c r="F1139" i="93"/>
  <c r="H1139" i="93" s="1"/>
  <c r="F51" i="73"/>
  <c r="F1209" i="94"/>
  <c r="F1145" i="93"/>
  <c r="H1145" i="93" s="1"/>
  <c r="F65" i="73"/>
  <c r="F1223" i="94"/>
  <c r="F1159" i="93"/>
  <c r="H1159" i="93" s="1"/>
  <c r="F42" i="73"/>
  <c r="F1200" i="94"/>
  <c r="F1136" i="93"/>
  <c r="H1136" i="93" s="1"/>
  <c r="F48" i="73"/>
  <c r="F1206" i="94"/>
  <c r="F1142" i="93"/>
  <c r="O137" i="75"/>
  <c r="F52" i="73"/>
  <c r="F1210" i="94"/>
  <c r="F1146" i="93"/>
  <c r="H1146" i="93" s="1"/>
  <c r="F64" i="73"/>
  <c r="F1222" i="94"/>
  <c r="F1158" i="93"/>
  <c r="H1158" i="93" s="1"/>
  <c r="O854" i="94"/>
  <c r="K861" i="94"/>
  <c r="J850" i="94"/>
  <c r="O843" i="94"/>
  <c r="P999" i="94"/>
  <c r="O999" i="94"/>
  <c r="K900" i="94"/>
  <c r="O900" i="94" s="1"/>
  <c r="K875" i="94"/>
  <c r="O881" i="94"/>
  <c r="J875" i="94"/>
  <c r="J904" i="94"/>
  <c r="O904" i="94" s="1"/>
  <c r="K850" i="94"/>
  <c r="O870" i="94"/>
  <c r="L871" i="94"/>
  <c r="O871" i="94" s="1"/>
  <c r="J903" i="94"/>
  <c r="O903" i="94" s="1"/>
  <c r="O880" i="94"/>
  <c r="J868" i="94"/>
  <c r="O899" i="94"/>
  <c r="L898" i="94"/>
  <c r="N875" i="94"/>
  <c r="O882" i="94"/>
  <c r="J861" i="94"/>
  <c r="O861" i="94" s="1"/>
  <c r="O822" i="93"/>
  <c r="J823" i="93"/>
  <c r="O823" i="93" s="1"/>
  <c r="CC805" i="93"/>
  <c r="M870" i="93" s="1"/>
  <c r="J837" i="93"/>
  <c r="O837" i="93" s="1"/>
  <c r="O835" i="93"/>
  <c r="AC805" i="93"/>
  <c r="K814" i="93" s="1"/>
  <c r="K815" i="93" s="1"/>
  <c r="K817" i="93" s="1"/>
  <c r="K819" i="93" s="1"/>
  <c r="N866" i="93"/>
  <c r="O866" i="93" s="1"/>
  <c r="O849" i="93"/>
  <c r="J865" i="94"/>
  <c r="O865" i="94" s="1"/>
  <c r="O879" i="94"/>
  <c r="O887" i="94"/>
  <c r="O868" i="93"/>
  <c r="K42" i="73"/>
  <c r="K1136" i="93"/>
  <c r="K1200" i="94"/>
  <c r="K1138" i="93"/>
  <c r="K1202" i="94"/>
  <c r="K44" i="73"/>
  <c r="M58" i="73"/>
  <c r="N58" i="73"/>
  <c r="M59" i="73"/>
  <c r="N59" i="73"/>
  <c r="N1217" i="94"/>
  <c r="M1217" i="94"/>
  <c r="N1160" i="93"/>
  <c r="M1160" i="93"/>
  <c r="M1220" i="94"/>
  <c r="N1220" i="94"/>
  <c r="N1208" i="94"/>
  <c r="M1208" i="94"/>
  <c r="O863" i="93"/>
  <c r="O861" i="93"/>
  <c r="J874" i="93"/>
  <c r="K876" i="93"/>
  <c r="H79" i="94"/>
  <c r="H56" i="66"/>
  <c r="H68" i="93"/>
  <c r="K49" i="73"/>
  <c r="K1207" i="94"/>
  <c r="K1143" i="93"/>
  <c r="O115" i="75"/>
  <c r="K1222" i="94"/>
  <c r="K1158" i="93"/>
  <c r="K64" i="73"/>
  <c r="N56" i="73"/>
  <c r="M56" i="73"/>
  <c r="O136" i="75"/>
  <c r="M1145" i="93"/>
  <c r="N1145" i="93"/>
  <c r="L805" i="93"/>
  <c r="L806" i="93" s="1"/>
  <c r="B14" i="74"/>
  <c r="H173" i="75"/>
  <c r="B970" i="93"/>
  <c r="C68" i="84"/>
  <c r="P983" i="94"/>
  <c r="P226" i="75"/>
  <c r="F558" i="93" s="1"/>
  <c r="P932" i="93"/>
  <c r="J2055" i="94"/>
  <c r="J2056" i="94" s="1"/>
  <c r="G222" i="72"/>
  <c r="P1203" i="94"/>
  <c r="I436" i="94"/>
  <c r="I437" i="94" s="1"/>
  <c r="B4" i="82"/>
  <c r="K9" i="88"/>
  <c r="K23" i="88" s="1"/>
  <c r="K28" i="88" s="1"/>
  <c r="F39" i="88" s="1"/>
  <c r="C18" i="84"/>
  <c r="P51" i="68"/>
  <c r="P52" i="68" s="1"/>
  <c r="J408" i="72"/>
  <c r="M408" i="72"/>
  <c r="M2056" i="94" s="1"/>
  <c r="C38" i="84"/>
  <c r="G1870" i="94"/>
  <c r="I422" i="93"/>
  <c r="J1937" i="93"/>
  <c r="I60" i="68"/>
  <c r="P45" i="68" s="1"/>
  <c r="P422" i="94" s="1"/>
  <c r="P427" i="94"/>
  <c r="F47" i="78"/>
  <c r="G568" i="93"/>
  <c r="J151" i="78"/>
  <c r="J153" i="78" s="1"/>
  <c r="F483" i="93"/>
  <c r="E481" i="94"/>
  <c r="E483" i="94" s="1"/>
  <c r="G479" i="94" s="1"/>
  <c r="J18" i="84"/>
  <c r="C40" i="84"/>
  <c r="E482" i="94"/>
  <c r="B489" i="94"/>
  <c r="F15" i="86"/>
  <c r="G15" i="86"/>
  <c r="F55" i="86"/>
  <c r="H55" i="86"/>
  <c r="I15" i="86"/>
  <c r="D55" i="86"/>
  <c r="C35" i="86"/>
  <c r="I35" i="86"/>
  <c r="H35" i="86"/>
  <c r="E15" i="86"/>
  <c r="D35" i="86"/>
  <c r="G35" i="86"/>
  <c r="E35" i="86"/>
  <c r="F35" i="86"/>
  <c r="C55" i="86"/>
  <c r="O16" i="86"/>
  <c r="G55" i="86"/>
  <c r="C15" i="86"/>
  <c r="E55" i="86"/>
  <c r="O17" i="86"/>
  <c r="D15" i="86"/>
  <c r="H15" i="86"/>
  <c r="R979" i="93"/>
  <c r="R992" i="93"/>
  <c r="R994" i="93"/>
  <c r="R985" i="93"/>
  <c r="R991" i="93"/>
  <c r="R984" i="93"/>
  <c r="R990" i="93"/>
  <c r="R980" i="93"/>
  <c r="R993" i="93"/>
  <c r="I422" i="94"/>
  <c r="I407" i="93"/>
  <c r="R983" i="93"/>
  <c r="R982" i="93"/>
  <c r="R988" i="93"/>
  <c r="R989" i="93"/>
  <c r="C997" i="93"/>
  <c r="C1058" i="94"/>
  <c r="R981" i="93"/>
  <c r="R986" i="93"/>
  <c r="D1058" i="94"/>
  <c r="D997" i="93"/>
  <c r="E43" i="74"/>
  <c r="C39" i="74"/>
  <c r="D39" i="74" s="1"/>
  <c r="B1054" i="94"/>
  <c r="C10" i="86"/>
  <c r="D10" i="86"/>
  <c r="B993" i="93"/>
  <c r="C1054" i="94"/>
  <c r="C993" i="93"/>
  <c r="C1046" i="93"/>
  <c r="C1050" i="93"/>
  <c r="I1040" i="94"/>
  <c r="I979" i="93"/>
  <c r="I45" i="82"/>
  <c r="E15" i="87"/>
  <c r="G1040" i="94"/>
  <c r="G979" i="93"/>
  <c r="G45" i="82"/>
  <c r="E13" i="87"/>
  <c r="E1040" i="94"/>
  <c r="E979" i="93"/>
  <c r="E11" i="87"/>
  <c r="E45" i="82"/>
  <c r="C1040" i="94"/>
  <c r="C979" i="93"/>
  <c r="C45" i="82"/>
  <c r="E9" i="87"/>
  <c r="J1040" i="94"/>
  <c r="J979" i="93"/>
  <c r="E16" i="87"/>
  <c r="J45" i="82"/>
  <c r="H1040" i="94"/>
  <c r="E14" i="87"/>
  <c r="H45" i="82"/>
  <c r="H979" i="93"/>
  <c r="F1040" i="94"/>
  <c r="F979" i="93"/>
  <c r="F45" i="82"/>
  <c r="E12" i="87"/>
  <c r="D1040" i="94"/>
  <c r="E10" i="87"/>
  <c r="D45" i="82"/>
  <c r="D979" i="93"/>
  <c r="B1040" i="94"/>
  <c r="E8" i="87"/>
  <c r="B45" i="82"/>
  <c r="C75" i="84"/>
  <c r="F122" i="78"/>
  <c r="B979" i="93"/>
  <c r="F567" i="94"/>
  <c r="P934" i="93"/>
  <c r="P990" i="94"/>
  <c r="N51" i="93"/>
  <c r="N63" i="94"/>
  <c r="L65" i="73"/>
  <c r="L66" i="73"/>
  <c r="L48" i="73"/>
  <c r="L55" i="73"/>
  <c r="L42" i="73"/>
  <c r="L41" i="73"/>
  <c r="L58" i="73"/>
  <c r="L52" i="73"/>
  <c r="L59" i="73"/>
  <c r="L51" i="73"/>
  <c r="L64" i="73"/>
  <c r="L56" i="73"/>
  <c r="L49" i="73"/>
  <c r="L63" i="73"/>
  <c r="B5" i="92"/>
  <c r="C139" i="90"/>
  <c r="K63" i="94"/>
  <c r="T1731" i="93"/>
  <c r="H15" i="84"/>
  <c r="F18" i="85" s="1"/>
  <c r="J381" i="73"/>
  <c r="F1470" i="93" s="1"/>
  <c r="T1825" i="94"/>
  <c r="K51" i="93"/>
  <c r="P428" i="94" l="1"/>
  <c r="P429" i="94" s="1"/>
  <c r="R977" i="93"/>
  <c r="R978" i="93"/>
  <c r="R976" i="93"/>
  <c r="E984" i="93"/>
  <c r="E1045" i="94"/>
  <c r="E53" i="82"/>
  <c r="O868" i="94"/>
  <c r="K469" i="73"/>
  <c r="H54" i="66"/>
  <c r="P76" i="93"/>
  <c r="M41" i="73"/>
  <c r="N41" i="73"/>
  <c r="K1199" i="94"/>
  <c r="K1135" i="93"/>
  <c r="H76" i="93"/>
  <c r="H77" i="93" s="1"/>
  <c r="H79" i="93" s="1"/>
  <c r="H92" i="94"/>
  <c r="H1836" i="93"/>
  <c r="P153" i="75"/>
  <c r="H69" i="66"/>
  <c r="I58" i="73"/>
  <c r="H58" i="73"/>
  <c r="I1153" i="93"/>
  <c r="H1216" i="94"/>
  <c r="I1216" i="94"/>
  <c r="I1152" i="93"/>
  <c r="I59" i="73"/>
  <c r="H59" i="73"/>
  <c r="H1217" i="94"/>
  <c r="I1217" i="94"/>
  <c r="I56" i="73"/>
  <c r="H56" i="73"/>
  <c r="H1214" i="94"/>
  <c r="I1214" i="94"/>
  <c r="J154" i="75"/>
  <c r="O152" i="75"/>
  <c r="P73" i="93" s="1"/>
  <c r="P75" i="93" s="1"/>
  <c r="H1215" i="94"/>
  <c r="I1215" i="94"/>
  <c r="I57" i="73"/>
  <c r="H57" i="73"/>
  <c r="F55" i="73"/>
  <c r="F1149" i="93"/>
  <c r="O139" i="75"/>
  <c r="F1213" i="94"/>
  <c r="I1150" i="93"/>
  <c r="I1151" i="93"/>
  <c r="P67" i="93"/>
  <c r="O432" i="72"/>
  <c r="P238" i="75"/>
  <c r="P239" i="75" s="1"/>
  <c r="P230" i="75" s="1"/>
  <c r="P992" i="94" s="1"/>
  <c r="O2080" i="94"/>
  <c r="P78" i="94"/>
  <c r="P55" i="66"/>
  <c r="O239" i="75"/>
  <c r="O238" i="75"/>
  <c r="L1968" i="93"/>
  <c r="O850" i="94"/>
  <c r="K1223" i="94"/>
  <c r="K65" i="73"/>
  <c r="K1159" i="93"/>
  <c r="K48" i="73"/>
  <c r="K1142" i="93"/>
  <c r="O138" i="75"/>
  <c r="K1206" i="94"/>
  <c r="H1224" i="94"/>
  <c r="I1224" i="94"/>
  <c r="O898" i="94"/>
  <c r="K1221" i="94"/>
  <c r="K63" i="73"/>
  <c r="K1157" i="93"/>
  <c r="O142" i="75"/>
  <c r="K1203" i="94"/>
  <c r="K45" i="73"/>
  <c r="K1139" i="93"/>
  <c r="K1210" i="94"/>
  <c r="K1146" i="93"/>
  <c r="K52" i="73"/>
  <c r="K53" i="73" s="1"/>
  <c r="I66" i="73"/>
  <c r="H66" i="73"/>
  <c r="I1160" i="93"/>
  <c r="N64" i="73"/>
  <c r="M64" i="73"/>
  <c r="K67" i="73"/>
  <c r="M1222" i="94"/>
  <c r="N1222" i="94"/>
  <c r="N49" i="73"/>
  <c r="M49" i="73"/>
  <c r="K1225" i="94"/>
  <c r="N1202" i="94"/>
  <c r="M1202" i="94"/>
  <c r="M42" i="73"/>
  <c r="N42" i="73"/>
  <c r="K46" i="73"/>
  <c r="N1158" i="93"/>
  <c r="M1158" i="93"/>
  <c r="E545" i="94"/>
  <c r="J545" i="94" s="1"/>
  <c r="E536" i="93"/>
  <c r="J536" i="93" s="1"/>
  <c r="E100" i="78"/>
  <c r="J100" i="78" s="1"/>
  <c r="M1207" i="94"/>
  <c r="N1207" i="94"/>
  <c r="J876" i="93"/>
  <c r="N44" i="73"/>
  <c r="M44" i="73"/>
  <c r="N1138" i="93"/>
  <c r="M1138" i="93"/>
  <c r="N1136" i="93"/>
  <c r="M1136" i="93"/>
  <c r="O875" i="94"/>
  <c r="I64" i="73"/>
  <c r="H64" i="73"/>
  <c r="H1210" i="94"/>
  <c r="I1210" i="94"/>
  <c r="F1211" i="94"/>
  <c r="I1206" i="94"/>
  <c r="H1206" i="94"/>
  <c r="I42" i="73"/>
  <c r="H42" i="73"/>
  <c r="I1223" i="94"/>
  <c r="H1223" i="94"/>
  <c r="I51" i="73"/>
  <c r="H51" i="73"/>
  <c r="I1203" i="94"/>
  <c r="H1203" i="94"/>
  <c r="I1199" i="94"/>
  <c r="H1199" i="94"/>
  <c r="F1204" i="94"/>
  <c r="I89" i="94"/>
  <c r="I66" i="66"/>
  <c r="I61" i="66" s="1"/>
  <c r="K159" i="75"/>
  <c r="K921" i="94" s="1"/>
  <c r="H8" i="88"/>
  <c r="I8" i="88" s="1"/>
  <c r="J827" i="94"/>
  <c r="O825" i="94"/>
  <c r="N43" i="73"/>
  <c r="M43" i="73"/>
  <c r="N1201" i="94"/>
  <c r="M1201" i="94"/>
  <c r="C66" i="84"/>
  <c r="E172" i="90"/>
  <c r="E173" i="90" s="1"/>
  <c r="O843" i="93"/>
  <c r="K1154" i="93"/>
  <c r="M1149" i="93"/>
  <c r="N1149" i="93"/>
  <c r="N1154" i="93" s="1"/>
  <c r="O859" i="93"/>
  <c r="M862" i="93"/>
  <c r="O862" i="93" s="1"/>
  <c r="O814" i="93"/>
  <c r="F1161" i="93"/>
  <c r="H1156" i="93"/>
  <c r="I62" i="73"/>
  <c r="H62" i="73"/>
  <c r="F67" i="73"/>
  <c r="I1208" i="94"/>
  <c r="H1208" i="94"/>
  <c r="I1201" i="94"/>
  <c r="H1201" i="94"/>
  <c r="I43" i="73"/>
  <c r="H43" i="73"/>
  <c r="H1221" i="94"/>
  <c r="I1221" i="94"/>
  <c r="I49" i="73"/>
  <c r="H49" i="73"/>
  <c r="H1202" i="94"/>
  <c r="I1202" i="94"/>
  <c r="P84" i="94"/>
  <c r="P93" i="94" s="1"/>
  <c r="P95" i="94" s="1"/>
  <c r="P98" i="94" s="1"/>
  <c r="E7" i="88"/>
  <c r="H84" i="94"/>
  <c r="H93" i="94" s="1"/>
  <c r="H95" i="94" s="1"/>
  <c r="I1137" i="93"/>
  <c r="I1158" i="93"/>
  <c r="I1156" i="93"/>
  <c r="I1161" i="93" s="1"/>
  <c r="I1146" i="93"/>
  <c r="I1143" i="93"/>
  <c r="I1159" i="93"/>
  <c r="I1145" i="93"/>
  <c r="M841" i="93"/>
  <c r="O841" i="93" s="1"/>
  <c r="M1143" i="93"/>
  <c r="N1143" i="93"/>
  <c r="K1147" i="93"/>
  <c r="M1200" i="94"/>
  <c r="N1200" i="94"/>
  <c r="M872" i="93"/>
  <c r="M874" i="93" s="1"/>
  <c r="M876" i="93" s="1"/>
  <c r="O870" i="93"/>
  <c r="I1222" i="94"/>
  <c r="H1222" i="94"/>
  <c r="I52" i="73"/>
  <c r="H52" i="73"/>
  <c r="H1142" i="93"/>
  <c r="F1147" i="93"/>
  <c r="I48" i="73"/>
  <c r="H48" i="73"/>
  <c r="F53" i="73"/>
  <c r="I1200" i="94"/>
  <c r="H1200" i="94"/>
  <c r="I65" i="73"/>
  <c r="H65" i="73"/>
  <c r="H1209" i="94"/>
  <c r="I1209" i="94"/>
  <c r="I45" i="73"/>
  <c r="H45" i="73"/>
  <c r="F1140" i="93"/>
  <c r="H1135" i="93"/>
  <c r="I41" i="73"/>
  <c r="H41" i="73"/>
  <c r="F46" i="73"/>
  <c r="K1625" i="94"/>
  <c r="K467" i="73"/>
  <c r="M159" i="75"/>
  <c r="M921" i="94" s="1"/>
  <c r="H10" i="88"/>
  <c r="I10" i="88" s="1"/>
  <c r="K1204" i="94"/>
  <c r="K1140" i="93"/>
  <c r="H78" i="94"/>
  <c r="H55" i="66"/>
  <c r="H7" i="84" s="1"/>
  <c r="H67" i="93"/>
  <c r="N1137" i="93"/>
  <c r="M1137" i="93"/>
  <c r="K1161" i="93"/>
  <c r="M1213" i="94"/>
  <c r="N1213" i="94"/>
  <c r="N1218" i="94" s="1"/>
  <c r="K1218" i="94"/>
  <c r="K60" i="73"/>
  <c r="N55" i="73"/>
  <c r="N60" i="73" s="1"/>
  <c r="M55" i="73"/>
  <c r="O877" i="94"/>
  <c r="J817" i="93"/>
  <c r="O815" i="93"/>
  <c r="J916" i="94"/>
  <c r="O914" i="94"/>
  <c r="F1225" i="94"/>
  <c r="I1220" i="94"/>
  <c r="H1220" i="94"/>
  <c r="I50" i="73"/>
  <c r="H50" i="73"/>
  <c r="I63" i="73"/>
  <c r="H63" i="73"/>
  <c r="I1207" i="94"/>
  <c r="H1207" i="94"/>
  <c r="I44" i="73"/>
  <c r="H44" i="73"/>
  <c r="I84" i="94"/>
  <c r="P61" i="66"/>
  <c r="P70" i="66" s="1"/>
  <c r="P72" i="66" s="1"/>
  <c r="P75" i="66" s="1"/>
  <c r="N65" i="75"/>
  <c r="N67" i="75" s="1"/>
  <c r="N75" i="75"/>
  <c r="N837" i="94" s="1"/>
  <c r="N74" i="75"/>
  <c r="N836" i="94" s="1"/>
  <c r="N71" i="75"/>
  <c r="N833" i="94" s="1"/>
  <c r="N77" i="75"/>
  <c r="N839" i="94" s="1"/>
  <c r="N76" i="75"/>
  <c r="N838" i="94" s="1"/>
  <c r="N73" i="75"/>
  <c r="N835" i="94" s="1"/>
  <c r="N72" i="75"/>
  <c r="N834" i="94" s="1"/>
  <c r="D11" i="88"/>
  <c r="E11" i="88" s="1"/>
  <c r="O63" i="75"/>
  <c r="J67" i="75"/>
  <c r="H61" i="66"/>
  <c r="H70" i="66" s="1"/>
  <c r="H72" i="66" s="1"/>
  <c r="L159" i="75"/>
  <c r="L921" i="94" s="1"/>
  <c r="H9" i="88"/>
  <c r="I9" i="88" s="1"/>
  <c r="I1139" i="93"/>
  <c r="I1144" i="93"/>
  <c r="I1136" i="93"/>
  <c r="I1142" i="93"/>
  <c r="I1147" i="93" s="1"/>
  <c r="I1138" i="93"/>
  <c r="I1135" i="93"/>
  <c r="I1140" i="93" s="1"/>
  <c r="M932" i="93"/>
  <c r="G68" i="84"/>
  <c r="I68" i="84"/>
  <c r="E68" i="84"/>
  <c r="K68" i="84"/>
  <c r="H935" i="94"/>
  <c r="O935" i="94" s="1"/>
  <c r="H879" i="93"/>
  <c r="O879" i="93" s="1"/>
  <c r="O173" i="75"/>
  <c r="B975" i="93"/>
  <c r="B992" i="93" s="1"/>
  <c r="B20" i="74"/>
  <c r="B38" i="74" s="1"/>
  <c r="B1053" i="94" s="1"/>
  <c r="P241" i="75"/>
  <c r="F566" i="94"/>
  <c r="F121" i="78"/>
  <c r="F557" i="93"/>
  <c r="P988" i="94"/>
  <c r="B971" i="93"/>
  <c r="G14" i="74"/>
  <c r="D14" i="74"/>
  <c r="E14" i="74"/>
  <c r="C14" i="74"/>
  <c r="C52" i="84"/>
  <c r="H14" i="74"/>
  <c r="J14" i="74"/>
  <c r="B15" i="74"/>
  <c r="B16" i="74" s="1"/>
  <c r="D46" i="74"/>
  <c r="F14" i="74"/>
  <c r="I14" i="74"/>
  <c r="K14" i="74"/>
  <c r="B46" i="74"/>
  <c r="F46" i="74"/>
  <c r="G46" i="74"/>
  <c r="H46" i="74"/>
  <c r="I46" i="74"/>
  <c r="J46" i="74"/>
  <c r="C78" i="74"/>
  <c r="I78" i="74"/>
  <c r="K78" i="74"/>
  <c r="C108" i="74"/>
  <c r="D108" i="74"/>
  <c r="E108" i="74"/>
  <c r="F108" i="74"/>
  <c r="B1029" i="94"/>
  <c r="C46" i="74"/>
  <c r="E46" i="74"/>
  <c r="K46" i="74"/>
  <c r="B78" i="74"/>
  <c r="G78" i="74"/>
  <c r="H78" i="74"/>
  <c r="J78" i="74"/>
  <c r="D78" i="74"/>
  <c r="E78" i="74"/>
  <c r="F78" i="74"/>
  <c r="B108" i="74"/>
  <c r="K40" i="84"/>
  <c r="D18" i="84"/>
  <c r="J1938" i="93"/>
  <c r="J1939" i="93" s="1"/>
  <c r="M1938" i="93"/>
  <c r="M1939" i="93" s="1"/>
  <c r="P413" i="93"/>
  <c r="I423" i="93"/>
  <c r="P414" i="93"/>
  <c r="P415" i="93" s="1"/>
  <c r="F492" i="94"/>
  <c r="O19" i="86"/>
  <c r="O23" i="86" s="1"/>
  <c r="O25" i="86" s="1"/>
  <c r="O31" i="86" s="1"/>
  <c r="E997" i="93"/>
  <c r="E1058" i="94"/>
  <c r="F43" i="74"/>
  <c r="E39" i="74"/>
  <c r="F10" i="86" s="1"/>
  <c r="E10" i="86"/>
  <c r="D1054" i="94"/>
  <c r="D993" i="93"/>
  <c r="E993" i="93"/>
  <c r="F39" i="74"/>
  <c r="G10" i="86" s="1"/>
  <c r="E75" i="84"/>
  <c r="C77" i="84"/>
  <c r="G75" i="84"/>
  <c r="K75" i="84"/>
  <c r="I75" i="84"/>
  <c r="F991" i="93"/>
  <c r="F987" i="93"/>
  <c r="J987" i="93"/>
  <c r="J991" i="93"/>
  <c r="E987" i="93"/>
  <c r="E991" i="93"/>
  <c r="E986" i="93"/>
  <c r="I991" i="93"/>
  <c r="I987" i="93"/>
  <c r="D991" i="93"/>
  <c r="D987" i="93"/>
  <c r="D986" i="93"/>
  <c r="H991" i="93"/>
  <c r="H987" i="93"/>
  <c r="C987" i="93"/>
  <c r="C991" i="93"/>
  <c r="C986" i="93"/>
  <c r="G991" i="93"/>
  <c r="G987" i="93"/>
  <c r="F1045" i="94" l="1"/>
  <c r="F53" i="82"/>
  <c r="F984" i="93"/>
  <c r="F986" i="93" s="1"/>
  <c r="M231" i="75"/>
  <c r="P231" i="75"/>
  <c r="B977" i="93"/>
  <c r="B22" i="74"/>
  <c r="P936" i="93"/>
  <c r="P947" i="93" s="1"/>
  <c r="P77" i="93"/>
  <c r="P82" i="93" s="1"/>
  <c r="I1225" i="94"/>
  <c r="M1135" i="93"/>
  <c r="N1135" i="93"/>
  <c r="N1140" i="93" s="1"/>
  <c r="M1199" i="94"/>
  <c r="N1199" i="94"/>
  <c r="O65" i="75"/>
  <c r="K1704" i="94" s="1"/>
  <c r="I46" i="73"/>
  <c r="I1213" i="94"/>
  <c r="I1218" i="94" s="1"/>
  <c r="H1213" i="94"/>
  <c r="F1218" i="94"/>
  <c r="H1149" i="93"/>
  <c r="F1154" i="93"/>
  <c r="F1163" i="93" s="1"/>
  <c r="I1149" i="93"/>
  <c r="I1154" i="93" s="1"/>
  <c r="I55" i="73"/>
  <c r="I60" i="73" s="1"/>
  <c r="F60" i="73"/>
  <c r="F69" i="73" s="1"/>
  <c r="H55" i="73"/>
  <c r="J156" i="75"/>
  <c r="O156" i="75" s="1"/>
  <c r="O154" i="75"/>
  <c r="N1146" i="93"/>
  <c r="M1146" i="93"/>
  <c r="M1139" i="93"/>
  <c r="N1139" i="93"/>
  <c r="N1203" i="94"/>
  <c r="N1204" i="94" s="1"/>
  <c r="M1203" i="94"/>
  <c r="N1157" i="93"/>
  <c r="M1157" i="93"/>
  <c r="M1221" i="94"/>
  <c r="N1221" i="94"/>
  <c r="M1206" i="94"/>
  <c r="K1211" i="94"/>
  <c r="N1206" i="94"/>
  <c r="M1142" i="93"/>
  <c r="N1142" i="93"/>
  <c r="N1147" i="93" s="1"/>
  <c r="N1159" i="93"/>
  <c r="M1159" i="93"/>
  <c r="M1223" i="94"/>
  <c r="N1223" i="94"/>
  <c r="O872" i="93"/>
  <c r="M52" i="73"/>
  <c r="N52" i="73"/>
  <c r="M1210" i="94"/>
  <c r="N1210" i="94"/>
  <c r="N45" i="73"/>
  <c r="N46" i="73" s="1"/>
  <c r="M45" i="73"/>
  <c r="N63" i="73"/>
  <c r="M63" i="73"/>
  <c r="N48" i="73"/>
  <c r="M48" i="73"/>
  <c r="M65" i="73"/>
  <c r="N65" i="73"/>
  <c r="E47" i="92"/>
  <c r="E26" i="89"/>
  <c r="P184" i="94"/>
  <c r="L56" i="72"/>
  <c r="J56" i="72"/>
  <c r="P161" i="66"/>
  <c r="O168" i="93"/>
  <c r="P168" i="93"/>
  <c r="P162" i="66"/>
  <c r="P167" i="93"/>
  <c r="P185" i="94"/>
  <c r="K56" i="72"/>
  <c r="P163" i="66"/>
  <c r="L1704" i="94"/>
  <c r="P1704" i="94" s="1"/>
  <c r="P1703" i="94" s="1"/>
  <c r="P1695" i="94" s="1"/>
  <c r="P2096" i="94" s="1"/>
  <c r="P186" i="94"/>
  <c r="J1599" i="93"/>
  <c r="F43" i="78"/>
  <c r="F479" i="93"/>
  <c r="K13" i="84"/>
  <c r="P43" i="78"/>
  <c r="G579" i="94"/>
  <c r="G134" i="78"/>
  <c r="P479" i="93"/>
  <c r="F488" i="94"/>
  <c r="O67" i="75"/>
  <c r="J159" i="75"/>
  <c r="J921" i="94" s="1"/>
  <c r="H7" i="88"/>
  <c r="N159" i="75"/>
  <c r="N921" i="94" s="1"/>
  <c r="H11" i="88"/>
  <c r="I11" i="88" s="1"/>
  <c r="K1163" i="93"/>
  <c r="I53" i="73"/>
  <c r="P944" i="93"/>
  <c r="P945" i="93" s="1"/>
  <c r="O945" i="93"/>
  <c r="O944" i="93"/>
  <c r="D12" i="88"/>
  <c r="K66" i="84"/>
  <c r="G66" i="84"/>
  <c r="E66" i="84"/>
  <c r="I66" i="84"/>
  <c r="J829" i="94"/>
  <c r="O829" i="94" s="1"/>
  <c r="O989" i="94" s="1"/>
  <c r="O827" i="94"/>
  <c r="O876" i="93"/>
  <c r="K69" i="73"/>
  <c r="O77" i="75"/>
  <c r="O75" i="75"/>
  <c r="O73" i="75"/>
  <c r="O71" i="75"/>
  <c r="O76" i="75"/>
  <c r="O72" i="75"/>
  <c r="O74" i="75"/>
  <c r="N465" i="73"/>
  <c r="N1623" i="94"/>
  <c r="N466" i="73"/>
  <c r="E13" i="84"/>
  <c r="L1952" i="93"/>
  <c r="L1953" i="93" s="1"/>
  <c r="M1952" i="93" s="1"/>
  <c r="J599" i="94"/>
  <c r="J600" i="94" s="1"/>
  <c r="J602" i="94" s="1"/>
  <c r="P154" i="78"/>
  <c r="P155" i="78" s="1"/>
  <c r="P157" i="78" s="1"/>
  <c r="J590" i="93"/>
  <c r="J591" i="93" s="1"/>
  <c r="J593" i="93" s="1"/>
  <c r="N1624" i="94"/>
  <c r="M599" i="94"/>
  <c r="M600" i="94" s="1"/>
  <c r="M602" i="94" s="1"/>
  <c r="P599" i="94"/>
  <c r="P600" i="94" s="1"/>
  <c r="P602" i="94" s="1"/>
  <c r="J154" i="78"/>
  <c r="J155" i="78" s="1"/>
  <c r="M590" i="93"/>
  <c r="M591" i="93" s="1"/>
  <c r="M593" i="93" s="1"/>
  <c r="P590" i="93"/>
  <c r="P591" i="93" s="1"/>
  <c r="P593" i="93" s="1"/>
  <c r="M154" i="78"/>
  <c r="M155" i="78" s="1"/>
  <c r="M157" i="78" s="1"/>
  <c r="J918" i="94"/>
  <c r="O918" i="94" s="1"/>
  <c r="O916" i="94"/>
  <c r="O817" i="93"/>
  <c r="J819" i="93"/>
  <c r="O819" i="93" s="1"/>
  <c r="K1227" i="94"/>
  <c r="G570" i="93"/>
  <c r="E13" i="88"/>
  <c r="I67" i="73"/>
  <c r="H69" i="73" s="1"/>
  <c r="B1037" i="94"/>
  <c r="C22" i="74"/>
  <c r="C13" i="86"/>
  <c r="F22" i="74"/>
  <c r="H22" i="74"/>
  <c r="J22" i="74"/>
  <c r="G22" i="74"/>
  <c r="I22" i="74"/>
  <c r="K22" i="74"/>
  <c r="B54" i="74"/>
  <c r="F54" i="74"/>
  <c r="H54" i="74"/>
  <c r="J54" i="74"/>
  <c r="E86" i="74"/>
  <c r="E1101" i="94" s="1"/>
  <c r="F86" i="74"/>
  <c r="F1101" i="94" s="1"/>
  <c r="G86" i="74"/>
  <c r="G1101" i="94" s="1"/>
  <c r="I86" i="74"/>
  <c r="I1101" i="94" s="1"/>
  <c r="B116" i="74"/>
  <c r="B1131" i="94" s="1"/>
  <c r="D116" i="74"/>
  <c r="D1131" i="94" s="1"/>
  <c r="E22" i="74"/>
  <c r="D22" i="74"/>
  <c r="C54" i="74"/>
  <c r="D54" i="74"/>
  <c r="E54" i="74"/>
  <c r="G54" i="74"/>
  <c r="I54" i="74"/>
  <c r="K54" i="74"/>
  <c r="B86" i="74"/>
  <c r="B1101" i="94" s="1"/>
  <c r="C86" i="74"/>
  <c r="C1101" i="94" s="1"/>
  <c r="H86" i="74"/>
  <c r="H1101" i="94" s="1"/>
  <c r="J86" i="74"/>
  <c r="J1101" i="94" s="1"/>
  <c r="D86" i="74"/>
  <c r="D1101" i="94" s="1"/>
  <c r="K86" i="74"/>
  <c r="K1101" i="94" s="1"/>
  <c r="C116" i="74"/>
  <c r="C1131" i="94" s="1"/>
  <c r="E116" i="74"/>
  <c r="E1131" i="94" s="1"/>
  <c r="F116" i="74"/>
  <c r="F1131" i="94" s="1"/>
  <c r="P937" i="93"/>
  <c r="F1227" i="94"/>
  <c r="I1204" i="94"/>
  <c r="I1211" i="94"/>
  <c r="P1000" i="94"/>
  <c r="P1001" i="94" s="1"/>
  <c r="M993" i="94" s="1"/>
  <c r="O1001" i="94"/>
  <c r="P993" i="94" s="1"/>
  <c r="O1000" i="94"/>
  <c r="O874" i="93"/>
  <c r="P488" i="94"/>
  <c r="B1031" i="94"/>
  <c r="C54" i="84"/>
  <c r="J4" i="91"/>
  <c r="K7" i="74"/>
  <c r="K5" i="74"/>
  <c r="B1123" i="94"/>
  <c r="E1093" i="94"/>
  <c r="J1093" i="94"/>
  <c r="G1093" i="94"/>
  <c r="K1061" i="94"/>
  <c r="C1061" i="94"/>
  <c r="F1123" i="94"/>
  <c r="D1123" i="94"/>
  <c r="K1093" i="94"/>
  <c r="C1093" i="94"/>
  <c r="I1061" i="94"/>
  <c r="G1061" i="94"/>
  <c r="B1061" i="94"/>
  <c r="I1029" i="94"/>
  <c r="D1061" i="94"/>
  <c r="J1029" i="94"/>
  <c r="H1029" i="94"/>
  <c r="C1029" i="94"/>
  <c r="D1029" i="94"/>
  <c r="B972" i="93"/>
  <c r="B978" i="93" s="1"/>
  <c r="F1093" i="94"/>
  <c r="D1093" i="94"/>
  <c r="H1093" i="94"/>
  <c r="B1093" i="94"/>
  <c r="E1061" i="94"/>
  <c r="E1123" i="94"/>
  <c r="C1123" i="94"/>
  <c r="I1093" i="94"/>
  <c r="J1061" i="94"/>
  <c r="H1061" i="94"/>
  <c r="F1061" i="94"/>
  <c r="K1029" i="94"/>
  <c r="F1029" i="94"/>
  <c r="B1030" i="94"/>
  <c r="D15" i="74"/>
  <c r="D1030" i="94" s="1"/>
  <c r="E15" i="74"/>
  <c r="E1030" i="94" s="1"/>
  <c r="C53" i="84"/>
  <c r="H15" i="74"/>
  <c r="H1030" i="94" s="1"/>
  <c r="J15" i="74"/>
  <c r="J1030" i="94" s="1"/>
  <c r="C15" i="74"/>
  <c r="C1030" i="94" s="1"/>
  <c r="I15" i="74"/>
  <c r="I1030" i="94" s="1"/>
  <c r="D47" i="74"/>
  <c r="D1062" i="94" s="1"/>
  <c r="F15" i="74"/>
  <c r="F1030" i="94" s="1"/>
  <c r="E47" i="74"/>
  <c r="E1062" i="94" s="1"/>
  <c r="G47" i="74"/>
  <c r="G1062" i="94" s="1"/>
  <c r="H47" i="74"/>
  <c r="H1062" i="94" s="1"/>
  <c r="I47" i="74"/>
  <c r="I1062" i="94" s="1"/>
  <c r="C79" i="74"/>
  <c r="C1094" i="94" s="1"/>
  <c r="I79" i="74"/>
  <c r="I1094" i="94" s="1"/>
  <c r="K79" i="74"/>
  <c r="K1094" i="94" s="1"/>
  <c r="C109" i="74"/>
  <c r="C1124" i="94" s="1"/>
  <c r="D109" i="74"/>
  <c r="D1124" i="94" s="1"/>
  <c r="E109" i="74"/>
  <c r="E1124" i="94" s="1"/>
  <c r="F109" i="74"/>
  <c r="F1124" i="94" s="1"/>
  <c r="G15" i="74"/>
  <c r="G1030" i="94" s="1"/>
  <c r="K15" i="74"/>
  <c r="K1030" i="94" s="1"/>
  <c r="B47" i="74"/>
  <c r="B1062" i="94" s="1"/>
  <c r="C47" i="74"/>
  <c r="C1062" i="94" s="1"/>
  <c r="F47" i="74"/>
  <c r="F1062" i="94" s="1"/>
  <c r="J47" i="74"/>
  <c r="J1062" i="94" s="1"/>
  <c r="K47" i="74"/>
  <c r="K1062" i="94" s="1"/>
  <c r="F79" i="74"/>
  <c r="F1094" i="94" s="1"/>
  <c r="G79" i="74"/>
  <c r="G1094" i="94" s="1"/>
  <c r="B109" i="74"/>
  <c r="B1124" i="94" s="1"/>
  <c r="B79" i="74"/>
  <c r="B1094" i="94" s="1"/>
  <c r="D79" i="74"/>
  <c r="D1094" i="94" s="1"/>
  <c r="E79" i="74"/>
  <c r="E1094" i="94" s="1"/>
  <c r="H79" i="74"/>
  <c r="H1094" i="94" s="1"/>
  <c r="J79" i="74"/>
  <c r="J1094" i="94" s="1"/>
  <c r="B19" i="74"/>
  <c r="I52" i="84"/>
  <c r="K52" i="84"/>
  <c r="E52" i="84"/>
  <c r="G52" i="84"/>
  <c r="C56" i="84"/>
  <c r="C64" i="84" s="1"/>
  <c r="C70" i="84" s="1"/>
  <c r="E16" i="74"/>
  <c r="E1031" i="94" s="1"/>
  <c r="E1029" i="94"/>
  <c r="G1029" i="94"/>
  <c r="P1003" i="94"/>
  <c r="G20" i="74"/>
  <c r="H20" i="74"/>
  <c r="J20" i="74"/>
  <c r="B1035" i="94"/>
  <c r="D20" i="74"/>
  <c r="I20" i="74"/>
  <c r="K20" i="74"/>
  <c r="B52" i="74"/>
  <c r="D52" i="74"/>
  <c r="E52" i="74"/>
  <c r="C20" i="74"/>
  <c r="F20" i="74"/>
  <c r="C52" i="74"/>
  <c r="F52" i="74"/>
  <c r="I52" i="74"/>
  <c r="J52" i="74"/>
  <c r="K52" i="74"/>
  <c r="C84" i="74"/>
  <c r="I84" i="74"/>
  <c r="K84" i="74"/>
  <c r="C114" i="74"/>
  <c r="D114" i="74"/>
  <c r="E114" i="74"/>
  <c r="F114" i="74"/>
  <c r="E20" i="74"/>
  <c r="G52" i="74"/>
  <c r="H52" i="74"/>
  <c r="B84" i="74"/>
  <c r="D84" i="74"/>
  <c r="E84" i="74"/>
  <c r="F84" i="74"/>
  <c r="J84" i="74"/>
  <c r="B114" i="74"/>
  <c r="G84" i="74"/>
  <c r="H84" i="74"/>
  <c r="M988" i="94"/>
  <c r="F1058" i="94"/>
  <c r="F997" i="93"/>
  <c r="G43" i="74"/>
  <c r="E1054" i="94"/>
  <c r="F1054" i="94"/>
  <c r="F993" i="93"/>
  <c r="G39" i="74"/>
  <c r="H10" i="86" s="1"/>
  <c r="K77" i="84"/>
  <c r="C80" i="84"/>
  <c r="C81" i="84"/>
  <c r="I77" i="84"/>
  <c r="G77" i="84"/>
  <c r="E77" i="84"/>
  <c r="H1099" i="94" l="1"/>
  <c r="H101" i="74"/>
  <c r="H1116" i="94" s="1"/>
  <c r="B1129" i="94"/>
  <c r="B131" i="74"/>
  <c r="B1146" i="94" s="1"/>
  <c r="F1099" i="94"/>
  <c r="F101" i="74"/>
  <c r="F1116" i="94" s="1"/>
  <c r="H1067" i="94"/>
  <c r="H70" i="74"/>
  <c r="H1085" i="94" s="1"/>
  <c r="E1035" i="94"/>
  <c r="E38" i="74"/>
  <c r="E1053" i="94" s="1"/>
  <c r="C1129" i="94"/>
  <c r="C131" i="74"/>
  <c r="C1146" i="94" s="1"/>
  <c r="I1099" i="94"/>
  <c r="I101" i="74"/>
  <c r="I1116" i="94" s="1"/>
  <c r="I1067" i="94"/>
  <c r="I70" i="74"/>
  <c r="I1085" i="94" s="1"/>
  <c r="G1099" i="94"/>
  <c r="G101" i="74"/>
  <c r="G1116" i="94" s="1"/>
  <c r="J1099" i="94"/>
  <c r="J101" i="74"/>
  <c r="J1116" i="94" s="1"/>
  <c r="E1099" i="94"/>
  <c r="E101" i="74"/>
  <c r="E1116" i="94" s="1"/>
  <c r="B1099" i="94"/>
  <c r="B101" i="74"/>
  <c r="B1116" i="94" s="1"/>
  <c r="G1067" i="94"/>
  <c r="G70" i="74"/>
  <c r="G1085" i="94" s="1"/>
  <c r="F1129" i="94"/>
  <c r="F131" i="74"/>
  <c r="F1146" i="94" s="1"/>
  <c r="D1129" i="94"/>
  <c r="D131" i="74"/>
  <c r="D1146" i="94" s="1"/>
  <c r="K1099" i="94"/>
  <c r="K101" i="74"/>
  <c r="K1116" i="94" s="1"/>
  <c r="C1099" i="94"/>
  <c r="C101" i="74"/>
  <c r="C1116" i="94" s="1"/>
  <c r="J1067" i="94"/>
  <c r="J70" i="74"/>
  <c r="J1085" i="94" s="1"/>
  <c r="F1067" i="94"/>
  <c r="F70" i="74"/>
  <c r="F1085" i="94" s="1"/>
  <c r="F1035" i="94"/>
  <c r="F38" i="74"/>
  <c r="F1053" i="94" s="1"/>
  <c r="E1067" i="94"/>
  <c r="E70" i="74"/>
  <c r="E1085" i="94" s="1"/>
  <c r="B1067" i="94"/>
  <c r="B70" i="74"/>
  <c r="B1085" i="94" s="1"/>
  <c r="I1035" i="94"/>
  <c r="I38" i="74"/>
  <c r="I1053" i="94" s="1"/>
  <c r="H1035" i="94"/>
  <c r="H38" i="74"/>
  <c r="H1053" i="94" s="1"/>
  <c r="D1099" i="94"/>
  <c r="D101" i="74"/>
  <c r="D1116" i="94" s="1"/>
  <c r="E1129" i="94"/>
  <c r="E131" i="74"/>
  <c r="E1146" i="94" s="1"/>
  <c r="K1067" i="94"/>
  <c r="K70" i="74"/>
  <c r="K1085" i="94" s="1"/>
  <c r="C1067" i="94"/>
  <c r="C70" i="74"/>
  <c r="C1085" i="94" s="1"/>
  <c r="C1035" i="94"/>
  <c r="C38" i="74"/>
  <c r="C1053" i="94" s="1"/>
  <c r="D1067" i="94"/>
  <c r="D70" i="74"/>
  <c r="D1085" i="94" s="1"/>
  <c r="K1035" i="94"/>
  <c r="K38" i="74"/>
  <c r="K1053" i="94" s="1"/>
  <c r="D1035" i="94"/>
  <c r="D38" i="74"/>
  <c r="D1053" i="94" s="1"/>
  <c r="J1035" i="94"/>
  <c r="J38" i="74"/>
  <c r="J1053" i="94" s="1"/>
  <c r="G1035" i="94"/>
  <c r="G38" i="74"/>
  <c r="G1053" i="94" s="1"/>
  <c r="G53" i="82"/>
  <c r="G1045" i="94"/>
  <c r="G984" i="93"/>
  <c r="G986" i="93" s="1"/>
  <c r="M937" i="93"/>
  <c r="N53" i="73"/>
  <c r="N67" i="73"/>
  <c r="N1225" i="94"/>
  <c r="J44" i="78"/>
  <c r="J480" i="93"/>
  <c r="J489" i="94"/>
  <c r="F480" i="93"/>
  <c r="F44" i="78"/>
  <c r="F489" i="94"/>
  <c r="N1211" i="94"/>
  <c r="P63" i="73"/>
  <c r="H1163" i="93"/>
  <c r="I33" i="86"/>
  <c r="E1069" i="94"/>
  <c r="G33" i="86"/>
  <c r="C1069" i="94"/>
  <c r="B1069" i="94"/>
  <c r="F33" i="86"/>
  <c r="C33" i="86"/>
  <c r="I1037" i="94"/>
  <c r="D33" i="86"/>
  <c r="J1037" i="94"/>
  <c r="F1037" i="94"/>
  <c r="G13" i="86"/>
  <c r="H1227" i="94"/>
  <c r="H53" i="86"/>
  <c r="K1069" i="94"/>
  <c r="D53" i="86"/>
  <c r="G1069" i="94"/>
  <c r="D1069" i="94"/>
  <c r="H33" i="86"/>
  <c r="D1037" i="94"/>
  <c r="E13" i="86"/>
  <c r="J1069" i="94"/>
  <c r="G53" i="86"/>
  <c r="F1069" i="94"/>
  <c r="C53" i="86"/>
  <c r="K1037" i="94"/>
  <c r="E33" i="86"/>
  <c r="G1037" i="94"/>
  <c r="H13" i="86"/>
  <c r="H1037" i="94"/>
  <c r="I13" i="86"/>
  <c r="J939" i="93"/>
  <c r="J938" i="93"/>
  <c r="J937" i="93"/>
  <c r="N929" i="93"/>
  <c r="N928" i="93"/>
  <c r="O933" i="93"/>
  <c r="I72" i="75"/>
  <c r="I834" i="94" s="1"/>
  <c r="O834" i="94"/>
  <c r="P834" i="94" s="1"/>
  <c r="P72" i="75"/>
  <c r="O833" i="94"/>
  <c r="P833" i="94" s="1"/>
  <c r="P71" i="75"/>
  <c r="I71" i="75" s="1"/>
  <c r="I833" i="94" s="1"/>
  <c r="I75" i="75"/>
  <c r="I837" i="94" s="1"/>
  <c r="O837" i="94"/>
  <c r="P837" i="94" s="1"/>
  <c r="P75" i="75"/>
  <c r="I7" i="88"/>
  <c r="I13" i="88" s="1"/>
  <c r="H12" i="88"/>
  <c r="D34" i="90" s="1"/>
  <c r="I49" i="75"/>
  <c r="I48" i="75"/>
  <c r="O155" i="72"/>
  <c r="H293" i="72"/>
  <c r="C13" i="84"/>
  <c r="O1385" i="94"/>
  <c r="D579" i="94"/>
  <c r="E523" i="94"/>
  <c r="N113" i="94"/>
  <c r="N90" i="66"/>
  <c r="L1951" i="93"/>
  <c r="E514" i="93"/>
  <c r="O2075" i="94"/>
  <c r="O2076" i="94" s="1"/>
  <c r="M1467" i="94"/>
  <c r="L1467" i="94" s="1"/>
  <c r="E492" i="94"/>
  <c r="O227" i="73"/>
  <c r="N467" i="73"/>
  <c r="D570" i="93"/>
  <c r="E78" i="78"/>
  <c r="M309" i="73"/>
  <c r="E47" i="78"/>
  <c r="J231" i="75"/>
  <c r="N94" i="93"/>
  <c r="O1975" i="93"/>
  <c r="O1976" i="93" s="1"/>
  <c r="D134" i="78"/>
  <c r="J232" i="75"/>
  <c r="O433" i="72"/>
  <c r="O434" i="72" s="1"/>
  <c r="O2081" i="94"/>
  <c r="O2082" i="94" s="1"/>
  <c r="N1625" i="94"/>
  <c r="M1464" i="94"/>
  <c r="L1464" i="94" s="1"/>
  <c r="F569" i="94"/>
  <c r="N110" i="94"/>
  <c r="F124" i="78"/>
  <c r="O427" i="72"/>
  <c r="O428" i="72" s="1"/>
  <c r="J233" i="75"/>
  <c r="N87" i="66"/>
  <c r="F560" i="93"/>
  <c r="O1980" i="93"/>
  <c r="O1981" i="93" s="1"/>
  <c r="M306" i="73"/>
  <c r="E483" i="93"/>
  <c r="J1836" i="93"/>
  <c r="L1836" i="93" s="1"/>
  <c r="N97" i="93"/>
  <c r="M1962" i="93"/>
  <c r="J43" i="78"/>
  <c r="J479" i="93"/>
  <c r="P228" i="75"/>
  <c r="M226" i="75" s="1"/>
  <c r="N223" i="75"/>
  <c r="N222" i="75"/>
  <c r="N470" i="73"/>
  <c r="O470" i="73" s="1"/>
  <c r="N1628" i="94"/>
  <c r="O1628" i="94" s="1"/>
  <c r="J488" i="94"/>
  <c r="O227" i="75"/>
  <c r="H20" i="84"/>
  <c r="C20" i="84"/>
  <c r="F53" i="86"/>
  <c r="I1069" i="94"/>
  <c r="F13" i="86"/>
  <c r="E1037" i="94"/>
  <c r="H1069" i="94"/>
  <c r="E53" i="86"/>
  <c r="D13" i="86"/>
  <c r="C1037" i="94"/>
  <c r="G15" i="82"/>
  <c r="G19" i="82" s="1"/>
  <c r="J157" i="78"/>
  <c r="J158" i="78" s="1"/>
  <c r="J594" i="93"/>
  <c r="H16" i="85"/>
  <c r="K18" i="88"/>
  <c r="O836" i="94"/>
  <c r="P836" i="94" s="1"/>
  <c r="P74" i="75"/>
  <c r="I74" i="75" s="1"/>
  <c r="I836" i="94" s="1"/>
  <c r="I76" i="75"/>
  <c r="I838" i="94" s="1"/>
  <c r="O838" i="94"/>
  <c r="P838" i="94" s="1"/>
  <c r="P76" i="75"/>
  <c r="O835" i="94"/>
  <c r="P835" i="94" s="1"/>
  <c r="P73" i="75"/>
  <c r="I73" i="75" s="1"/>
  <c r="I835" i="94" s="1"/>
  <c r="I77" i="75"/>
  <c r="I839" i="94" s="1"/>
  <c r="O839" i="94"/>
  <c r="P839" i="94" s="1"/>
  <c r="P77" i="75"/>
  <c r="I810" i="94"/>
  <c r="I811" i="94"/>
  <c r="J994" i="94"/>
  <c r="J995" i="94"/>
  <c r="J993" i="94"/>
  <c r="N984" i="94"/>
  <c r="N985" i="94"/>
  <c r="P1654" i="94"/>
  <c r="P2099" i="94"/>
  <c r="O56" i="72"/>
  <c r="K1606" i="93"/>
  <c r="P56" i="72"/>
  <c r="L1606" i="93"/>
  <c r="G16" i="74"/>
  <c r="G1031" i="94" s="1"/>
  <c r="E19" i="74"/>
  <c r="E1034" i="94" s="1"/>
  <c r="E1039" i="94" s="1"/>
  <c r="B987" i="93"/>
  <c r="B991" i="93"/>
  <c r="B986" i="93"/>
  <c r="B1034" i="94"/>
  <c r="B1039" i="94" s="1"/>
  <c r="B24" i="74"/>
  <c r="F48" i="74"/>
  <c r="F1063" i="94" s="1"/>
  <c r="H48" i="74"/>
  <c r="H1063" i="94" s="1"/>
  <c r="I80" i="74"/>
  <c r="I1095" i="94" s="1"/>
  <c r="E110" i="74"/>
  <c r="E1125" i="94" s="1"/>
  <c r="E48" i="74"/>
  <c r="E1063" i="94" s="1"/>
  <c r="H80" i="74"/>
  <c r="H1095" i="94" s="1"/>
  <c r="C16" i="74"/>
  <c r="C1031" i="94" s="1"/>
  <c r="H16" i="74"/>
  <c r="H1031" i="94" s="1"/>
  <c r="J16" i="74"/>
  <c r="J1031" i="94" s="1"/>
  <c r="B48" i="74"/>
  <c r="B1063" i="94" s="1"/>
  <c r="C80" i="74"/>
  <c r="C1095" i="94" s="1"/>
  <c r="D110" i="74"/>
  <c r="D1125" i="94" s="1"/>
  <c r="K48" i="74"/>
  <c r="K1063" i="94" s="1"/>
  <c r="B110" i="74"/>
  <c r="B1125" i="94" s="1"/>
  <c r="E24" i="74"/>
  <c r="C76" i="84"/>
  <c r="C73" i="84" s="1"/>
  <c r="C72" i="84"/>
  <c r="G53" i="84"/>
  <c r="G54" i="84" s="1"/>
  <c r="K53" i="84"/>
  <c r="K54" i="84" s="1"/>
  <c r="E53" i="84"/>
  <c r="E54" i="84" s="1"/>
  <c r="I53" i="84"/>
  <c r="I54" i="84" s="1"/>
  <c r="F16" i="74"/>
  <c r="F1031" i="94" s="1"/>
  <c r="K16" i="74"/>
  <c r="K1031" i="94" s="1"/>
  <c r="J48" i="74"/>
  <c r="J1063" i="94" s="1"/>
  <c r="C110" i="74"/>
  <c r="C1125" i="94" s="1"/>
  <c r="B80" i="74"/>
  <c r="B1095" i="94" s="1"/>
  <c r="D80" i="74"/>
  <c r="D1095" i="94" s="1"/>
  <c r="F80" i="74"/>
  <c r="F1095" i="94" s="1"/>
  <c r="D16" i="74"/>
  <c r="D1031" i="94" s="1"/>
  <c r="D48" i="74"/>
  <c r="D1063" i="94" s="1"/>
  <c r="I16" i="74"/>
  <c r="I1031" i="94" s="1"/>
  <c r="G48" i="74"/>
  <c r="G1063" i="94" s="1"/>
  <c r="I48" i="74"/>
  <c r="I1063" i="94" s="1"/>
  <c r="K80" i="74"/>
  <c r="K1095" i="94" s="1"/>
  <c r="F110" i="74"/>
  <c r="F1125" i="94" s="1"/>
  <c r="C48" i="74"/>
  <c r="C1063" i="94" s="1"/>
  <c r="G80" i="74"/>
  <c r="G1095" i="94" s="1"/>
  <c r="J80" i="74"/>
  <c r="J1095" i="94" s="1"/>
  <c r="E80" i="74"/>
  <c r="E1095" i="94" s="1"/>
  <c r="G997" i="93"/>
  <c r="G1058" i="94"/>
  <c r="H43" i="74"/>
  <c r="G1054" i="94"/>
  <c r="G993" i="93"/>
  <c r="H39" i="74"/>
  <c r="H1045" i="94" l="1"/>
  <c r="H53" i="82"/>
  <c r="H984" i="93"/>
  <c r="H986" i="93" s="1"/>
  <c r="S981" i="93" s="1"/>
  <c r="M69" i="73"/>
  <c r="M1163" i="93" s="1"/>
  <c r="M1227" i="94"/>
  <c r="O55" i="72"/>
  <c r="O1704" i="94"/>
  <c r="O1606" i="93"/>
  <c r="B113" i="74"/>
  <c r="H83" i="74"/>
  <c r="J603" i="94"/>
  <c r="L309" i="73"/>
  <c r="M1399" i="93"/>
  <c r="L1399" i="93" s="1"/>
  <c r="H1941" i="94"/>
  <c r="P293" i="72"/>
  <c r="O293" i="72"/>
  <c r="P55" i="72"/>
  <c r="P1606" i="93"/>
  <c r="F54" i="89"/>
  <c r="D33" i="90" s="1"/>
  <c r="M1395" i="93"/>
  <c r="L1395" i="93" s="1"/>
  <c r="L306" i="73"/>
  <c r="N1627" i="94"/>
  <c r="K1628" i="94"/>
  <c r="K470" i="73"/>
  <c r="N469" i="73"/>
  <c r="D17" i="83"/>
  <c r="F52" i="89"/>
  <c r="F16" i="85"/>
  <c r="K19" i="88"/>
  <c r="I39" i="88" s="1"/>
  <c r="K38" i="88" s="1"/>
  <c r="H19" i="84"/>
  <c r="C19" i="84"/>
  <c r="O153" i="72"/>
  <c r="O1803" i="94"/>
  <c r="O1709" i="93"/>
  <c r="P1157" i="93"/>
  <c r="P1221" i="94"/>
  <c r="K13" i="88"/>
  <c r="J607" i="94"/>
  <c r="J598" i="93"/>
  <c r="J162" i="78"/>
  <c r="J163" i="78" s="1"/>
  <c r="K51" i="74"/>
  <c r="K1066" i="94" s="1"/>
  <c r="K1071" i="94" s="1"/>
  <c r="J19" i="74"/>
  <c r="J24" i="74" s="1"/>
  <c r="F51" i="74"/>
  <c r="F1066" i="94" s="1"/>
  <c r="F1071" i="94" s="1"/>
  <c r="C19" i="74"/>
  <c r="C24" i="74" s="1"/>
  <c r="E51" i="74"/>
  <c r="E1066" i="94" s="1"/>
  <c r="E1071" i="94" s="1"/>
  <c r="G19" i="74"/>
  <c r="G1034" i="94" s="1"/>
  <c r="G1039" i="94" s="1"/>
  <c r="B51" i="74"/>
  <c r="B56" i="74" s="1"/>
  <c r="H19" i="74"/>
  <c r="H1034" i="94" s="1"/>
  <c r="H1039" i="94" s="1"/>
  <c r="D51" i="74"/>
  <c r="D1066" i="94" s="1"/>
  <c r="D1071" i="94" s="1"/>
  <c r="I83" i="74"/>
  <c r="I88" i="74" s="1"/>
  <c r="C83" i="74"/>
  <c r="C88" i="74" s="1"/>
  <c r="H51" i="74"/>
  <c r="H56" i="74" s="1"/>
  <c r="K83" i="74"/>
  <c r="K1098" i="94" s="1"/>
  <c r="K1103" i="94" s="1"/>
  <c r="B1128" i="94"/>
  <c r="B1133" i="94" s="1"/>
  <c r="B118" i="74"/>
  <c r="J1034" i="94"/>
  <c r="J1039" i="94" s="1"/>
  <c r="D19" i="74"/>
  <c r="C113" i="74"/>
  <c r="I56" i="84"/>
  <c r="I64" i="84" s="1"/>
  <c r="I70" i="84" s="1"/>
  <c r="E44" i="82"/>
  <c r="E37" i="74"/>
  <c r="E1052" i="94" s="1"/>
  <c r="E33" i="74"/>
  <c r="E1048" i="94" s="1"/>
  <c r="E32" i="74"/>
  <c r="E83" i="74"/>
  <c r="G83" i="74"/>
  <c r="C51" i="74"/>
  <c r="D113" i="74"/>
  <c r="I51" i="74"/>
  <c r="D83" i="74"/>
  <c r="B83" i="74"/>
  <c r="E113" i="74"/>
  <c r="J51" i="74"/>
  <c r="K19" i="74"/>
  <c r="B44" i="82"/>
  <c r="B33" i="74"/>
  <c r="B1048" i="94" s="1"/>
  <c r="B37" i="74"/>
  <c r="B1052" i="94" s="1"/>
  <c r="B32" i="74"/>
  <c r="K56" i="84"/>
  <c r="K64" i="84" s="1"/>
  <c r="K70" i="84" s="1"/>
  <c r="G56" i="84"/>
  <c r="G64" i="84" s="1"/>
  <c r="G70" i="84" s="1"/>
  <c r="K56" i="74"/>
  <c r="H1098" i="94"/>
  <c r="H1103" i="94" s="1"/>
  <c r="H88" i="74"/>
  <c r="E56" i="74"/>
  <c r="F56" i="74"/>
  <c r="J83" i="74"/>
  <c r="F113" i="74"/>
  <c r="G51" i="74"/>
  <c r="I19" i="74"/>
  <c r="F83" i="74"/>
  <c r="H1066" i="94"/>
  <c r="H1071" i="94" s="1"/>
  <c r="F19" i="74"/>
  <c r="E56" i="84"/>
  <c r="E64" i="84" s="1"/>
  <c r="E70" i="84" s="1"/>
  <c r="G24" i="74"/>
  <c r="S979" i="93"/>
  <c r="S975" i="93"/>
  <c r="S978" i="93"/>
  <c r="S976" i="93"/>
  <c r="S977" i="93"/>
  <c r="S980" i="93"/>
  <c r="H1058" i="94"/>
  <c r="H997" i="93"/>
  <c r="I43" i="74"/>
  <c r="H1054" i="94"/>
  <c r="H993" i="93"/>
  <c r="I39" i="74"/>
  <c r="I10" i="86"/>
  <c r="I984" i="93" l="1"/>
  <c r="I986" i="93" s="1"/>
  <c r="I1045" i="94"/>
  <c r="I53" i="82"/>
  <c r="I1098" i="94"/>
  <c r="I1103" i="94" s="1"/>
  <c r="H24" i="74"/>
  <c r="H37" i="74" s="1"/>
  <c r="H1052" i="94" s="1"/>
  <c r="C1034" i="94"/>
  <c r="C1039" i="94" s="1"/>
  <c r="K88" i="74"/>
  <c r="K96" i="74" s="1"/>
  <c r="K1111" i="94" s="1"/>
  <c r="K21" i="88"/>
  <c r="K30" i="88" s="1"/>
  <c r="K34" i="88" s="1"/>
  <c r="O1836" i="93"/>
  <c r="O277" i="72"/>
  <c r="O1941" i="94"/>
  <c r="J608" i="94"/>
  <c r="J599" i="93"/>
  <c r="G162" i="78"/>
  <c r="J165" i="78"/>
  <c r="J167" i="78" s="1"/>
  <c r="O1801" i="94"/>
  <c r="O1707" i="93"/>
  <c r="K235" i="72"/>
  <c r="E12" i="72"/>
  <c r="O189" i="72"/>
  <c r="D55" i="92"/>
  <c r="D35" i="90"/>
  <c r="I64" i="92" s="1"/>
  <c r="P1605" i="93"/>
  <c r="P47" i="72"/>
  <c r="P277" i="72"/>
  <c r="P1836" i="93"/>
  <c r="O47" i="72"/>
  <c r="O1703" i="94"/>
  <c r="O1605" i="93"/>
  <c r="C1098" i="94"/>
  <c r="C1103" i="94" s="1"/>
  <c r="D56" i="74"/>
  <c r="B1066" i="94"/>
  <c r="B1071" i="94" s="1"/>
  <c r="G44" i="82"/>
  <c r="G33" i="74"/>
  <c r="G1048" i="94" s="1"/>
  <c r="G32" i="74"/>
  <c r="G37" i="74"/>
  <c r="G1052" i="94" s="1"/>
  <c r="E76" i="84"/>
  <c r="E73" i="84" s="1"/>
  <c r="E72" i="84"/>
  <c r="H64" i="82"/>
  <c r="H65" i="74"/>
  <c r="H1080" i="94" s="1"/>
  <c r="H69" i="74"/>
  <c r="H1084" i="94" s="1"/>
  <c r="I100" i="74"/>
  <c r="I1115" i="94" s="1"/>
  <c r="I96" i="74"/>
  <c r="I1111" i="94" s="1"/>
  <c r="F88" i="74"/>
  <c r="F1098" i="94"/>
  <c r="F1103" i="94" s="1"/>
  <c r="G1066" i="94"/>
  <c r="G1071" i="94" s="1"/>
  <c r="G56" i="74"/>
  <c r="C100" i="74"/>
  <c r="C1115" i="94" s="1"/>
  <c r="C96" i="74"/>
  <c r="C1111" i="94" s="1"/>
  <c r="J1098" i="94"/>
  <c r="J1103" i="94" s="1"/>
  <c r="J88" i="74"/>
  <c r="K69" i="74"/>
  <c r="K1084" i="94" s="1"/>
  <c r="K65" i="74"/>
  <c r="K1080" i="94" s="1"/>
  <c r="K64" i="82"/>
  <c r="K76" i="84"/>
  <c r="K73" i="84" s="1"/>
  <c r="K72" i="84"/>
  <c r="B51" i="82"/>
  <c r="B46" i="82"/>
  <c r="J1066" i="94"/>
  <c r="J1071" i="94" s="1"/>
  <c r="J56" i="74"/>
  <c r="B1098" i="94"/>
  <c r="B1103" i="94" s="1"/>
  <c r="B88" i="74"/>
  <c r="I1066" i="94"/>
  <c r="I1071" i="94" s="1"/>
  <c r="I56" i="74"/>
  <c r="C1066" i="94"/>
  <c r="C1071" i="94" s="1"/>
  <c r="C56" i="74"/>
  <c r="E1098" i="94"/>
  <c r="E1103" i="94" s="1"/>
  <c r="E88" i="74"/>
  <c r="E51" i="82"/>
  <c r="E46" i="82"/>
  <c r="C1128" i="94"/>
  <c r="C1133" i="94" s="1"/>
  <c r="C118" i="74"/>
  <c r="C44" i="82"/>
  <c r="C33" i="74"/>
  <c r="C1048" i="94" s="1"/>
  <c r="C32" i="74"/>
  <c r="S21" i="74" s="1"/>
  <c r="C37" i="74"/>
  <c r="C1052" i="94" s="1"/>
  <c r="J44" i="82"/>
  <c r="J37" i="74"/>
  <c r="J1052" i="94" s="1"/>
  <c r="J33" i="74"/>
  <c r="J1048" i="94" s="1"/>
  <c r="J32" i="74"/>
  <c r="B126" i="74"/>
  <c r="B1141" i="94" s="1"/>
  <c r="B130" i="74"/>
  <c r="B1145" i="94" s="1"/>
  <c r="F1034" i="94"/>
  <c r="F1039" i="94" s="1"/>
  <c r="F24" i="74"/>
  <c r="I1034" i="94"/>
  <c r="I1039" i="94" s="1"/>
  <c r="I24" i="74"/>
  <c r="F118" i="74"/>
  <c r="F1128" i="94"/>
  <c r="F1133" i="94" s="1"/>
  <c r="F65" i="74"/>
  <c r="F1080" i="94" s="1"/>
  <c r="F64" i="82"/>
  <c r="F69" i="74"/>
  <c r="F1084" i="94" s="1"/>
  <c r="E69" i="74"/>
  <c r="E1084" i="94" s="1"/>
  <c r="E65" i="74"/>
  <c r="E1080" i="94" s="1"/>
  <c r="E64" i="82"/>
  <c r="H100" i="74"/>
  <c r="H1115" i="94" s="1"/>
  <c r="H96" i="74"/>
  <c r="H1111" i="94" s="1"/>
  <c r="H44" i="82"/>
  <c r="H32" i="74"/>
  <c r="D64" i="82"/>
  <c r="D65" i="74"/>
  <c r="D1080" i="94" s="1"/>
  <c r="K100" i="74"/>
  <c r="K1115" i="94" s="1"/>
  <c r="G72" i="84"/>
  <c r="G76" i="84"/>
  <c r="G73" i="84" s="1"/>
  <c r="S20" i="74"/>
  <c r="C9" i="86"/>
  <c r="C17" i="86" s="1"/>
  <c r="C18" i="86" s="1"/>
  <c r="C20" i="86" s="1"/>
  <c r="C24" i="86" s="1"/>
  <c r="K6" i="86" s="1"/>
  <c r="G66" i="86" s="1"/>
  <c r="N85" i="85" s="1"/>
  <c r="B1047" i="94"/>
  <c r="K1034" i="94"/>
  <c r="K1039" i="94" s="1"/>
  <c r="K24" i="74"/>
  <c r="E118" i="74"/>
  <c r="E1128" i="94"/>
  <c r="E1133" i="94" s="1"/>
  <c r="D1098" i="94"/>
  <c r="D1103" i="94" s="1"/>
  <c r="D88" i="74"/>
  <c r="D1128" i="94"/>
  <c r="D1133" i="94" s="1"/>
  <c r="D118" i="74"/>
  <c r="G1098" i="94"/>
  <c r="G1103" i="94" s="1"/>
  <c r="G88" i="74"/>
  <c r="E1047" i="94"/>
  <c r="F9" i="86"/>
  <c r="F17" i="86" s="1"/>
  <c r="F18" i="86" s="1"/>
  <c r="F20" i="86" s="1"/>
  <c r="F24" i="86" s="1"/>
  <c r="K9" i="86" s="1"/>
  <c r="I76" i="84"/>
  <c r="I73" i="84" s="1"/>
  <c r="I72" i="84"/>
  <c r="D1034" i="94"/>
  <c r="D1039" i="94" s="1"/>
  <c r="D24" i="74"/>
  <c r="B69" i="74"/>
  <c r="B1084" i="94" s="1"/>
  <c r="B64" i="82"/>
  <c r="B65" i="74"/>
  <c r="B1080" i="94" s="1"/>
  <c r="I997" i="93"/>
  <c r="I1058" i="94"/>
  <c r="J43" i="74"/>
  <c r="I1054" i="94"/>
  <c r="I993" i="93"/>
  <c r="D30" i="86"/>
  <c r="J39" i="74"/>
  <c r="C30" i="86"/>
  <c r="J1045" i="94" l="1"/>
  <c r="J53" i="82"/>
  <c r="J984" i="93"/>
  <c r="J986" i="93" s="1"/>
  <c r="S983" i="93" s="1"/>
  <c r="S982" i="93"/>
  <c r="D69" i="74"/>
  <c r="D1084" i="94" s="1"/>
  <c r="H33" i="74"/>
  <c r="H1048" i="94" s="1"/>
  <c r="O1695" i="94"/>
  <c r="R1695" i="94" s="1"/>
  <c r="O1597" i="93"/>
  <c r="R1597" i="93" s="1"/>
  <c r="R47" i="72"/>
  <c r="O448" i="72"/>
  <c r="P189" i="72"/>
  <c r="P1824" i="93"/>
  <c r="L236" i="72"/>
  <c r="B15" i="82"/>
  <c r="J169" i="78"/>
  <c r="J171" i="78" s="1"/>
  <c r="J601" i="93"/>
  <c r="J603" i="93" s="1"/>
  <c r="J605" i="93" s="1"/>
  <c r="J607" i="93" s="1"/>
  <c r="G598" i="93"/>
  <c r="P1597" i="93"/>
  <c r="P448" i="72"/>
  <c r="O1837" i="94"/>
  <c r="E13" i="72"/>
  <c r="K231" i="72"/>
  <c r="K1783" i="93" s="1"/>
  <c r="O1743" i="93"/>
  <c r="G607" i="94"/>
  <c r="J610" i="94"/>
  <c r="J612" i="94" s="1"/>
  <c r="J614" i="94" s="1"/>
  <c r="J616" i="94" s="1"/>
  <c r="L229" i="72"/>
  <c r="L1877" i="94" s="1"/>
  <c r="K236" i="72"/>
  <c r="O1824" i="93"/>
  <c r="O1925" i="94"/>
  <c r="E130" i="74"/>
  <c r="E1145" i="94" s="1"/>
  <c r="E126" i="74"/>
  <c r="E1141" i="94" s="1"/>
  <c r="B71" i="82"/>
  <c r="B66" i="82"/>
  <c r="D44" i="82"/>
  <c r="D37" i="74"/>
  <c r="D1052" i="94" s="1"/>
  <c r="D32" i="74"/>
  <c r="D33" i="74"/>
  <c r="D1048" i="94" s="1"/>
  <c r="G100" i="74"/>
  <c r="G1115" i="94" s="1"/>
  <c r="G96" i="74"/>
  <c r="G1111" i="94" s="1"/>
  <c r="D130" i="74"/>
  <c r="D1145" i="94" s="1"/>
  <c r="D126" i="74"/>
  <c r="D1141" i="94" s="1"/>
  <c r="D100" i="74"/>
  <c r="D1115" i="94" s="1"/>
  <c r="D96" i="74"/>
  <c r="D1111" i="94" s="1"/>
  <c r="K37" i="74"/>
  <c r="K1052" i="94" s="1"/>
  <c r="K44" i="82"/>
  <c r="K33" i="74"/>
  <c r="K1048" i="94" s="1"/>
  <c r="K32" i="74"/>
  <c r="D66" i="82"/>
  <c r="D71" i="82"/>
  <c r="I9" i="86"/>
  <c r="I17" i="86" s="1"/>
  <c r="I18" i="86" s="1"/>
  <c r="I20" i="86" s="1"/>
  <c r="I24" i="86" s="1"/>
  <c r="K12" i="86" s="1"/>
  <c r="H1047" i="94"/>
  <c r="H51" i="82"/>
  <c r="H46" i="82"/>
  <c r="E71" i="82"/>
  <c r="E66" i="82"/>
  <c r="F71" i="82"/>
  <c r="F66" i="82"/>
  <c r="I44" i="82"/>
  <c r="I37" i="74"/>
  <c r="I1052" i="94" s="1"/>
  <c r="I33" i="74"/>
  <c r="I1048" i="94" s="1"/>
  <c r="I32" i="74"/>
  <c r="F44" i="82"/>
  <c r="F37" i="74"/>
  <c r="F1052" i="94" s="1"/>
  <c r="F33" i="74"/>
  <c r="F1048" i="94" s="1"/>
  <c r="F32" i="74"/>
  <c r="J51" i="82"/>
  <c r="J46" i="82"/>
  <c r="D9" i="86"/>
  <c r="D17" i="86" s="1"/>
  <c r="D18" i="86" s="1"/>
  <c r="D20" i="86" s="1"/>
  <c r="D24" i="86" s="1"/>
  <c r="K7" i="86" s="1"/>
  <c r="C1047" i="94"/>
  <c r="C51" i="82"/>
  <c r="C46" i="82"/>
  <c r="G69" i="74"/>
  <c r="G1084" i="94" s="1"/>
  <c r="G64" i="82"/>
  <c r="G65" i="74"/>
  <c r="G1080" i="94" s="1"/>
  <c r="H71" i="82"/>
  <c r="H66" i="82"/>
  <c r="H9" i="86"/>
  <c r="H17" i="86" s="1"/>
  <c r="H18" i="86" s="1"/>
  <c r="H20" i="86" s="1"/>
  <c r="H24" i="86" s="1"/>
  <c r="K11" i="86" s="1"/>
  <c r="G1047" i="94"/>
  <c r="G51" i="82"/>
  <c r="G46" i="82"/>
  <c r="F130" i="74"/>
  <c r="F1145" i="94" s="1"/>
  <c r="F126" i="74"/>
  <c r="F1141" i="94" s="1"/>
  <c r="D29" i="86"/>
  <c r="D37" i="86" s="1"/>
  <c r="D38" i="86" s="1"/>
  <c r="D40" i="86" s="1"/>
  <c r="D44" i="86" s="1"/>
  <c r="K14" i="86" s="1"/>
  <c r="J1047" i="94"/>
  <c r="C130" i="74"/>
  <c r="C1145" i="94" s="1"/>
  <c r="C126" i="74"/>
  <c r="C1141" i="94" s="1"/>
  <c r="E100" i="74"/>
  <c r="E1115" i="94" s="1"/>
  <c r="E96" i="74"/>
  <c r="E1111" i="94" s="1"/>
  <c r="C65" i="74"/>
  <c r="C1080" i="94" s="1"/>
  <c r="C64" i="82"/>
  <c r="C69" i="74"/>
  <c r="C1084" i="94" s="1"/>
  <c r="I69" i="74"/>
  <c r="I1084" i="94" s="1"/>
  <c r="I64" i="82"/>
  <c r="I65" i="74"/>
  <c r="I1080" i="94" s="1"/>
  <c r="B96" i="74"/>
  <c r="B1111" i="94" s="1"/>
  <c r="B100" i="74"/>
  <c r="B1115" i="94" s="1"/>
  <c r="J65" i="74"/>
  <c r="J1080" i="94" s="1"/>
  <c r="J64" i="82"/>
  <c r="J69" i="74"/>
  <c r="J1084" i="94" s="1"/>
  <c r="K71" i="82"/>
  <c r="K66" i="82"/>
  <c r="J100" i="74"/>
  <c r="J1115" i="94" s="1"/>
  <c r="J96" i="74"/>
  <c r="J1111" i="94" s="1"/>
  <c r="F100" i="74"/>
  <c r="F1115" i="94" s="1"/>
  <c r="F96" i="74"/>
  <c r="F1111" i="94" s="1"/>
  <c r="J1058" i="94"/>
  <c r="J997" i="93"/>
  <c r="K43" i="74"/>
  <c r="J1054" i="94"/>
  <c r="J993" i="93"/>
  <c r="E30" i="86"/>
  <c r="K39" i="74"/>
  <c r="M173" i="78" l="1"/>
  <c r="J175" i="78"/>
  <c r="K984" i="93"/>
  <c r="K986" i="93"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M609" i="93"/>
  <c r="J611" i="93"/>
  <c r="E535" i="93" s="1"/>
  <c r="J535" i="93" s="1"/>
  <c r="M618" i="94"/>
  <c r="J620" i="94"/>
  <c r="E544" i="94" s="1"/>
  <c r="J544" i="94" s="1"/>
  <c r="R1995" i="93"/>
  <c r="O6" i="72"/>
  <c r="O2096" i="94"/>
  <c r="O1654" i="94" s="1"/>
  <c r="O1995" i="93"/>
  <c r="O1560" i="93" s="1"/>
  <c r="P451" i="72"/>
  <c r="P6" i="72"/>
  <c r="L231" i="72"/>
  <c r="L1783" i="93" s="1"/>
  <c r="P1743" i="93"/>
  <c r="P1995" i="93" s="1"/>
  <c r="J71" i="82"/>
  <c r="J66" i="82"/>
  <c r="C71" i="82"/>
  <c r="C66" i="82"/>
  <c r="I71" i="82"/>
  <c r="I66" i="82"/>
  <c r="G71" i="82"/>
  <c r="G66" i="82"/>
  <c r="F1047" i="94"/>
  <c r="G9" i="86"/>
  <c r="G17" i="86" s="1"/>
  <c r="G18" i="86" s="1"/>
  <c r="G20" i="86" s="1"/>
  <c r="G24" i="86" s="1"/>
  <c r="K10" i="86" s="1"/>
  <c r="C29" i="86"/>
  <c r="C37" i="86" s="1"/>
  <c r="C38" i="86" s="1"/>
  <c r="C40" i="86" s="1"/>
  <c r="C44" i="86" s="1"/>
  <c r="K13" i="86" s="1"/>
  <c r="I1047" i="94"/>
  <c r="E29" i="86"/>
  <c r="E37" i="86" s="1"/>
  <c r="E38" i="86" s="1"/>
  <c r="E40" i="86" s="1"/>
  <c r="E44" i="86" s="1"/>
  <c r="K15" i="86" s="1"/>
  <c r="K1047" i="94"/>
  <c r="K51" i="82"/>
  <c r="K46" i="82"/>
  <c r="E9" i="86"/>
  <c r="E17" i="86" s="1"/>
  <c r="E18" i="86" s="1"/>
  <c r="E20" i="86" s="1"/>
  <c r="E24" i="86" s="1"/>
  <c r="K8" i="86" s="1"/>
  <c r="D1047" i="94"/>
  <c r="S28" i="74"/>
  <c r="S25" i="74"/>
  <c r="S29" i="74"/>
  <c r="S24" i="74"/>
  <c r="S22" i="74"/>
  <c r="S27" i="74"/>
  <c r="S26" i="74"/>
  <c r="S30" i="74"/>
  <c r="D51" i="82"/>
  <c r="D46" i="82"/>
  <c r="F51" i="82"/>
  <c r="F46" i="82"/>
  <c r="I51" i="82"/>
  <c r="I46" i="82"/>
  <c r="K997" i="93"/>
  <c r="K1058" i="94"/>
  <c r="B75" i="74"/>
  <c r="K1054" i="94"/>
  <c r="K993" i="93"/>
  <c r="B71" i="74"/>
  <c r="L49" i="68" l="1"/>
  <c r="L412" i="93"/>
  <c r="N412" i="93" s="1"/>
  <c r="L50" i="68"/>
  <c r="N50" i="68" s="1"/>
  <c r="I20" i="93"/>
  <c r="L426" i="94"/>
  <c r="N426" i="94" s="1"/>
  <c r="E99" i="78"/>
  <c r="J99" i="78" s="1"/>
  <c r="L413" i="93"/>
  <c r="N413" i="93" s="1"/>
  <c r="C21" i="86"/>
  <c r="L427" i="94"/>
  <c r="N427" i="94" s="1"/>
  <c r="I9" i="66"/>
  <c r="I32" i="94" s="1"/>
  <c r="M61" i="85"/>
  <c r="P61" i="85" s="1"/>
  <c r="B73" i="82"/>
  <c r="B1014" i="93"/>
  <c r="B1016" i="93" s="1"/>
  <c r="S985" i="93" s="1"/>
  <c r="B64" i="74"/>
  <c r="S984" i="93"/>
  <c r="S986" i="93"/>
  <c r="P1560" i="93"/>
  <c r="P1998" i="93"/>
  <c r="B25" i="82"/>
  <c r="B1090" i="94"/>
  <c r="B1027" i="93"/>
  <c r="C75" i="74"/>
  <c r="B1086" i="94"/>
  <c r="B1023" i="93"/>
  <c r="G30" i="86"/>
  <c r="C71" i="74"/>
  <c r="F30" i="86"/>
  <c r="D21" i="86" l="1"/>
  <c r="C41" i="86"/>
  <c r="D41" i="86" s="1"/>
  <c r="E41" i="86" s="1"/>
  <c r="C22" i="86"/>
  <c r="C42" i="86" s="1"/>
  <c r="D42" i="86" s="1"/>
  <c r="E42" i="86" s="1"/>
  <c r="N49" i="68"/>
  <c r="B14" i="82"/>
  <c r="B1079" i="94"/>
  <c r="F29" i="86"/>
  <c r="F37" i="86" s="1"/>
  <c r="F38" i="86" s="1"/>
  <c r="F40" i="86" s="1"/>
  <c r="F44" i="86" s="1"/>
  <c r="K16" i="86" s="1"/>
  <c r="S31" i="74"/>
  <c r="C1014" i="93"/>
  <c r="C1016" i="93" s="1"/>
  <c r="C73" i="82"/>
  <c r="C64" i="74"/>
  <c r="I72" i="82"/>
  <c r="C72" i="82"/>
  <c r="C74" i="82" s="1"/>
  <c r="C75" i="82" s="1"/>
  <c r="C76" i="82" s="1"/>
  <c r="E72" i="82"/>
  <c r="B72" i="82"/>
  <c r="B74" i="82" s="1"/>
  <c r="B75" i="82" s="1"/>
  <c r="B76" i="82" s="1"/>
  <c r="K72" i="82"/>
  <c r="D72" i="82"/>
  <c r="J52" i="82"/>
  <c r="J54" i="82" s="1"/>
  <c r="J55" i="82" s="1"/>
  <c r="J56" i="82" s="1"/>
  <c r="B26" i="82"/>
  <c r="D52" i="82"/>
  <c r="D54" i="82" s="1"/>
  <c r="D55" i="82" s="1"/>
  <c r="D56" i="82" s="1"/>
  <c r="J72" i="82"/>
  <c r="F52" i="82"/>
  <c r="F54" i="82" s="1"/>
  <c r="F55" i="82" s="1"/>
  <c r="F56" i="82" s="1"/>
  <c r="G52" i="82"/>
  <c r="G54" i="82" s="1"/>
  <c r="G55" i="82" s="1"/>
  <c r="G56" i="82" s="1"/>
  <c r="H52" i="82"/>
  <c r="H54" i="82" s="1"/>
  <c r="H55" i="82" s="1"/>
  <c r="H56" i="82" s="1"/>
  <c r="F72" i="82"/>
  <c r="H72" i="82"/>
  <c r="E52" i="82"/>
  <c r="E54" i="82" s="1"/>
  <c r="E55" i="82" s="1"/>
  <c r="E56" i="82" s="1"/>
  <c r="B52" i="82"/>
  <c r="B54" i="82" s="1"/>
  <c r="B55" i="82" s="1"/>
  <c r="B56" i="82" s="1"/>
  <c r="K52" i="82"/>
  <c r="K54" i="82" s="1"/>
  <c r="K55" i="82" s="1"/>
  <c r="K56" i="82" s="1"/>
  <c r="I52" i="82"/>
  <c r="I54" i="82" s="1"/>
  <c r="I55" i="82" s="1"/>
  <c r="I56" i="82" s="1"/>
  <c r="C52" i="82"/>
  <c r="C54" i="82" s="1"/>
  <c r="C55" i="82" s="1"/>
  <c r="C56" i="82" s="1"/>
  <c r="G72" i="82"/>
  <c r="C1027" i="93"/>
  <c r="C1090" i="94"/>
  <c r="D75" i="74"/>
  <c r="C1086" i="94"/>
  <c r="C1023" i="93"/>
  <c r="H30" i="86"/>
  <c r="D71" i="74"/>
  <c r="B20" i="82" l="1"/>
  <c r="B21" i="82" s="1"/>
  <c r="G20" i="82"/>
  <c r="E21" i="86"/>
  <c r="D22" i="86"/>
  <c r="C1079" i="94"/>
  <c r="G29" i="86"/>
  <c r="G37" i="86" s="1"/>
  <c r="G38" i="86" s="1"/>
  <c r="G40" i="86" s="1"/>
  <c r="G44" i="86" s="1"/>
  <c r="K17" i="86" s="1"/>
  <c r="D1014" i="93"/>
  <c r="D1016" i="93" s="1"/>
  <c r="S987" i="93" s="1"/>
  <c r="D73" i="82"/>
  <c r="D74" i="82" s="1"/>
  <c r="D75" i="82" s="1"/>
  <c r="D76" i="82" s="1"/>
  <c r="D64" i="74"/>
  <c r="S33" i="74" s="1"/>
  <c r="S32" i="74"/>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D1090" i="94"/>
  <c r="D1027" i="93"/>
  <c r="E75" i="74"/>
  <c r="D1086" i="94"/>
  <c r="D1023" i="93"/>
  <c r="I30" i="86"/>
  <c r="E71" i="74"/>
  <c r="F21" i="86" l="1"/>
  <c r="E22" i="86"/>
  <c r="H29" i="86"/>
  <c r="H37" i="86" s="1"/>
  <c r="H38" i="86" s="1"/>
  <c r="H40" i="86" s="1"/>
  <c r="H44" i="86" s="1"/>
  <c r="K18" i="86" s="1"/>
  <c r="D1079" i="94"/>
  <c r="E73" i="82"/>
  <c r="E74" i="82" s="1"/>
  <c r="E75" i="82" s="1"/>
  <c r="E76" i="82" s="1"/>
  <c r="E1014" i="93"/>
  <c r="E1016" i="93" s="1"/>
  <c r="E64" i="74"/>
  <c r="B29" i="82"/>
  <c r="G21" i="82"/>
  <c r="E1027" i="93"/>
  <c r="E1090" i="94"/>
  <c r="F75" i="74"/>
  <c r="E1086" i="94"/>
  <c r="E1023" i="93"/>
  <c r="C50" i="86"/>
  <c r="F71" i="74"/>
  <c r="F22" i="86" l="1"/>
  <c r="G21" i="86"/>
  <c r="E1079" i="94"/>
  <c r="I29" i="86"/>
  <c r="I37" i="86" s="1"/>
  <c r="I38" i="86" s="1"/>
  <c r="I40" i="86" s="1"/>
  <c r="I44" i="86" s="1"/>
  <c r="K19" i="86" s="1"/>
  <c r="F1014" i="93"/>
  <c r="F1016" i="93" s="1"/>
  <c r="F73" i="82"/>
  <c r="F74" i="82" s="1"/>
  <c r="F75" i="82" s="1"/>
  <c r="F76" i="82" s="1"/>
  <c r="F64" i="74"/>
  <c r="S34" i="74"/>
  <c r="S988" i="93"/>
  <c r="G75" i="74"/>
  <c r="F1090" i="94"/>
  <c r="F1027" i="93"/>
  <c r="F1086" i="94"/>
  <c r="F1023" i="93"/>
  <c r="D50" i="86"/>
  <c r="D57" i="86" s="1"/>
  <c r="D58" i="86" s="1"/>
  <c r="D60" i="86" s="1"/>
  <c r="D64" i="86" s="1"/>
  <c r="K21" i="86" s="1"/>
  <c r="G71" i="74"/>
  <c r="G22" i="86" l="1"/>
  <c r="H21" i="86"/>
  <c r="G1014" i="93"/>
  <c r="G1016" i="93" s="1"/>
  <c r="S990" i="93" s="1"/>
  <c r="G73" i="82"/>
  <c r="G74" i="82" s="1"/>
  <c r="G75" i="82" s="1"/>
  <c r="G76" i="82" s="1"/>
  <c r="G64" i="74"/>
  <c r="S989" i="93"/>
  <c r="C49" i="86"/>
  <c r="C57" i="86" s="1"/>
  <c r="C58" i="86" s="1"/>
  <c r="C60" i="86" s="1"/>
  <c r="C64" i="86" s="1"/>
  <c r="K20" i="86" s="1"/>
  <c r="F1079" i="94"/>
  <c r="S35" i="74"/>
  <c r="F45" i="68" s="1"/>
  <c r="G1027" i="93"/>
  <c r="G1090" i="94"/>
  <c r="G1086" i="94"/>
  <c r="G1023" i="93"/>
  <c r="E50" i="86"/>
  <c r="E57" i="86" s="1"/>
  <c r="E58" i="86" s="1"/>
  <c r="E60" i="86" s="1"/>
  <c r="E64" i="86" s="1"/>
  <c r="K22" i="86" s="1"/>
  <c r="H71" i="74"/>
  <c r="I21" i="86" l="1"/>
  <c r="I22" i="86" s="1"/>
  <c r="H22" i="86"/>
  <c r="F407" i="93"/>
  <c r="F422" i="94"/>
  <c r="L45" i="68"/>
  <c r="H1014" i="93"/>
  <c r="H1016" i="93" s="1"/>
  <c r="S991" i="93" s="1"/>
  <c r="H73" i="82"/>
  <c r="H74" i="82" s="1"/>
  <c r="H75" i="82" s="1"/>
  <c r="H76" i="82" s="1"/>
  <c r="H64" i="74"/>
  <c r="S37" i="74" s="1"/>
  <c r="G1079" i="94"/>
  <c r="S36" i="74"/>
  <c r="H1086" i="94"/>
  <c r="H1023" i="93"/>
  <c r="F50" i="86"/>
  <c r="F57" i="86" s="1"/>
  <c r="F58" i="86" s="1"/>
  <c r="F60" i="86" s="1"/>
  <c r="F64" i="86" s="1"/>
  <c r="K23" i="86" s="1"/>
  <c r="I71" i="74"/>
  <c r="I1014" i="93" l="1"/>
  <c r="I1016" i="93" s="1"/>
  <c r="S992" i="93" s="1"/>
  <c r="I73" i="82"/>
  <c r="I74" i="82" s="1"/>
  <c r="I75" i="82" s="1"/>
  <c r="I76" i="82" s="1"/>
  <c r="I64" i="74"/>
  <c r="H1079" i="94"/>
  <c r="S38" i="74"/>
  <c r="F85" i="92"/>
  <c r="F89" i="92" s="1"/>
  <c r="F105" i="92" s="1"/>
  <c r="L422" i="94"/>
  <c r="I408" i="93"/>
  <c r="I1086" i="94"/>
  <c r="I1023" i="93"/>
  <c r="G50" i="86"/>
  <c r="G57" i="86" s="1"/>
  <c r="G58" i="86" s="1"/>
  <c r="G60" i="86" s="1"/>
  <c r="G64" i="86" s="1"/>
  <c r="K24" i="86" s="1"/>
  <c r="J71" i="74"/>
  <c r="I1079" i="94" l="1"/>
  <c r="J73" i="82"/>
  <c r="J74" i="82" s="1"/>
  <c r="J75" i="82" s="1"/>
  <c r="J76" i="82" s="1"/>
  <c r="J1014" i="93"/>
  <c r="J1016" i="93" s="1"/>
  <c r="S993" i="93" s="1"/>
  <c r="J64" i="74"/>
  <c r="J1086" i="94"/>
  <c r="J1023" i="93"/>
  <c r="H50" i="86"/>
  <c r="H57" i="86" s="1"/>
  <c r="H58" i="86" s="1"/>
  <c r="H60" i="86" s="1"/>
  <c r="H64" i="86" s="1"/>
  <c r="K25" i="86" s="1"/>
  <c r="K71" i="74"/>
  <c r="K1014" i="93" l="1"/>
  <c r="K1016" i="93" s="1"/>
  <c r="S994" i="93" s="1"/>
  <c r="B94" i="74"/>
  <c r="K73" i="82"/>
  <c r="K74" i="82" s="1"/>
  <c r="K75" i="82" s="1"/>
  <c r="K76" i="82" s="1"/>
  <c r="K64" i="74"/>
  <c r="J1079" i="94"/>
  <c r="S39" i="74"/>
  <c r="K1086" i="94"/>
  <c r="L93" i="85"/>
  <c r="L63" i="85"/>
  <c r="K1023" i="93"/>
  <c r="C85" i="90"/>
  <c r="O8" i="86"/>
  <c r="O14" i="86" s="1"/>
  <c r="O33" i="86" s="1"/>
  <c r="H63" i="86" s="1"/>
  <c r="B102" i="74"/>
  <c r="K1079" i="94" l="1"/>
  <c r="S40" i="74"/>
  <c r="B1044" i="93"/>
  <c r="B1045" i="93" s="1"/>
  <c r="C94" i="74"/>
  <c r="B95" i="74"/>
  <c r="B1110" i="94" s="1"/>
  <c r="B1117" i="94"/>
  <c r="B1052" i="93"/>
  <c r="C102" i="74"/>
  <c r="C1044" i="93" l="1"/>
  <c r="C1045" i="93" s="1"/>
  <c r="D94" i="74"/>
  <c r="C95" i="74"/>
  <c r="C1110" i="94" s="1"/>
  <c r="C1117" i="94"/>
  <c r="C1052" i="93"/>
  <c r="D102" i="74"/>
  <c r="D1044" i="93" l="1"/>
  <c r="D1045" i="93" s="1"/>
  <c r="E94" i="74"/>
  <c r="D95" i="74"/>
  <c r="D1110" i="94" s="1"/>
  <c r="D1117" i="94"/>
  <c r="D1052" i="93"/>
  <c r="E102" i="74"/>
  <c r="F94" i="74" l="1"/>
  <c r="E1044" i="93"/>
  <c r="E1045" i="93" s="1"/>
  <c r="E95" i="74"/>
  <c r="E1110" i="94" s="1"/>
  <c r="E1117" i="94"/>
  <c r="E1052" i="93"/>
  <c r="F102" i="74"/>
  <c r="F1044" i="93" l="1"/>
  <c r="F1045" i="93" s="1"/>
  <c r="G94" i="74"/>
  <c r="F95" i="74"/>
  <c r="F1110" i="94" s="1"/>
  <c r="F1117" i="94"/>
  <c r="F1052" i="93"/>
  <c r="G102" i="74"/>
  <c r="G1044" i="93" l="1"/>
  <c r="G1045" i="93" s="1"/>
  <c r="H94" i="74"/>
  <c r="G95" i="74"/>
  <c r="G1110" i="94" s="1"/>
  <c r="G1117" i="94"/>
  <c r="G1052" i="93"/>
  <c r="H102" i="74"/>
  <c r="H1044" i="93" l="1"/>
  <c r="H1045" i="93" s="1"/>
  <c r="I94" i="74"/>
  <c r="H95" i="74"/>
  <c r="H1110" i="94" s="1"/>
  <c r="H1117" i="94"/>
  <c r="H1052" i="93"/>
  <c r="I102" i="74"/>
  <c r="J94" i="74" l="1"/>
  <c r="I1044" i="93"/>
  <c r="I1045" i="93" s="1"/>
  <c r="I95" i="74"/>
  <c r="I1110" i="94" s="1"/>
  <c r="I1117" i="94"/>
  <c r="I1052" i="93"/>
  <c r="J102" i="74"/>
  <c r="K94" i="74" l="1"/>
  <c r="J1044" i="93"/>
  <c r="J1045" i="93" s="1"/>
  <c r="J95" i="74"/>
  <c r="J1110" i="94" s="1"/>
  <c r="J1117" i="94"/>
  <c r="J1052" i="93"/>
  <c r="K102" i="74"/>
  <c r="B124" i="74" l="1"/>
  <c r="K1044" i="93"/>
  <c r="K1045" i="93" s="1"/>
  <c r="K95" i="74"/>
  <c r="K1110" i="94" s="1"/>
  <c r="K1117" i="94"/>
  <c r="K1052" i="93"/>
  <c r="B132" i="74"/>
  <c r="B1072" i="93" l="1"/>
  <c r="B1073" i="93" s="1"/>
  <c r="C124" i="74"/>
  <c r="B125" i="74"/>
  <c r="B1140" i="94" s="1"/>
  <c r="B1147" i="94"/>
  <c r="B1080" i="93"/>
  <c r="C132" i="74"/>
  <c r="C1072" i="93" l="1"/>
  <c r="C1073" i="93" s="1"/>
  <c r="D124" i="74"/>
  <c r="C125" i="74"/>
  <c r="C1140" i="94" s="1"/>
  <c r="C1147" i="94"/>
  <c r="C1080" i="93"/>
  <c r="D132" i="74"/>
  <c r="D1072" i="93" l="1"/>
  <c r="D1073" i="93" s="1"/>
  <c r="E124" i="74"/>
  <c r="D125" i="74"/>
  <c r="D1140" i="94" s="1"/>
  <c r="D1147" i="94"/>
  <c r="D1080" i="93"/>
  <c r="E132" i="74"/>
  <c r="E1072" i="93" l="1"/>
  <c r="E1073" i="93" s="1"/>
  <c r="F124" i="74"/>
  <c r="E125" i="74"/>
  <c r="E1140" i="94" s="1"/>
  <c r="E1147" i="94"/>
  <c r="E1080" i="93"/>
  <c r="F132" i="74"/>
  <c r="F1072" i="93" l="1"/>
  <c r="F1073" i="93" s="1"/>
  <c r="F125" i="74"/>
  <c r="F1140" i="94" s="1"/>
  <c r="F1147" i="94"/>
  <c r="F1080"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<sst xmlns="http://schemas.openxmlformats.org/spreadsheetml/2006/main" count="17105" uniqueCount="5355">
  <si>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</si>
  <si>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</si>
  <si>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</si>
  <si>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</si>
  <si>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</si>
  <si>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</si>
  <si>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</si>
  <si>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</si>
  <si>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</si>
  <si>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</si>
  <si>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</si>
  <si>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</si>
  <si>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</si>
  <si>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</si>
  <si>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</si>
  <si>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</si>
  <si>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</si>
  <si>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</si>
  <si>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</si>
  <si>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</si>
  <si>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</si>
  <si>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</si>
  <si>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</si>
  <si>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</si>
  <si>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</si>
  <si>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</si>
  <si>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</si>
  <si>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</si>
  <si>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</si>
  <si>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</si>
  <si>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</si>
  <si>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</si>
  <si>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</si>
  <si>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</si>
  <si>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</si>
  <si>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</si>
  <si>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</si>
  <si>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</si>
  <si>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</si>
  <si>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</si>
  <si>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</si>
  <si>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</si>
  <si>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</si>
  <si>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</si>
  <si>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</si>
  <si>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</si>
  <si>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</si>
  <si>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</si>
  <si>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</si>
  <si>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</si>
  <si>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</si>
  <si>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</si>
  <si>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</si>
  <si>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</si>
  <si>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</si>
  <si>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</si>
  <si>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</si>
  <si>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</si>
  <si>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</si>
  <si>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</si>
  <si>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</si>
  <si>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</si>
  <si>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</si>
  <si>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</si>
  <si>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</si>
  <si>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</si>
  <si>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</si>
  <si>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</si>
  <si>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</si>
  <si>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</si>
  <si>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</si>
  <si>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</si>
  <si>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</si>
  <si>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</si>
  <si>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</si>
  <si>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</si>
  <si>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</si>
  <si>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</si>
  <si>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</si>
  <si>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</si>
  <si>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</si>
  <si>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</si>
  <si>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</si>
  <si>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</si>
  <si>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</si>
  <si>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</si>
  <si>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</si>
  <si>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</si>
  <si>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</si>
  <si>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</si>
  <si>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</si>
  <si>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</si>
  <si>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</si>
  <si>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</si>
  <si>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</si>
  <si>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</si>
  <si>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</si>
  <si>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</si>
  <si>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</si>
  <si>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</si>
  <si>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</si>
  <si>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</si>
  <si>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</si>
  <si>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</si>
  <si>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</si>
  <si>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</si>
  <si>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</si>
  <si>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</si>
  <si>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</si>
  <si>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</si>
  <si>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</si>
  <si>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</si>
  <si>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</si>
  <si>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</si>
  <si>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</si>
  <si>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</si>
  <si>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</si>
  <si>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</si>
  <si>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</si>
  <si>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</si>
  <si>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</si>
  <si>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</si>
  <si>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</si>
  <si>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</si>
  <si>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</si>
  <si>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</si>
  <si>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</si>
  <si>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</si>
  <si>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</si>
  <si>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</si>
  <si>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</si>
  <si>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</si>
  <si>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</si>
  <si>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</si>
  <si>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</si>
  <si>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</si>
  <si>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</si>
  <si>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</si>
  <si>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</si>
  <si>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</si>
  <si>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</si>
  <si>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</si>
  <si>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</si>
  <si>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</si>
  <si>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</si>
  <si>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</si>
  <si>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</si>
  <si>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</si>
  <si>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</si>
  <si>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</si>
  <si>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</si>
  <si>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</si>
  <si>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</si>
  <si>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</si>
  <si>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</si>
  <si>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</si>
  <si>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</si>
  <si>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</si>
  <si>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</si>
  <si>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</si>
  <si>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</si>
  <si>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</si>
  <si>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</si>
  <si>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</si>
  <si>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</si>
  <si>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</si>
  <si>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</si>
  <si>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</si>
  <si>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</si>
  <si>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</si>
  <si>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</si>
  <si>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</si>
  <si>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</si>
  <si>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</si>
  <si>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</si>
  <si>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</si>
  <si>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</si>
  <si>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</si>
  <si>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</si>
  <si>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</si>
  <si>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</si>
  <si>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</si>
  <si>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</si>
  <si>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</si>
  <si>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</si>
  <si>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</si>
  <si>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</si>
  <si>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</si>
  <si>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</si>
  <si>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</si>
  <si>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</si>
  <si>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</si>
  <si>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</si>
  <si>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</si>
  <si>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</si>
  <si>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</si>
  <si>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</si>
  <si>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</si>
  <si>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</si>
  <si>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</si>
  <si>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</si>
  <si>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</si>
  <si>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</si>
  <si>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</si>
  <si>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</si>
  <si>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</si>
  <si>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</si>
  <si>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</si>
  <si>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</si>
  <si>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</si>
  <si>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</si>
  <si>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</si>
  <si>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</si>
  <si>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</si>
  <si>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</si>
  <si>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</si>
  <si>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</si>
  <si>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</si>
  <si>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</si>
  <si>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</si>
  <si>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</si>
  <si>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</si>
  <si>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</si>
  <si>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</si>
  <si>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</si>
  <si>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</si>
  <si>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</si>
  <si>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</si>
  <si>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</si>
  <si>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</si>
  <si>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</si>
  <si>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</si>
  <si>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</si>
  <si>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</si>
  <si>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</si>
  <si>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</si>
  <si>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</si>
  <si>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</si>
  <si>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</si>
  <si>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</si>
  <si>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</si>
  <si>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</si>
  <si>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</si>
  <si>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</si>
  <si>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</si>
  <si>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</si>
  <si>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</si>
  <si>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</si>
  <si>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</si>
  <si>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</si>
  <si>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</si>
  <si>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</si>
  <si>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</si>
  <si>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</si>
  <si>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</si>
  <si>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</si>
  <si>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</si>
  <si>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</si>
  <si>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</si>
  <si>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</si>
  <si>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</si>
  <si>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</si>
  <si>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</si>
  <si>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</si>
  <si>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</si>
  <si>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</si>
  <si>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</si>
  <si>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</si>
  <si>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</si>
  <si>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</si>
  <si>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</si>
  <si>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</si>
  <si>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</si>
  <si>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</si>
  <si>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</si>
  <si>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</si>
  <si>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</si>
  <si>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</si>
  <si>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</si>
  <si>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</si>
  <si>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</si>
  <si>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</si>
  <si>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</si>
  <si>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</si>
  <si>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</si>
  <si>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</si>
  <si>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</si>
  <si>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</si>
  <si>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</si>
  <si>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</si>
  <si>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</si>
  <si>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</si>
  <si>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</si>
  <si>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</si>
  <si>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</si>
  <si>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</si>
  <si>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</si>
  <si>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</si>
  <si>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</si>
  <si>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</si>
  <si>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</si>
  <si>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</si>
  <si>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</si>
  <si>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</si>
  <si>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</si>
  <si>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</si>
  <si>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</si>
  <si>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</si>
  <si>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</si>
  <si>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</si>
  <si>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</si>
  <si>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</si>
  <si>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</si>
  <si>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</si>
  <si>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</si>
  <si>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</si>
  <si>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</si>
  <si>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</si>
  <si>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</si>
  <si>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</si>
  <si>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</si>
  <si>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</si>
  <si>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</si>
  <si>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</si>
  <si>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</si>
  <si>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</si>
  <si>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</si>
  <si>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</si>
  <si>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</si>
  <si>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</si>
  <si>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</si>
  <si>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</si>
  <si>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</si>
  <si>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</si>
  <si>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</si>
  <si>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</si>
  <si>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</si>
  <si>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</si>
  <si>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</si>
  <si>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</si>
  <si>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</si>
  <si>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</si>
  <si>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</si>
  <si>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</si>
  <si>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</si>
  <si>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</si>
  <si>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</si>
  <si>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</si>
  <si>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</si>
  <si>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</si>
  <si>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</si>
  <si>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</si>
  <si>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</si>
  <si>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</si>
  <si>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</si>
  <si>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</si>
  <si>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</si>
  <si>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</si>
  <si>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</si>
  <si>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</si>
  <si>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</si>
  <si>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</si>
  <si>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</si>
  <si>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</si>
  <si>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</si>
  <si>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</si>
  <si>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</si>
  <si>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</si>
  <si>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</si>
  <si>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</si>
  <si>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</si>
  <si>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</si>
  <si>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</si>
  <si>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</si>
  <si>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</si>
  <si>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</si>
  <si>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</si>
  <si>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</si>
  <si>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</si>
  <si>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</si>
  <si>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</si>
  <si>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</si>
  <si>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</si>
  <si>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</si>
  <si>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</si>
  <si>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</si>
  <si>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</si>
  <si>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</si>
  <si>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</si>
  <si>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</si>
  <si>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</si>
  <si>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</si>
  <si>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</si>
  <si>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</si>
  <si>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</si>
  <si>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</si>
  <si>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</si>
  <si>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</si>
  <si>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</si>
  <si>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</si>
  <si>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</si>
  <si>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</si>
  <si>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</si>
  <si>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</si>
  <si>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</si>
  <si>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</si>
  <si>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</si>
  <si>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</si>
  <si>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</si>
  <si>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</si>
  <si>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</si>
  <si>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</si>
  <si>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</si>
  <si>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</si>
  <si>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</si>
  <si>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</si>
  <si>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</si>
  <si>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</si>
  <si>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</si>
  <si>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</si>
  <si>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</si>
  <si>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</si>
  <si>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</si>
  <si>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</si>
  <si>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</si>
  <si>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</si>
  <si>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</si>
  <si>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</si>
  <si>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</si>
  <si>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</si>
  <si>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</si>
  <si>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</si>
  <si>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</si>
  <si>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</si>
  <si>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</si>
  <si>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</si>
  <si>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</si>
  <si>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</si>
  <si>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</si>
  <si>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</si>
  <si>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</si>
  <si>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</si>
  <si>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</si>
  <si>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</si>
  <si>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</si>
  <si>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</si>
  <si>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</si>
  <si>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</si>
  <si>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</si>
  <si>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</si>
  <si>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</si>
  <si>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</si>
  <si>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</si>
  <si>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</si>
  <si>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</si>
  <si>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</si>
  <si>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</si>
  <si>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</si>
  <si>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</si>
  <si>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</si>
  <si>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</si>
  <si>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</si>
  <si>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</si>
  <si>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</si>
  <si>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</si>
  <si>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</si>
  <si>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</si>
  <si>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</si>
  <si>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</si>
  <si>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</si>
  <si>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</si>
  <si>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</si>
  <si>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</si>
  <si>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</si>
  <si>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</si>
  <si>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</si>
  <si>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</si>
  <si>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</si>
  <si>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</si>
  <si>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</si>
  <si>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</si>
  <si>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</si>
  <si>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</si>
  <si>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</si>
  <si>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</si>
  <si>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</si>
  <si>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</si>
  <si>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</si>
  <si>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</si>
  <si>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</si>
  <si>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</si>
  <si>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</si>
  <si>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</si>
  <si>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</si>
  <si>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</si>
  <si>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</si>
  <si>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</si>
  <si>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</si>
  <si>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</si>
  <si>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</si>
  <si>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</si>
  <si>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</si>
  <si>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</si>
  <si>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</si>
  <si>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</si>
  <si>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</si>
  <si>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</si>
  <si>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</si>
  <si>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</si>
  <si>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</si>
  <si>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</si>
  <si>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</si>
  <si>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</si>
  <si>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</si>
  <si>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</si>
  <si>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</si>
  <si>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</si>
  <si>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</si>
  <si>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</si>
  <si>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</si>
  <si>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</si>
  <si>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</si>
  <si>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</si>
  <si>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</si>
  <si>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</si>
  <si>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</si>
  <si>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</si>
  <si>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</si>
  <si>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</si>
  <si>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</si>
  <si>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</si>
  <si>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</si>
  <si>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</si>
  <si>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</si>
  <si>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</si>
  <si>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</si>
  <si>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</si>
  <si>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</si>
  <si>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</si>
  <si>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</si>
  <si>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</si>
  <si>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</si>
  <si>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</si>
  <si>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</si>
  <si>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</si>
  <si>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</si>
  <si>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</si>
  <si>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</si>
  <si>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</si>
  <si>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</si>
  <si>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</si>
  <si>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</si>
  <si>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</si>
  <si>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</si>
  <si>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</si>
  <si>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</si>
  <si>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</si>
  <si>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</si>
  <si>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</si>
  <si>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</si>
  <si>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</si>
  <si>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</si>
  <si>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</si>
  <si>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</si>
  <si>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</si>
  <si>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</si>
  <si>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</si>
  <si>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</si>
  <si>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</si>
  <si>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</si>
  <si>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</si>
  <si>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</si>
  <si>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</si>
  <si>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</si>
  <si>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</si>
  <si>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</si>
  <si>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</si>
  <si>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</si>
  <si>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</si>
  <si>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</si>
  <si>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</si>
  <si>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</si>
  <si>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</si>
  <si>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</si>
  <si>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</si>
  <si>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</si>
  <si>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</si>
  <si>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</si>
  <si>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</si>
  <si>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</si>
  <si>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</si>
  <si>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</si>
  <si>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</si>
  <si>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</si>
  <si>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</si>
  <si>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</si>
  <si>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</si>
  <si>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</si>
  <si>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</si>
  <si>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</si>
  <si>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</si>
  <si>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</si>
  <si>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</si>
  <si>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</si>
  <si>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</si>
  <si>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</si>
  <si>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</si>
  <si>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</si>
  <si>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</si>
  <si>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</si>
  <si>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</si>
  <si>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</si>
  <si>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</si>
  <si>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</si>
  <si>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</si>
  <si>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</si>
  <si>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</si>
  <si>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</si>
  <si>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</si>
  <si>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</si>
  <si>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</si>
  <si>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</si>
  <si>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</si>
  <si>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</si>
  <si>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</si>
  <si>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</si>
  <si>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</si>
  <si>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</si>
  <si>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</si>
  <si>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</si>
  <si>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</si>
  <si>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</si>
  <si>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</si>
  <si>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</si>
  <si>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</si>
  <si>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</si>
  <si>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</si>
  <si>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</si>
  <si>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</si>
  <si>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</si>
  <si>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</si>
  <si>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</si>
  <si>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</si>
  <si>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</si>
  <si>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</si>
  <si>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</si>
  <si>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</si>
  <si>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</si>
  <si>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</si>
  <si>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</si>
  <si>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</si>
  <si>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</si>
  <si>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</si>
  <si>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</si>
  <si>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</si>
  <si>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</si>
  <si>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</si>
  <si>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</si>
  <si>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</si>
  <si>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</si>
  <si>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</si>
  <si>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</si>
  <si>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</si>
  <si>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</si>
  <si>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</si>
  <si>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</si>
  <si>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</si>
  <si>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</si>
  <si>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</si>
  <si>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</si>
  <si>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</si>
  <si>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</si>
  <si>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</si>
  <si>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</si>
  <si>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</si>
  <si>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</si>
  <si>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</si>
  <si>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</si>
  <si>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</si>
  <si>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</si>
  <si>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</si>
  <si>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</si>
  <si>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</si>
  <si>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</si>
  <si>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</si>
  <si>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</si>
  <si>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</si>
  <si>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</si>
  <si>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</si>
  <si>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</si>
  <si>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</si>
  <si>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</si>
  <si>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</si>
  <si>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</si>
  <si>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</si>
  <si>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</si>
  <si>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</si>
  <si>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</si>
  <si>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</si>
  <si>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</si>
  <si>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</si>
  <si>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</si>
  <si>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</si>
  <si>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</si>
  <si>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</si>
  <si>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</si>
  <si>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</si>
  <si>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</si>
  <si>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</si>
  <si>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</si>
  <si>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</si>
  <si>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</si>
  <si>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</si>
  <si>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</si>
  <si>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</si>
  <si>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</si>
  <si>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</si>
  <si>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</si>
  <si>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</si>
  <si>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</si>
  <si>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</si>
  <si>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</si>
  <si>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</si>
  <si>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</si>
  <si>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</si>
  <si>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</si>
  <si>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</si>
  <si>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</si>
  <si>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</si>
  <si>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</si>
  <si>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</si>
  <si>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</si>
  <si>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</si>
  <si>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</si>
  <si>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</si>
  <si>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</si>
  <si>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</si>
  <si>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</si>
  <si>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</si>
  <si>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</si>
  <si>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</si>
  <si>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</si>
  <si>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</si>
  <si>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</si>
  <si>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</si>
  <si>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</si>
  <si>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</si>
  <si>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</si>
  <si>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</si>
  <si>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</si>
  <si>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</si>
  <si>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</si>
  <si>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</si>
  <si>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</si>
  <si>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</si>
  <si>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</si>
  <si>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</si>
  <si>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</si>
  <si>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</si>
  <si>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</si>
  <si>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</si>
  <si>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</si>
  <si>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</si>
  <si>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</si>
  <si>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</si>
  <si>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</si>
  <si>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</si>
  <si>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</si>
  <si>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</si>
  <si>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</si>
  <si>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</si>
  <si>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</si>
  <si>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</si>
  <si>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</si>
  <si>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</si>
  <si>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</si>
  <si>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</si>
  <si>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</si>
  <si>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</si>
  <si>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</si>
  <si>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</si>
  <si>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</si>
  <si>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</si>
  <si>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</si>
  <si>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</si>
  <si>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</si>
  <si>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</si>
  <si>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</si>
  <si>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</si>
  <si>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</si>
  <si>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</si>
  <si>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</si>
  <si>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</si>
  <si>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</si>
  <si>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</si>
  <si>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</si>
  <si>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</si>
  <si>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</si>
  <si>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</si>
  <si>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</si>
  <si>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</si>
  <si>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</si>
  <si>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</si>
  <si>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</si>
  <si>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</si>
  <si>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</si>
  <si>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</si>
  <si>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</si>
  <si>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</si>
  <si>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</si>
  <si>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</si>
  <si>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</si>
  <si>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</si>
  <si>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</si>
  <si>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</si>
  <si>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</si>
  <si>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</si>
  <si>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</si>
  <si>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</si>
  <si>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</si>
  <si>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</si>
  <si>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</si>
  <si>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</si>
  <si>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</si>
  <si>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</si>
  <si>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</si>
  <si>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</si>
  <si>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</si>
  <si>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</si>
  <si>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</si>
  <si>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</si>
  <si>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</si>
  <si>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</si>
  <si>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</si>
  <si>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</si>
  <si>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</si>
  <si>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</si>
  <si>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</si>
  <si>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</si>
  <si>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</si>
  <si>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</si>
  <si>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</si>
  <si>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</si>
  <si>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</si>
  <si>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</si>
  <si>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</si>
  <si>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</si>
  <si>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</si>
  <si>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</si>
  <si>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</si>
  <si>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</si>
  <si>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</si>
  <si>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</si>
  <si>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</si>
  <si>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</si>
  <si>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</si>
  <si>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</si>
  <si>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</si>
  <si>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</si>
  <si>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</si>
  <si>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</si>
  <si>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</si>
  <si>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</si>
  <si>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</si>
  <si>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</si>
  <si>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</si>
  <si>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</si>
  <si>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</si>
  <si>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</si>
  <si>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</si>
  <si>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</si>
  <si>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</si>
  <si>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</si>
  <si>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</si>
  <si>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</si>
  <si>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</si>
  <si>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</si>
  <si>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</si>
  <si>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</si>
  <si>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</si>
  <si>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</si>
  <si>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</si>
  <si>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</si>
  <si>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</si>
  <si>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</si>
  <si>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</si>
  <si>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</si>
  <si>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</si>
  <si>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</si>
  <si>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</si>
  <si>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</si>
  <si>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</si>
  <si>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</si>
  <si>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</si>
  <si>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</si>
  <si>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</si>
  <si>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</si>
  <si>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</si>
  <si>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</si>
  <si>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</si>
  <si>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</si>
  <si>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</si>
  <si>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</si>
  <si>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</si>
  <si>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</si>
  <si>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</si>
  <si>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</si>
  <si>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</si>
  <si>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</si>
  <si>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</si>
  <si>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</si>
  <si>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</si>
  <si>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</si>
  <si>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</si>
  <si>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</si>
  <si>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</si>
  <si>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</si>
  <si>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</si>
  <si>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</si>
  <si>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</si>
  <si>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</si>
  <si>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</si>
  <si>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</si>
  <si>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</si>
  <si>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</si>
  <si>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</si>
  <si>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</si>
  <si>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</si>
  <si>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</si>
  <si>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</si>
  <si>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</si>
  <si>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</si>
  <si>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</si>
  <si>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</si>
  <si>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</si>
  <si>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</si>
  <si>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</si>
  <si>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</si>
  <si>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</si>
  <si>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</si>
  <si>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</si>
  <si>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</si>
  <si>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</si>
  <si>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</si>
  <si>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</si>
  <si>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</si>
  <si>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</si>
  <si>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</si>
  <si>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</si>
  <si>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</si>
  <si>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</si>
  <si>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</si>
  <si>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</si>
  <si>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</si>
  <si>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</si>
  <si>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</si>
  <si>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</si>
  <si>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</si>
  <si>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</si>
  <si>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</si>
  <si>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</si>
  <si>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</si>
  <si>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</si>
  <si>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</si>
  <si>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</si>
  <si>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</si>
  <si>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</si>
  <si>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</si>
  <si>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</si>
  <si>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</si>
  <si>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</si>
  <si>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</si>
  <si>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</si>
  <si>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</si>
  <si>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</si>
  <si>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</si>
  <si>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</si>
  <si>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</si>
  <si>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</si>
  <si>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</si>
  <si>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</si>
  <si>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</si>
  <si>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</si>
  <si>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</si>
  <si>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</si>
  <si>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</si>
  <si>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</si>
  <si>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</si>
  <si>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</si>
  <si>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</si>
  <si>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</si>
  <si>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</si>
  <si>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</si>
  <si>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</si>
  <si>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</si>
  <si>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</si>
  <si>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</si>
  <si>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</si>
  <si>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</si>
  <si>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</si>
  <si>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</si>
  <si>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</si>
  <si>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</si>
  <si>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</si>
  <si>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</si>
  <si>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</si>
  <si>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</si>
  <si>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</si>
  <si>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</si>
  <si>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</si>
  <si>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</si>
  <si>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</si>
  <si>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</si>
  <si>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</si>
  <si>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</si>
  <si>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</si>
  <si>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</si>
  <si>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</si>
  <si>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</si>
  <si>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</si>
  <si>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</si>
  <si>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</si>
  <si>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</si>
  <si>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</si>
  <si>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</si>
  <si>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</si>
  <si>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</si>
  <si>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</si>
  <si>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</si>
  <si>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</si>
  <si>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</si>
  <si>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</si>
  <si>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</si>
  <si>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</si>
  <si>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</si>
  <si>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</si>
  <si>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</si>
  <si>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</si>
  <si>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</si>
  <si>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</si>
  <si>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</si>
  <si>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</si>
  <si>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</si>
  <si>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</si>
  <si>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</si>
  <si>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</si>
  <si>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</si>
  <si>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</si>
  <si>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</si>
  <si>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</si>
  <si>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</si>
  <si>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</si>
  <si>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</si>
  <si>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</si>
  <si>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</si>
  <si>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</si>
  <si>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</si>
  <si>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</si>
  <si>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</si>
  <si>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</si>
  <si>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</si>
  <si>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</si>
  <si>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</si>
  <si>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</si>
  <si>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</si>
  <si>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</si>
  <si>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</si>
  <si>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</si>
  <si>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</si>
  <si>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</si>
  <si>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</si>
  <si>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</si>
  <si>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</si>
  <si>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</si>
  <si>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</si>
  <si>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</si>
  <si>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</si>
  <si>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</si>
  <si>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</si>
  <si>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</si>
  <si>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</si>
  <si>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</si>
  <si>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</si>
  <si>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</si>
  <si>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</si>
  <si>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</si>
  <si>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</si>
  <si>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</si>
  <si>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</si>
  <si>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</si>
  <si>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</si>
  <si>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</si>
  <si>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</si>
  <si>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</si>
  <si>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</si>
  <si>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</si>
  <si>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</si>
  <si>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</si>
  <si>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</si>
  <si>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</si>
  <si>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</si>
  <si>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</si>
  <si>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</si>
  <si>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</si>
  <si>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</si>
  <si>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</si>
  <si>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</si>
  <si>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</si>
  <si>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</si>
  <si>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</si>
  <si>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</si>
  <si>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</si>
  <si>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</si>
  <si>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</si>
  <si>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</si>
  <si>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</si>
  <si>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</si>
  <si>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</si>
  <si>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</si>
  <si>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</si>
  <si>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</si>
  <si>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</si>
  <si>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</si>
  <si>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</si>
  <si>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</si>
  <si>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</si>
  <si>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</si>
  <si>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</si>
  <si>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</si>
  <si>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</si>
  <si>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</si>
  <si>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</si>
  <si>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</si>
  <si>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</si>
  <si>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</si>
  <si>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</si>
  <si>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</si>
  <si>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</si>
  <si>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</si>
  <si>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</si>
  <si>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</si>
  <si>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</si>
  <si>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</si>
  <si>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</si>
  <si>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</si>
  <si>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</si>
  <si>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</si>
  <si>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</si>
  <si>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</si>
  <si>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</si>
  <si>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</si>
  <si>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</si>
  <si>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</si>
  <si>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</si>
  <si>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</si>
  <si>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</si>
  <si>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</si>
  <si>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</si>
  <si>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</si>
  <si>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</si>
  <si>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</si>
  <si>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</si>
  <si>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</si>
  <si>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</si>
  <si>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</si>
  <si>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</si>
  <si>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</si>
  <si>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</si>
  <si>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</si>
  <si>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</si>
  <si>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</si>
  <si>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</si>
  <si>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</si>
  <si>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</si>
  <si>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</si>
  <si>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</si>
  <si>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</si>
  <si>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</si>
  <si>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</si>
  <si>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</si>
  <si>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</si>
  <si>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</si>
  <si>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</si>
  <si>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</si>
  <si>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</si>
  <si>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</si>
  <si>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</si>
  <si>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</si>
  <si>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</si>
  <si>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</si>
  <si>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</si>
  <si>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</si>
  <si>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</si>
  <si>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</si>
  <si>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</si>
  <si>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</si>
  <si>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</si>
  <si>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</si>
  <si>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</si>
  <si>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</si>
  <si>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</si>
  <si>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</si>
  <si>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</si>
  <si>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</si>
  <si>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</si>
  <si>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</si>
  <si>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</si>
  <si>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</si>
  <si>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</si>
  <si>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</si>
  <si>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</si>
  <si>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</si>
  <si>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</si>
  <si>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</si>
  <si>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</si>
  <si>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</si>
  <si>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</si>
  <si>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</si>
  <si>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</si>
  <si>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</si>
  <si>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</si>
  <si>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</si>
  <si>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</si>
  <si>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</si>
  <si>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</si>
  <si>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</si>
  <si>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</si>
  <si>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</si>
  <si>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</si>
  <si>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</si>
  <si>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</si>
  <si>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</si>
  <si>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</si>
  <si>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</si>
  <si>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</si>
  <si>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</si>
  <si>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</si>
  <si>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</si>
  <si>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</si>
  <si>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</si>
  <si>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</si>
  <si>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</si>
  <si>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</si>
  <si>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</si>
  <si>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</si>
  <si>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</si>
  <si>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</si>
  <si>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</si>
  <si>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</si>
  <si>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</si>
  <si>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</si>
  <si>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</si>
  <si>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</si>
  <si>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</si>
  <si>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</si>
  <si>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</si>
  <si>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</si>
  <si>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</si>
  <si>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</si>
  <si>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</si>
  <si>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</si>
  <si>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</si>
  <si>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</si>
  <si>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</si>
  <si>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</si>
  <si>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</si>
  <si>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</si>
  <si>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</si>
  <si>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</si>
  <si>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</si>
  <si>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</si>
  <si>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</si>
  <si>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</si>
  <si>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</si>
  <si>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</si>
  <si>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</si>
  <si>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</si>
  <si>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</si>
  <si>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</si>
  <si>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</si>
  <si>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</si>
  <si>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</si>
  <si>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</si>
  <si>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</si>
  <si>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</si>
  <si>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</si>
  <si>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</si>
  <si>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</si>
  <si>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</si>
  <si>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</si>
  <si>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</si>
  <si>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</si>
  <si>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</si>
  <si>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</si>
  <si>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</si>
  <si>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</si>
  <si>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</si>
  <si>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</si>
  <si>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</si>
  <si>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</si>
  <si>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</si>
  <si>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</si>
  <si>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</si>
  <si>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</si>
  <si>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</si>
  <si>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</si>
  <si>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</si>
  <si>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</si>
  <si>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</si>
  <si>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</si>
  <si>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</si>
  <si>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</si>
  <si>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</si>
  <si>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</si>
  <si>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</si>
  <si>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</si>
  <si>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</si>
  <si>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</si>
  <si>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</si>
  <si>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</si>
  <si>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</si>
  <si>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</si>
  <si>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</si>
  <si>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</si>
  <si>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</si>
  <si>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</si>
  <si>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</si>
  <si>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</si>
  <si>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</si>
  <si>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</si>
  <si>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</si>
  <si>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</si>
  <si>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</si>
  <si>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</si>
  <si>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</si>
  <si>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</si>
  <si>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</si>
  <si>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</si>
  <si>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</si>
  <si>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</si>
  <si>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</si>
  <si>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</si>
  <si>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</si>
  <si>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</si>
  <si>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</si>
  <si>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</si>
  <si>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</si>
  <si>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</si>
  <si>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</si>
  <si>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</si>
  <si>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</si>
  <si>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</si>
  <si>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</si>
  <si>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</si>
  <si>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</si>
  <si>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</si>
  <si>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</si>
  <si>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</si>
  <si>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</si>
  <si>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</si>
  <si>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</si>
  <si>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</si>
  <si>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</si>
  <si>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</si>
  <si>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</si>
  <si>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</si>
  <si>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</si>
  <si>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</si>
  <si>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</si>
  <si>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</si>
  <si>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</si>
  <si>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</si>
  <si>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</si>
  <si>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</si>
  <si>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</si>
  <si>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</si>
  <si>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</si>
  <si>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</si>
  <si>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</si>
  <si>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</si>
  <si>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</si>
  <si>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</si>
  <si>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</si>
  <si>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</si>
  <si>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</si>
  <si>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</si>
  <si>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</si>
  <si>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</si>
  <si>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</si>
  <si>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</si>
  <si>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</si>
  <si>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</si>
  <si>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</si>
  <si>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</si>
  <si>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</si>
  <si>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</si>
  <si>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</si>
  <si>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</si>
  <si>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</si>
  <si>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</si>
  <si>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</si>
  <si>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</si>
  <si>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</si>
  <si>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</si>
  <si>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</si>
  <si>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</si>
  <si>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</si>
  <si>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</si>
  <si>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</si>
  <si>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</si>
  <si>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</si>
  <si>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</si>
  <si>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</si>
  <si>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</si>
  <si>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</si>
  <si>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</si>
  <si>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</si>
  <si>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</si>
  <si>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</si>
  <si>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</si>
  <si>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</si>
  <si>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</si>
  <si>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</si>
  <si>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</si>
  <si>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</si>
  <si>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</si>
  <si>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</si>
  <si>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</si>
  <si>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</si>
  <si>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</si>
  <si>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</si>
  <si>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</si>
  <si>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</si>
  <si>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</si>
  <si>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</si>
  <si>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</si>
  <si>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</si>
  <si>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</si>
  <si>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</si>
  <si>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</si>
  <si>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</si>
  <si>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</si>
  <si>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</si>
  <si>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</si>
  <si>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</si>
  <si>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</si>
  <si>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</si>
  <si>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</si>
  <si>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</si>
  <si>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</si>
  <si>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</si>
  <si>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</si>
  <si>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</si>
  <si>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</si>
  <si>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</si>
  <si>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</si>
  <si>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</si>
  <si>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</si>
  <si>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</si>
  <si>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</si>
  <si>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</si>
  <si>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</si>
  <si>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</si>
  <si>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</si>
  <si>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</si>
  <si>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</si>
  <si>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</si>
  <si>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</si>
  <si>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</si>
  <si>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</si>
  <si>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</si>
  <si>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</si>
  <si>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</si>
  <si>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</si>
  <si>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</si>
  <si>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</si>
  <si>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</si>
  <si>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</si>
  <si>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</si>
  <si>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</si>
  <si>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</si>
  <si>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</si>
  <si>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</si>
  <si>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</si>
  <si>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</si>
  <si>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</si>
  <si>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</si>
  <si>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</si>
  <si>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</si>
  <si>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</si>
  <si>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</si>
  <si>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</si>
  <si>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</si>
  <si>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</si>
  <si>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</si>
  <si>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</si>
  <si>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</si>
  <si>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</si>
  <si>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</si>
  <si>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</si>
  <si>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</si>
  <si>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</si>
  <si>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</si>
  <si>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</si>
  <si>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</si>
  <si>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</si>
  <si>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</si>
  <si>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</si>
  <si>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</si>
  <si>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</si>
  <si>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</si>
  <si>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</si>
  <si>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</si>
  <si>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</si>
  <si>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</si>
  <si>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</si>
  <si>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</si>
  <si>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</si>
  <si>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</si>
  <si>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</si>
  <si>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</si>
  <si>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</si>
  <si>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</si>
  <si>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</si>
  <si>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</si>
  <si>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</si>
  <si>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</si>
  <si>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</si>
  <si>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</si>
  <si>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</si>
  <si>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</si>
  <si>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</si>
  <si>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</si>
  <si>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</si>
  <si>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</si>
  <si>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</si>
  <si>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</si>
  <si>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</si>
  <si>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</si>
  <si>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</si>
  <si>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</si>
  <si>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</si>
  <si>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</si>
  <si>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</si>
  <si>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</si>
  <si>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</si>
  <si>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</si>
  <si>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</si>
  <si>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</si>
  <si>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</si>
  <si>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</si>
  <si>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</si>
  <si>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</si>
  <si>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</si>
  <si>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</si>
  <si>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</si>
  <si>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</si>
  <si>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</si>
  <si>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</si>
  <si>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</si>
  <si>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</si>
  <si>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</si>
  <si>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</si>
  <si>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</si>
  <si>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</si>
  <si>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</si>
  <si>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</si>
  <si>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</si>
  <si>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</si>
  <si>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</si>
  <si>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</si>
  <si>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</si>
  <si>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</si>
  <si>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</si>
  <si>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</si>
  <si>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</si>
  <si>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</si>
  <si>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</si>
  <si>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</si>
  <si>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</si>
  <si>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</si>
  <si>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</si>
  <si>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</si>
  <si>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</si>
  <si>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</si>
  <si>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</si>
  <si>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</si>
  <si>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</si>
  <si>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</si>
  <si>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</si>
  <si>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</si>
  <si>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</si>
  <si>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</si>
  <si>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</si>
  <si>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</si>
  <si>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</si>
  <si>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</si>
  <si>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</si>
  <si>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</si>
  <si>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</si>
  <si>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</si>
  <si>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</si>
  <si>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</si>
  <si>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</si>
  <si>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</si>
  <si>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</si>
  <si>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</si>
  <si>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</si>
  <si>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</si>
  <si>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</si>
  <si>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</si>
  <si>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</si>
  <si>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</si>
  <si>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</si>
  <si>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</si>
  <si>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</si>
  <si>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</si>
  <si>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</si>
  <si>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</si>
  <si>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</si>
  <si>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</si>
  <si>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</si>
  <si>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</si>
  <si>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</si>
  <si>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</si>
  <si>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</si>
  <si>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</si>
  <si>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</si>
  <si>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</si>
  <si>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</si>
  <si>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</si>
  <si>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</si>
  <si>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</si>
  <si>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</si>
  <si>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</si>
  <si>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</si>
  <si>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</si>
  <si>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</si>
  <si>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</si>
  <si>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</si>
  <si>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</si>
  <si>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</si>
  <si>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</si>
  <si>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</si>
  <si>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</si>
  <si>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</si>
  <si>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</si>
  <si>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</si>
  <si>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</si>
  <si>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</si>
  <si>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</si>
  <si>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</si>
  <si>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</si>
  <si>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</si>
  <si>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</si>
  <si>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</si>
  <si>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</si>
  <si>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</si>
  <si>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</si>
  <si>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</si>
  <si>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</si>
  <si>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</si>
  <si>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</si>
  <si>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</si>
  <si>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</si>
  <si>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</si>
  <si>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</si>
  <si>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</si>
  <si>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</si>
  <si>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</si>
  <si>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</si>
  <si>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</si>
  <si>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</si>
  <si>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</si>
  <si>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</si>
  <si>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</si>
  <si>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</si>
  <si>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</si>
  <si>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</si>
  <si>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</si>
  <si>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</si>
  <si>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</si>
  <si>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</si>
  <si>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</si>
  <si>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</si>
  <si>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</si>
  <si>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</si>
  <si>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</si>
  <si>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</si>
  <si>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</si>
  <si>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</si>
  <si>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</si>
  <si>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</si>
  <si>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</si>
  <si>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</si>
  <si>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</si>
  <si>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</si>
  <si>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</si>
  <si>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</si>
  <si>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</si>
  <si>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</si>
  <si>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</si>
  <si>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</si>
  <si>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</si>
  <si>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</si>
  <si>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</si>
  <si>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</si>
  <si>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</si>
  <si>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</si>
  <si>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</si>
  <si>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</si>
  <si>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</si>
  <si>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</si>
  <si>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</si>
  <si>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</si>
  <si>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</si>
  <si>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</si>
  <si>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</si>
  <si>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</si>
  <si>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</si>
  <si>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</si>
  <si>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</si>
  <si>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</si>
  <si>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</si>
  <si>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</si>
  <si>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</si>
  <si>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</si>
  <si>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</si>
  <si>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</si>
  <si>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</si>
  <si>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</si>
  <si>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</si>
  <si>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</si>
  <si>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</si>
  <si>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</si>
  <si>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</si>
  <si>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</si>
  <si>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</si>
  <si>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</si>
  <si>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</si>
  <si>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</si>
  <si>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</si>
  <si>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</si>
  <si>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</si>
  <si>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</si>
  <si>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</si>
  <si>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</si>
  <si>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</si>
  <si>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</si>
  <si>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</si>
  <si>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</si>
  <si>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</si>
  <si>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</si>
  <si>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</si>
  <si>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</si>
  <si>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</si>
  <si>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</si>
  <si>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</si>
  <si>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</si>
  <si>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</si>
  <si>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</si>
  <si>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</si>
  <si>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</si>
  <si>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</si>
  <si>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</si>
  <si>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</si>
  <si>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</si>
  <si>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</si>
  <si>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</si>
  <si>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</si>
  <si>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</si>
  <si>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</si>
  <si>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</si>
  <si>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</si>
  <si>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</si>
  <si>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</si>
  <si>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</si>
  <si>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</si>
  <si>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</si>
  <si>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</si>
  <si>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</si>
  <si>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</si>
  <si>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</si>
  <si>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</si>
  <si>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</si>
  <si>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</si>
  <si>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</si>
  <si>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</si>
  <si>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</si>
  <si>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</si>
  <si>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</si>
  <si>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</si>
  <si>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</si>
  <si>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</si>
  <si>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</si>
  <si>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</si>
  <si>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</si>
  <si>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</si>
  <si>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</si>
  <si>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</si>
  <si>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</si>
  <si>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</si>
  <si>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</si>
  <si>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</si>
  <si>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</si>
  <si>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</si>
  <si>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</si>
  <si>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</si>
  <si>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</si>
  <si>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</si>
  <si>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</si>
  <si>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</si>
  <si>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</si>
  <si>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</si>
  <si>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</si>
  <si>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</si>
  <si>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</si>
  <si>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</si>
  <si>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</si>
  <si>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</si>
  <si>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</si>
  <si>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</si>
  <si>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</si>
  <si>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</si>
  <si>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</si>
  <si>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</si>
  <si>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</si>
  <si>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</si>
  <si>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</si>
  <si>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</si>
  <si>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</si>
  <si>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</si>
  <si>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</si>
  <si>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</si>
  <si>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</si>
  <si>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</si>
  <si>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</si>
  <si>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</si>
  <si>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</si>
  <si>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</si>
  <si>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</si>
  <si>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</si>
  <si>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</si>
  <si>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</si>
  <si>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</si>
  <si>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</si>
  <si>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</si>
  <si>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</si>
  <si>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</si>
  <si>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</si>
  <si>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</si>
  <si>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</si>
  <si>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</si>
  <si>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</si>
  <si>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</si>
  <si>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</si>
  <si>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</si>
  <si>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</si>
  <si>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</si>
  <si>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</si>
  <si>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</si>
  <si>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</si>
  <si>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</si>
  <si>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</si>
  <si>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</si>
  <si>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</si>
  <si>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</si>
  <si>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</si>
  <si>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</si>
  <si>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</si>
  <si>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</si>
  <si>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</si>
  <si>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</si>
  <si>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</si>
  <si>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</si>
  <si>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</si>
  <si>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</si>
  <si>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</si>
  <si>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</si>
  <si>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</si>
  <si>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</si>
  <si>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</si>
  <si>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</si>
  <si>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</si>
  <si>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</si>
  <si>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</si>
  <si>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</si>
  <si>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</si>
  <si>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</si>
  <si>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</si>
  <si>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</si>
  <si>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</si>
  <si>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</si>
  <si>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</si>
  <si>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</si>
  <si>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</si>
  <si>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</si>
  <si>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</si>
  <si>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</si>
  <si>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</si>
  <si>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</si>
  <si>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</si>
  <si>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</si>
  <si>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</si>
  <si>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</si>
  <si>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</si>
  <si>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</si>
  <si>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</si>
  <si>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</si>
  <si>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</si>
  <si>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</si>
  <si>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</si>
  <si>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</si>
  <si>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</si>
  <si>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</si>
  <si>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</si>
  <si>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</si>
  <si>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</si>
  <si>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</si>
  <si>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</si>
  <si>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</si>
  <si>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</si>
  <si>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</si>
  <si>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</si>
  <si>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</si>
  <si>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</si>
  <si>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</si>
  <si>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</si>
  <si>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</si>
  <si>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</si>
  <si>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</si>
  <si>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</si>
  <si>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</si>
  <si>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</si>
  <si>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</si>
  <si>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</si>
  <si>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</si>
  <si>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</si>
  <si>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</si>
  <si>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</si>
  <si>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</si>
  <si>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</si>
  <si>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</si>
  <si>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</si>
  <si>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</si>
  <si>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</si>
  <si>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</si>
  <si>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</si>
  <si>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</si>
  <si>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</si>
  <si>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</si>
  <si>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</si>
  <si>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</si>
  <si>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</si>
  <si>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</si>
  <si>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</si>
  <si>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</si>
  <si>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</si>
  <si>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</si>
  <si>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</si>
  <si>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</si>
  <si>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</si>
  <si>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</si>
  <si>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</si>
  <si>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</si>
  <si>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</si>
  <si>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</si>
  <si>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</si>
  <si>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</si>
  <si>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</si>
  <si>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</si>
  <si>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</si>
  <si>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</si>
  <si>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</si>
  <si>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</si>
  <si>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</si>
  <si>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</si>
  <si>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</si>
  <si>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</si>
  <si>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</si>
  <si>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</si>
  <si>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</si>
  <si>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</si>
  <si>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</si>
  <si>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</si>
  <si>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</si>
  <si>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</si>
  <si>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</si>
  <si>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</si>
  <si>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</si>
  <si>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</si>
  <si>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</si>
  <si>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</si>
  <si>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</si>
  <si>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</si>
  <si>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</si>
  <si>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</si>
  <si>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</si>
  <si>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</si>
  <si>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</si>
  <si>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</si>
  <si>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</si>
  <si>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</si>
  <si>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</si>
  <si>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</si>
  <si>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</si>
  <si>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</si>
  <si>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</si>
  <si>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</si>
  <si>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</si>
  <si>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</si>
  <si>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</si>
  <si>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</si>
  <si>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</si>
  <si>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</si>
  <si>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</si>
  <si>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</si>
  <si>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</si>
  <si>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</si>
  <si>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</si>
  <si>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</si>
  <si>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</si>
  <si>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</si>
  <si>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</si>
  <si>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</si>
  <si>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</si>
  <si>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</si>
  <si>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</si>
  <si>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</si>
  <si>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</si>
  <si>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</si>
  <si>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</si>
  <si>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</si>
  <si>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</si>
  <si>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</si>
  <si>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</si>
  <si>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</si>
  <si>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</si>
  <si>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</si>
  <si>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</si>
  <si>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</si>
  <si>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</si>
  <si>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</si>
  <si>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</si>
  <si>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</si>
  <si>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</si>
  <si>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</si>
  <si>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</si>
  <si>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</si>
  <si>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</si>
  <si>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</si>
  <si>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</si>
  <si>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</si>
  <si>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</si>
  <si>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</si>
  <si>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</si>
  <si>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</si>
  <si>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</si>
  <si>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</si>
  <si>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</si>
  <si>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</si>
  <si>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</si>
  <si>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</si>
  <si>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</si>
  <si>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</si>
  <si>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</si>
  <si>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</si>
  <si>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</si>
  <si>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</si>
  <si>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</si>
  <si>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</si>
  <si>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</si>
  <si>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</si>
  <si>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</si>
  <si>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</si>
  <si>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</si>
  <si>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</si>
  <si>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</si>
  <si>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</si>
  <si>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</si>
  <si>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</si>
  <si>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</si>
  <si>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</si>
  <si>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</si>
  <si>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</si>
  <si>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</si>
  <si>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</si>
  <si>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</si>
  <si>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</si>
  <si>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</si>
  <si>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</si>
  <si>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</si>
  <si>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</si>
  <si>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</si>
  <si>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</si>
  <si>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</si>
  <si>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</si>
  <si>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</si>
  <si>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</si>
  <si>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</si>
  <si>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</si>
  <si>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</si>
  <si>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</si>
  <si>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</si>
  <si>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</si>
  <si>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</si>
  <si>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</si>
  <si>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</si>
  <si>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</si>
  <si>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</si>
  <si>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</si>
  <si>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</si>
  <si>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</si>
  <si>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</si>
  <si>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</si>
  <si>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</si>
  <si>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</si>
  <si>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</si>
  <si>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</si>
  <si>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</si>
  <si>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</si>
  <si>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</si>
  <si>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</si>
  <si>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</si>
  <si>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</si>
  <si>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</si>
  <si>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</si>
  <si>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</si>
  <si>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</si>
  <si>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</si>
  <si>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</si>
  <si>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</si>
  <si>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</si>
  <si>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</si>
  <si>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</si>
  <si>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</si>
  <si>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</si>
  <si>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</si>
  <si>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</si>
  <si>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</si>
  <si>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</si>
  <si>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</si>
  <si>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</si>
  <si>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</si>
  <si>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</si>
  <si>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</si>
  <si>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</si>
  <si>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</si>
  <si>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</si>
  <si>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</si>
  <si>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</si>
  <si>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</si>
  <si>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</si>
  <si>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</si>
  <si>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</si>
  <si>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</si>
  <si>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</si>
  <si>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</si>
  <si>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</si>
  <si>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</si>
  <si>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</si>
  <si>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</si>
  <si>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</si>
  <si>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</si>
  <si>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</si>
  <si>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</si>
  <si>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</si>
  <si>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</si>
  <si>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</si>
  <si>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</si>
  <si>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</si>
  <si>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</si>
  <si>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</si>
  <si>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</si>
  <si>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</si>
  <si>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</si>
  <si>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</si>
  <si>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</si>
  <si>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</si>
  <si>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</si>
  <si>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</si>
  <si>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</si>
  <si>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</si>
  <si>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</si>
  <si>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</si>
  <si>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</si>
  <si>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</si>
  <si>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</si>
  <si>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</si>
  <si>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</si>
  <si>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</si>
  <si>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</si>
  <si>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</si>
  <si>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</si>
  <si>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</si>
  <si>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</si>
  <si>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</si>
  <si>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</si>
  <si>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</si>
  <si>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</si>
  <si>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</si>
  <si>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</si>
  <si>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</si>
  <si>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</si>
  <si>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</si>
  <si>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</si>
  <si>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</si>
  <si>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</si>
  <si>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</si>
  <si>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</si>
  <si>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</si>
  <si>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</si>
  <si>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</si>
  <si>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</si>
  <si>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</si>
  <si>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</si>
  <si>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</si>
  <si>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</si>
  <si>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</si>
  <si>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</si>
  <si>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</si>
  <si>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</si>
  <si>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</si>
  <si>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</si>
  <si>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</si>
  <si>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</si>
  <si>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</si>
  <si>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</si>
  <si>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</si>
  <si>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</si>
  <si>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</si>
  <si>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</si>
  <si>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</si>
  <si>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</si>
  <si>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</si>
  <si>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</si>
  <si>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</si>
  <si>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</si>
  <si>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</si>
  <si>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</si>
  <si>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</si>
  <si>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</si>
  <si>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</si>
  <si>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</si>
  <si>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</si>
  <si>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</si>
  <si>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</si>
  <si>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</si>
  <si>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</si>
  <si>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</si>
  <si>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</si>
  <si>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</si>
  <si>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</si>
  <si>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</si>
  <si>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</si>
  <si>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</si>
  <si>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</si>
  <si>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</si>
  <si>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</si>
  <si>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</si>
  <si>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</si>
  <si>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</si>
  <si>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</si>
  <si>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</si>
  <si>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</si>
  <si>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</si>
  <si>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</si>
  <si>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</si>
  <si>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</si>
  <si>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</si>
  <si>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</si>
  <si>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</si>
  <si>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</si>
  <si>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</si>
  <si>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</si>
  <si>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</si>
  <si>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</si>
  <si>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</si>
  <si>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</si>
  <si>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</si>
  <si>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</si>
  <si>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</si>
  <si>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</si>
  <si>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</si>
  <si>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</si>
  <si>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</si>
  <si>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</si>
  <si>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</si>
  <si>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</si>
  <si>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</si>
  <si>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</si>
  <si>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</si>
  <si>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</si>
  <si>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</si>
  <si>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</si>
  <si>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</si>
  <si>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</si>
  <si>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</si>
  <si>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</si>
  <si>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</si>
  <si>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</si>
  <si>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</si>
  <si>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</si>
  <si>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</si>
  <si>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</si>
  <si>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</si>
  <si>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</si>
  <si>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</si>
  <si>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</si>
  <si>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</si>
  <si>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</si>
  <si>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</si>
  <si>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</si>
  <si>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</si>
  <si>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</si>
  <si>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</si>
  <si>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</si>
  <si>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</si>
  <si>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</si>
  <si>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</si>
  <si>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</si>
  <si>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</si>
  <si>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</si>
  <si>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</si>
  <si>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</si>
  <si>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</si>
  <si>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</si>
  <si>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</si>
  <si>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</si>
  <si>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</si>
  <si>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</si>
  <si>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</si>
  <si>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</si>
  <si>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</si>
  <si>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</si>
  <si>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</si>
  <si>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</si>
  <si>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</si>
  <si>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</si>
  <si>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</si>
  <si>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</si>
  <si>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</si>
  <si>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</si>
  <si>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</si>
  <si>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</si>
  <si>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</si>
  <si>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</si>
  <si>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</si>
  <si>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</si>
  <si>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</si>
  <si>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</si>
  <si>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</si>
  <si>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</si>
  <si>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</si>
  <si>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</si>
  <si>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</si>
  <si>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</si>
  <si>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</si>
  <si>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</si>
  <si>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</si>
  <si>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</si>
  <si>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</si>
  <si>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</si>
  <si>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</si>
  <si>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</si>
  <si>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</si>
  <si>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</si>
  <si>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</si>
  <si>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</si>
  <si>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</si>
  <si>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</si>
  <si>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</si>
  <si>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</si>
  <si>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</si>
  <si>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</si>
  <si>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</si>
  <si>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</si>
  <si>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</si>
  <si>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</si>
  <si>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</si>
  <si>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</si>
  <si>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</si>
  <si>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</si>
  <si>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</si>
  <si>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</si>
  <si>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</si>
  <si>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</si>
  <si>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</si>
  <si>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</si>
  <si>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</si>
  <si>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</si>
  <si>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</si>
  <si>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</si>
  <si>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</si>
  <si>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</si>
  <si>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</si>
  <si>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</si>
  <si>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</si>
  <si>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</si>
  <si>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</si>
  <si>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</si>
  <si>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</si>
  <si>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</si>
  <si>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</si>
  <si>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</si>
  <si>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</si>
  <si>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</si>
  <si>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</si>
  <si>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</si>
  <si>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</si>
  <si>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</si>
  <si>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</si>
  <si>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</si>
  <si>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</si>
  <si>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</si>
  <si>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</si>
  <si>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</si>
  <si>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</si>
  <si>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</si>
  <si>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</si>
  <si>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</si>
  <si>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</si>
  <si>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</si>
  <si>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</si>
  <si>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</si>
  <si>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</si>
  <si>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</si>
  <si>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</si>
  <si>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</si>
  <si>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</si>
  <si>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</si>
  <si>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</si>
  <si>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</si>
  <si>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</si>
  <si>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</si>
  <si>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</si>
  <si>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</si>
  <si>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</si>
  <si>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</si>
  <si>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</si>
  <si>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</si>
  <si>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</si>
  <si>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</si>
  <si>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</si>
  <si>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</si>
  <si>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</si>
  <si>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</si>
  <si>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</si>
  <si>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</si>
  <si>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</si>
  <si>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</si>
  <si>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</si>
  <si>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</si>
  <si>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</si>
  <si>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</si>
  <si>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</si>
  <si>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</si>
  <si>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</si>
  <si>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</si>
  <si>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</si>
  <si>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</si>
  <si>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</si>
  <si>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</si>
  <si>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</si>
  <si>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</si>
  <si>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</si>
  <si>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</si>
  <si>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</si>
  <si>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</si>
  <si>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</si>
  <si>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</si>
  <si>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</si>
  <si>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</si>
  <si>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</si>
  <si>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</si>
  <si>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</si>
  <si>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</si>
  <si>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</si>
  <si>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</si>
  <si>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</si>
  <si>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</si>
  <si>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</si>
  <si>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</si>
  <si>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</si>
  <si>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</si>
  <si>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</si>
  <si>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</si>
  <si>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</si>
  <si>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</si>
  <si>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</si>
  <si>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</si>
  <si>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</si>
  <si>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</si>
  <si>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</si>
  <si>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</si>
  <si>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</si>
  <si>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</si>
  <si>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</si>
  <si>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</si>
  <si>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</si>
  <si>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</si>
  <si>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</si>
  <si>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</si>
  <si>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</si>
  <si>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</si>
  <si>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</si>
  <si>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</si>
  <si>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</si>
  <si>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</si>
  <si>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</si>
  <si>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</si>
  <si>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</si>
  <si>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</si>
  <si>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</si>
  <si>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</si>
  <si>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</si>
  <si>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</si>
  <si>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</si>
  <si>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</si>
  <si>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</si>
  <si>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</si>
  <si>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</si>
  <si>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</si>
  <si>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</si>
  <si>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</si>
  <si>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</si>
  <si>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</si>
  <si>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</si>
  <si>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</si>
  <si>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</si>
  <si>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</si>
  <si>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</si>
  <si>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</si>
  <si>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</si>
  <si>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</si>
  <si>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</si>
  <si>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</si>
  <si>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</si>
  <si>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</si>
  <si>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</si>
  <si>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</si>
  <si>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</si>
  <si>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</si>
  <si>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</si>
  <si>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</si>
  <si>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</si>
  <si>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</si>
  <si>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</si>
  <si>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</si>
  <si>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</si>
  <si>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</si>
  <si>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</si>
  <si>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</si>
  <si>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</si>
  <si>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</si>
  <si>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</si>
  <si>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</si>
  <si>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</si>
  <si>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</si>
  <si>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</si>
  <si>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</si>
  <si>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</si>
  <si>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</si>
  <si>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</si>
  <si>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</si>
  <si>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</si>
  <si>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</si>
  <si>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</si>
  <si>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</si>
  <si>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</si>
  <si>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</si>
  <si>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</si>
  <si>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</si>
  <si>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</si>
  <si>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</si>
  <si>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</si>
  <si>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</si>
  <si>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</si>
  <si>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</si>
  <si>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</si>
  <si>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</si>
  <si>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</si>
  <si>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</si>
  <si>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</si>
  <si>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</si>
  <si>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</si>
  <si>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</si>
  <si>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</si>
  <si>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</si>
  <si>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</si>
  <si>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</si>
  <si>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</si>
  <si>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</si>
  <si>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</si>
  <si>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</si>
  <si>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</si>
  <si>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</si>
  <si>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</si>
  <si>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</si>
  <si>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</si>
  <si>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</si>
  <si>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</si>
  <si>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</si>
  <si>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</si>
  <si>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</si>
  <si>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</si>
  <si>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</si>
  <si>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</si>
  <si>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</si>
  <si>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</si>
  <si>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</si>
  <si>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</si>
  <si>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</si>
  <si>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</si>
  <si>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</si>
  <si>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</si>
  <si>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</si>
  <si>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</si>
  <si>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</si>
  <si>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</si>
  <si>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</si>
  <si>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</si>
  <si>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</si>
  <si>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</si>
  <si>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</si>
  <si>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</si>
  <si>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</si>
  <si>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</si>
  <si>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</si>
  <si>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</si>
  <si>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</si>
  <si>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</si>
  <si>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</si>
  <si>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</si>
  <si>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</si>
  <si>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</si>
  <si>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</si>
  <si>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</si>
  <si>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</si>
  <si>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</si>
  <si>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</si>
  <si>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</si>
  <si>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</si>
  <si>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</si>
  <si>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</si>
  <si>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</si>
  <si>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</si>
  <si>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</si>
  <si>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</si>
  <si>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</si>
  <si>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</si>
  <si>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</si>
  <si>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</si>
  <si>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</si>
  <si>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</si>
  <si>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</si>
  <si>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</si>
  <si>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</si>
  <si>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</si>
  <si>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</si>
  <si>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</si>
  <si>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</si>
  <si>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</si>
  <si>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</si>
  <si>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</si>
  <si>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</si>
  <si>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</si>
  <si>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</si>
  <si>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</si>
  <si>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</si>
  <si>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</si>
  <si>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</si>
  <si>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</si>
  <si>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</si>
  <si>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</si>
  <si>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</si>
  <si>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</si>
  <si>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</si>
  <si>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</si>
  <si>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</si>
  <si>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</si>
  <si>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</si>
  <si>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</si>
  <si>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</si>
  <si>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</si>
  <si>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</si>
  <si>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</si>
  <si>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</si>
  <si>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</si>
  <si>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</si>
  <si>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</si>
  <si>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</si>
  <si>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</si>
  <si>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</si>
  <si>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</si>
  <si>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</si>
  <si>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</si>
  <si>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</si>
  <si>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</si>
  <si>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</si>
  <si>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</si>
  <si>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</si>
  <si>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</si>
  <si>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</si>
  <si>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</si>
  <si>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</si>
  <si>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</si>
  <si>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</si>
  <si>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</si>
  <si>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</si>
  <si>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</si>
  <si>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</si>
  <si>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</si>
  <si>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</si>
  <si>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</si>
  <si>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</si>
  <si>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</si>
  <si>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</si>
  <si>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</si>
  <si>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</si>
  <si>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</si>
  <si>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</si>
  <si>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</si>
  <si>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</si>
  <si>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</si>
  <si>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</si>
  <si>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</si>
  <si>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</si>
  <si>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</si>
  <si>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</si>
  <si>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</si>
  <si>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</si>
  <si>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</si>
  <si>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</si>
  <si>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</si>
  <si>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</si>
  <si>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</si>
  <si>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</si>
  <si>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</si>
  <si>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</si>
  <si>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</si>
  <si>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</si>
  <si>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</si>
  <si>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</si>
  <si>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</si>
  <si>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</si>
  <si>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</si>
  <si>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</si>
  <si>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</si>
  <si>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</si>
  <si>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</si>
  <si>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</si>
  <si>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</si>
  <si>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</si>
  <si>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</si>
  <si>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</si>
  <si>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</si>
  <si>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</si>
  <si>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</si>
  <si>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</si>
  <si>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</si>
  <si>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</si>
  <si>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</si>
  <si>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</si>
  <si>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</si>
  <si>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</si>
  <si>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</si>
  <si>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</si>
  <si>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</si>
  <si>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</si>
  <si>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</si>
  <si>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</si>
  <si>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</si>
  <si>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</si>
  <si>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</si>
  <si>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</si>
  <si>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</si>
  <si>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</si>
  <si>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</si>
  <si>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</si>
  <si>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</si>
  <si>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</si>
  <si>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</si>
  <si>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</si>
  <si>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</si>
  <si>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</si>
  <si>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</si>
  <si>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</si>
  <si>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</si>
  <si>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</si>
  <si>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</si>
  <si>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</si>
  <si>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</si>
  <si>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</si>
  <si>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</si>
  <si>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</si>
  <si>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</si>
  <si>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</si>
  <si>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</si>
  <si>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</si>
  <si>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</si>
  <si>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</si>
  <si>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</si>
  <si>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</si>
  <si>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</si>
  <si>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</si>
  <si>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</si>
  <si>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</si>
  <si>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</si>
  <si>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</si>
  <si>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</si>
  <si>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</si>
  <si>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</si>
  <si>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</si>
  <si>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</si>
  <si>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</si>
  <si>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</si>
  <si>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</si>
  <si>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</si>
  <si>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</si>
  <si>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</si>
  <si>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</si>
  <si>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</si>
  <si>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</si>
  <si>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</si>
  <si>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</si>
  <si>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</si>
  <si>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</si>
  <si>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</si>
  <si>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</si>
  <si>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</si>
  <si>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</si>
  <si>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</si>
  <si>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</si>
  <si>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</si>
  <si>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</si>
  <si>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</si>
  <si>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</si>
  <si>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</si>
  <si>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</si>
  <si>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</si>
  <si>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</si>
  <si>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</si>
  <si>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</si>
  <si>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</si>
  <si>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</si>
  <si>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</si>
  <si>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</si>
  <si>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</si>
  <si>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</si>
  <si>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</si>
  <si>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</si>
  <si>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</si>
  <si>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</si>
  <si>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</si>
  <si>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</si>
  <si>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</si>
  <si>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</si>
  <si>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</si>
  <si>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</si>
  <si>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</si>
  <si>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</si>
  <si>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</si>
  <si>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</si>
  <si>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</si>
  <si>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</si>
  <si>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</si>
  <si>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</si>
  <si>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</si>
  <si>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</si>
  <si>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</si>
  <si>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</si>
  <si>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</si>
  <si>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</si>
  <si>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</si>
  <si>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</si>
  <si>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</si>
  <si>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</si>
  <si>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</si>
  <si>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</si>
  <si>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</si>
  <si>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</si>
  <si>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</si>
  <si>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</si>
  <si>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</si>
  <si>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</si>
  <si>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</si>
  <si>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</si>
  <si>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</si>
  <si>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</si>
  <si>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</si>
  <si>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</si>
  <si>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</si>
  <si>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</si>
  <si>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</si>
  <si>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</si>
  <si>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</si>
  <si>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</si>
  <si>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</si>
  <si>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</si>
  <si>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</si>
  <si>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</si>
  <si>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</si>
  <si>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</si>
  <si>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</si>
  <si>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</si>
  <si>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</si>
  <si>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</si>
  <si>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</si>
  <si>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</si>
  <si>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</si>
  <si>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</si>
  <si>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</si>
  <si>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</si>
  <si>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</si>
  <si>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</si>
  <si>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</si>
  <si>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</si>
  <si>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</si>
  <si>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</si>
  <si>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</si>
  <si>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</si>
  <si>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</si>
  <si>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</si>
  <si>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</si>
  <si>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</si>
  <si>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</si>
  <si>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</si>
  <si>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</si>
  <si>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</si>
  <si>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</si>
  <si>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</si>
  <si>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</si>
  <si>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</si>
  <si>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</si>
  <si>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</si>
  <si>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</si>
  <si>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</si>
  <si>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</si>
  <si>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</si>
  <si>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</si>
  <si>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</si>
  <si>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</si>
  <si>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</si>
  <si>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</si>
  <si>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</si>
  <si>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</si>
  <si>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</si>
  <si>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</si>
  <si>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</si>
  <si>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</si>
  <si>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</si>
  <si>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</si>
  <si>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</si>
  <si>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</si>
  <si>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</si>
  <si>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</si>
  <si>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</si>
  <si>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</si>
  <si>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</si>
  <si>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</si>
  <si>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</si>
  <si>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</si>
  <si>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</si>
  <si>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</si>
  <si>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</si>
  <si>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</si>
  <si>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</si>
  <si>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</si>
  <si>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</si>
  <si>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</si>
  <si>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</si>
  <si>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</si>
  <si>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</si>
  <si>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</si>
  <si>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</si>
  <si>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</si>
  <si>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</si>
  <si>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</si>
  <si>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</si>
  <si>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</si>
  <si>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</si>
  <si>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</si>
  <si>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</si>
  <si>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</si>
  <si>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</si>
  <si>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</si>
  <si>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</si>
  <si>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</si>
  <si>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</si>
  <si>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</si>
  <si>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</si>
  <si>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</si>
  <si>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</si>
  <si>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</si>
  <si>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</si>
  <si>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</si>
  <si>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</si>
  <si>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</si>
  <si>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</si>
  <si>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</si>
  <si>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</si>
  <si>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</si>
  <si>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</si>
  <si>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</si>
  <si>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</si>
  <si>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</si>
  <si>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</si>
  <si>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</si>
  <si>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</si>
  <si>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</si>
  <si>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</si>
  <si>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</si>
  <si>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</si>
  <si>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</si>
  <si>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</si>
  <si>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</si>
  <si>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</si>
  <si>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</si>
  <si>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</si>
  <si>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</si>
  <si>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</si>
  <si>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</si>
  <si>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</si>
  <si>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</si>
  <si>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</si>
  <si>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</si>
  <si>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</si>
  <si>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</si>
  <si>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</si>
  <si>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</si>
  <si>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</si>
  <si>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</si>
  <si>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</si>
  <si>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</si>
  <si>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</si>
  <si>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</si>
  <si>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</si>
  <si>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</si>
  <si>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</si>
  <si>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</si>
  <si>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</si>
  <si>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</si>
  <si>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</si>
  <si>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</si>
  <si>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</si>
  <si>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</si>
  <si>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</si>
  <si>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</si>
  <si>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</si>
  <si>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</si>
  <si>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</si>
  <si>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</si>
  <si>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</si>
  <si>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</si>
  <si>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</si>
  <si>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</si>
  <si>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</si>
  <si>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</si>
  <si>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</si>
  <si>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</si>
  <si>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</si>
  <si>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</si>
  <si>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</si>
  <si>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</si>
  <si>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</si>
  <si>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</si>
  <si>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</si>
  <si>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</si>
  <si>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</si>
  <si>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</si>
  <si>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</si>
  <si>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</si>
  <si>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</si>
  <si>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</si>
  <si>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</si>
  <si>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</si>
  <si>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</si>
  <si>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</si>
  <si>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</si>
  <si>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</si>
  <si>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</si>
  <si>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</si>
  <si>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</si>
  <si>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</si>
  <si>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</si>
  <si>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</si>
  <si>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</si>
  <si>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</si>
  <si>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</si>
  <si>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</si>
  <si>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</si>
  <si>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</si>
  <si>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</si>
  <si>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</si>
  <si>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</si>
  <si>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</si>
  <si>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</si>
  <si>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</si>
  <si>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</si>
  <si>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</si>
  <si>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</si>
  <si>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</si>
  <si>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</si>
  <si>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</si>
  <si>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</si>
  <si>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</si>
  <si>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</si>
  <si>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</si>
  <si>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</si>
  <si>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</si>
  <si>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</si>
  <si>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</si>
  <si>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</si>
  <si>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</si>
  <si>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</si>
  <si>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</si>
  <si>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</si>
  <si>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</si>
  <si>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</si>
  <si>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</si>
  <si>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</si>
  <si>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</si>
  <si>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</si>
  <si>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</si>
  <si>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</si>
  <si>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</si>
  <si>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</si>
  <si>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</si>
  <si>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</si>
  <si>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</si>
  <si>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</si>
  <si>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</si>
  <si>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</si>
  <si>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</si>
  <si>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</si>
  <si>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</si>
  <si>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</si>
  <si>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</si>
  <si>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</si>
  <si>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</si>
  <si>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</si>
  <si>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</si>
  <si>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</si>
  <si>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</si>
  <si>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</si>
  <si>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</si>
  <si>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</si>
  <si>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</si>
  <si>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</si>
  <si>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</si>
  <si>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</si>
  <si>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</si>
  <si>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</si>
  <si>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</si>
  <si>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</si>
  <si>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</si>
  <si>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</si>
  <si>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</si>
  <si>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</si>
  <si>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</si>
  <si>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</si>
  <si>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</si>
  <si>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</si>
  <si>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</si>
  <si>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</si>
  <si>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</si>
  <si>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</si>
  <si>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</si>
  <si>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</si>
  <si>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</si>
  <si>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</si>
  <si>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</si>
  <si>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</si>
  <si>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</si>
  <si>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</si>
  <si>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</si>
  <si>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</si>
  <si>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</si>
  <si>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</si>
  <si>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</si>
  <si>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</si>
  <si>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</si>
  <si>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</si>
  <si>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</si>
  <si>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</si>
  <si>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</si>
  <si>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</si>
  <si>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</si>
  <si>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</si>
  <si>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</si>
  <si>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</si>
  <si>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</si>
  <si>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</si>
  <si>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</si>
  <si>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</si>
  <si>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</si>
  <si>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</si>
  <si>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</si>
  <si>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</si>
  <si>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</si>
  <si>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</si>
  <si>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</si>
  <si>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</si>
  <si>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</si>
  <si>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</si>
  <si>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</si>
  <si>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</si>
  <si>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</si>
  <si>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</si>
  <si>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</si>
  <si>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</si>
  <si>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</si>
  <si>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</si>
  <si>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</si>
  <si>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</si>
  <si>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</si>
  <si>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</si>
  <si>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</si>
  <si>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</si>
  <si>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</si>
  <si>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</si>
  <si>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</si>
  <si>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</si>
  <si>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</si>
  <si>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</si>
  <si>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</si>
  <si>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</si>
  <si>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</si>
  <si>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</si>
  <si>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</si>
  <si>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</si>
  <si>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</si>
  <si>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</si>
  <si>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</si>
  <si>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</si>
  <si>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</si>
  <si>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</si>
  <si>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</si>
  <si>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</si>
  <si>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</si>
  <si>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</si>
  <si>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</si>
  <si>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</si>
  <si>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</si>
  <si>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</si>
  <si>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</si>
  <si>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</si>
  <si>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</si>
  <si>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</si>
  <si>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</si>
  <si>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</si>
  <si>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</si>
  <si>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</si>
  <si>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</si>
  <si>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</si>
  <si>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</si>
  <si>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</si>
  <si>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</si>
  <si>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</si>
  <si>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</si>
  <si>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</si>
  <si>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</si>
  <si>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</si>
  <si>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</si>
  <si>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</si>
  <si>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</si>
  <si>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</si>
  <si>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</si>
  <si>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</si>
  <si>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</si>
  <si>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</si>
  <si>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</si>
  <si>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</si>
  <si>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</si>
  <si>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</si>
  <si>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</si>
  <si>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</si>
  <si>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</si>
  <si>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</si>
  <si>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</si>
  <si>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</si>
  <si>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</si>
  <si>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</si>
  <si>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</si>
  <si>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</si>
  <si>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</si>
  <si>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</si>
  <si>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</si>
  <si>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</si>
  <si>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</si>
  <si>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</si>
  <si>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</si>
  <si>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</si>
  <si>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</si>
  <si>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</si>
  <si>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</si>
  <si>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</si>
  <si>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</si>
  <si>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</si>
  <si>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</si>
  <si>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</si>
  <si>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</si>
  <si>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</si>
  <si>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</si>
  <si>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</si>
  <si>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</si>
  <si>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</si>
  <si>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</si>
  <si>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</si>
  <si>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</si>
  <si>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</si>
  <si>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</si>
  <si>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</si>
  <si>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</si>
  <si>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</si>
  <si>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</si>
  <si>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</si>
  <si>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</si>
  <si>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</si>
  <si>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</si>
  <si>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</si>
  <si>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</si>
  <si>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</si>
  <si>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</si>
  <si>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</si>
  <si>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</si>
  <si>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</si>
  <si>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</si>
  <si>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</si>
  <si>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</si>
  <si>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</si>
  <si>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</si>
  <si>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</si>
  <si>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</si>
  <si>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</si>
  <si>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</si>
  <si>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</si>
  <si>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</si>
  <si>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</si>
  <si>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</si>
  <si>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</si>
  <si>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</si>
  <si>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</si>
  <si>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</si>
  <si>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</si>
  <si>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</si>
  <si>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</si>
  <si>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</si>
  <si>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</si>
  <si>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</si>
  <si>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</si>
  <si>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</si>
  <si>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</si>
  <si>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</si>
  <si>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</si>
  <si>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</si>
  <si>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</si>
  <si>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</si>
  <si>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</si>
  <si>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</si>
  <si>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</si>
  <si>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</si>
  <si>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</si>
  <si>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</si>
  <si>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</si>
  <si>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</si>
  <si>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</si>
  <si>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</si>
  <si>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</si>
  <si>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</si>
  <si>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</si>
  <si>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</si>
  <si>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</si>
  <si>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</si>
  <si>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</si>
  <si>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</si>
  <si>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</si>
  <si>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</si>
  <si>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</si>
  <si>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</si>
  <si>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</si>
  <si>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</si>
  <si>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</si>
  <si>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</si>
  <si>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</si>
  <si>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</si>
  <si>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</si>
  <si>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</si>
  <si>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</si>
  <si>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</si>
  <si>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</si>
  <si>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</si>
  <si>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</si>
  <si>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</si>
  <si>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</si>
  <si>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</si>
  <si>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</si>
  <si>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</si>
  <si>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</si>
  <si>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</si>
  <si>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</si>
  <si>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</si>
  <si>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</si>
  <si>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</si>
  <si>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</si>
  <si>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</si>
  <si>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</si>
  <si>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</si>
  <si>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</si>
  <si>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</si>
  <si>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</si>
  <si>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</si>
  <si>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</si>
  <si>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</si>
  <si>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</si>
  <si>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</si>
  <si>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</si>
  <si>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</si>
  <si>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</si>
  <si>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</si>
  <si>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</si>
  <si>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</si>
  <si>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</si>
  <si>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</si>
  <si>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</si>
  <si>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</si>
  <si>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</si>
  <si>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</si>
  <si>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</si>
  <si>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</si>
  <si>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</si>
  <si>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</si>
  <si>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</si>
  <si>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</si>
  <si>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</si>
  <si>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</si>
  <si>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</si>
  <si>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</si>
  <si>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</si>
  <si>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</si>
  <si>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</si>
  <si>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</si>
  <si>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</si>
  <si>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</si>
  <si>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</si>
  <si>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</si>
  <si>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</si>
  <si>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</si>
  <si>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</si>
  <si>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</si>
  <si>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</si>
  <si>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</si>
  <si>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</si>
  <si>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</si>
  <si>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</si>
  <si>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</si>
  <si>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</si>
  <si>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</si>
  <si>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</si>
  <si>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</si>
  <si>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</si>
  <si>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</si>
  <si>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</si>
  <si>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</si>
  <si>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</si>
  <si>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</si>
  <si>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</si>
  <si>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</si>
  <si>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</si>
  <si>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</si>
  <si>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</si>
  <si>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</si>
  <si>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</si>
  <si>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</si>
  <si>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</si>
  <si>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</si>
  <si>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</si>
  <si>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</si>
  <si>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</si>
  <si>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</si>
  <si>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</si>
  <si>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</si>
  <si>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</si>
  <si>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</si>
  <si>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</si>
  <si>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</si>
  <si>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</si>
  <si>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</si>
  <si>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</si>
  <si>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</si>
  <si>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</si>
  <si>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</si>
  <si>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</si>
  <si>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</si>
  <si>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</si>
  <si>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</si>
  <si>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</si>
  <si>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</si>
  <si>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</si>
  <si>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</si>
  <si>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</si>
  <si>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</si>
  <si>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</si>
  <si>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</si>
  <si>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</si>
  <si>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</si>
  <si>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</si>
  <si>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</si>
  <si>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</si>
  <si>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</si>
  <si>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</si>
  <si>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</si>
  <si>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</si>
  <si>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</si>
  <si>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</si>
  <si>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</si>
  <si>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</si>
  <si>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</si>
  <si>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</si>
  <si>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</si>
  <si>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</si>
  <si>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</si>
  <si>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</si>
  <si>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</si>
  <si>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</si>
  <si>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</si>
  <si>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</si>
  <si>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</si>
  <si>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</si>
  <si>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</si>
  <si>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</si>
  <si>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</si>
  <si>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</si>
  <si>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</si>
  <si>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</si>
  <si>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</si>
  <si>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</si>
  <si>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</si>
  <si>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</si>
  <si>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</si>
  <si>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</si>
  <si>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</si>
  <si>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</si>
  <si>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</si>
  <si>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</si>
  <si>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</si>
  <si>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</si>
  <si>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</si>
  <si>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</si>
  <si>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</si>
  <si>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</si>
  <si>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</si>
  <si>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</si>
  <si>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</si>
  <si>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</si>
  <si>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</si>
  <si>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</si>
  <si>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</si>
  <si>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</si>
  <si>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</si>
  <si>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</si>
  <si>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</si>
  <si>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</si>
  <si>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</si>
  <si>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</si>
  <si>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</si>
  <si>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</si>
  <si>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</si>
  <si>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</si>
  <si>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</si>
  <si>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</si>
  <si>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</si>
  <si>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</si>
  <si>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</si>
  <si>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</si>
  <si>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</si>
  <si>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</si>
  <si>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</si>
  <si>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</si>
  <si>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</si>
  <si>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</si>
  <si>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</si>
  <si>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</si>
  <si>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</si>
  <si>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</si>
  <si>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</si>
  <si>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</si>
  <si>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</si>
  <si>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</si>
  <si>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</si>
  <si>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</si>
  <si>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</si>
  <si>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</si>
  <si>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</si>
  <si>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</si>
  <si>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</si>
  <si>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</si>
  <si>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</si>
  <si>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</si>
  <si>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</si>
  <si>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</si>
  <si>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</si>
  <si>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</si>
  <si>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</si>
  <si>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</si>
  <si>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</si>
  <si>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</si>
  <si>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</si>
  <si>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</si>
  <si>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</si>
  <si>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</si>
  <si>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</si>
  <si>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</si>
  <si>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</si>
  <si>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</si>
  <si>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</si>
  <si>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</si>
  <si>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</si>
  <si>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</si>
  <si>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</si>
  <si>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</si>
  <si>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</si>
  <si>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</si>
  <si>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</si>
  <si>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</si>
  <si>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</si>
  <si>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</si>
  <si>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</si>
  <si>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</si>
  <si>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</si>
  <si>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</si>
  <si>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</si>
  <si>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</si>
  <si>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</si>
  <si>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</si>
  <si>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</si>
  <si>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</si>
  <si>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</si>
  <si>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</si>
  <si>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</si>
  <si>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</si>
  <si>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</si>
  <si>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</si>
  <si>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</si>
  <si>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</si>
  <si>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</si>
  <si>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</si>
  <si>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</si>
  <si>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</si>
  <si>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</si>
  <si>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</si>
  <si>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</si>
  <si>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</si>
  <si>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</si>
  <si>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</si>
  <si>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</si>
  <si>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</si>
  <si>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</si>
  <si>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</si>
  <si>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</si>
  <si>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</si>
  <si>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</si>
  <si>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</si>
  <si>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</si>
  <si>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</si>
  <si>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</si>
  <si>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</si>
  <si>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</si>
  <si>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</si>
  <si>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</si>
  <si>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</si>
  <si>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</si>
  <si>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</si>
  <si>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</si>
  <si>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</si>
  <si>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</si>
  <si>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</si>
  <si>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</si>
  <si>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</si>
  <si>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</si>
  <si>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</si>
  <si>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</si>
  <si>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</si>
  <si>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</si>
  <si>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</si>
  <si>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</si>
  <si>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</si>
  <si>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</si>
  <si>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</si>
  <si>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</si>
  <si>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</si>
  <si>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</si>
  <si>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</si>
  <si>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</si>
  <si>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</si>
  <si>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</si>
  <si>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</si>
  <si>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</si>
  <si>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</si>
  <si>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</si>
  <si>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</si>
  <si>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</si>
  <si>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</si>
  <si>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</si>
  <si>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</si>
  <si>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</si>
  <si>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</si>
  <si>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</si>
  <si>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</si>
  <si>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</si>
  <si>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</si>
  <si>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</si>
  <si>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</si>
  <si>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</si>
  <si>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</si>
  <si>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</si>
  <si>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</si>
  <si>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</si>
  <si>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</si>
  <si>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</si>
  <si>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</si>
  <si>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</si>
  <si>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</si>
  <si>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</si>
  <si>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</si>
  <si>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</si>
  <si>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</si>
  <si>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</si>
  <si>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</si>
  <si>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</si>
  <si>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</si>
  <si>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</si>
  <si>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</si>
  <si>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</si>
  <si>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</si>
  <si>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</si>
  <si>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</si>
  <si>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</si>
  <si>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</si>
  <si>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</si>
  <si>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</si>
  <si>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</si>
  <si>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</si>
  <si>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</si>
  <si>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</si>
  <si>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</si>
  <si>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</si>
  <si>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</si>
  <si>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</si>
  <si>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</si>
  <si>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</si>
  <si>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</si>
  <si>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</si>
  <si>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</si>
  <si>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</si>
  <si>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</si>
  <si>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</si>
  <si>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</si>
  <si>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</si>
  <si>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</si>
  <si>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</si>
  <si>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</si>
  <si>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</si>
  <si>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</si>
  <si>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</si>
  <si>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</si>
  <si>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</si>
  <si>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</si>
  <si>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</si>
  <si>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</si>
  <si>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</si>
  <si>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</si>
  <si>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</si>
  <si>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</si>
  <si>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</si>
  <si>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</si>
  <si>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</si>
  <si>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</si>
  <si>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</si>
  <si>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</si>
  <si>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</si>
  <si>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</si>
  <si>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</si>
  <si>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</si>
  <si>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</si>
  <si>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</si>
  <si>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</si>
  <si>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</si>
  <si>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</si>
  <si>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</si>
  <si>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</si>
  <si>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</si>
  <si>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</si>
  <si>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</si>
  <si>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</si>
  <si>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</si>
  <si>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</si>
  <si>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</si>
  <si>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</si>
  <si>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</si>
  <si>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</si>
  <si>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</si>
  <si>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</si>
  <si>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</si>
  <si>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</si>
  <si>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</si>
  <si>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</si>
  <si>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</si>
  <si>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</si>
  <si>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</si>
  <si>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</si>
  <si>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</si>
  <si>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</si>
  <si>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</si>
  <si>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</si>
  <si>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</si>
  <si>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</si>
  <si>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</si>
  <si>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</si>
  <si>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</si>
  <si>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</si>
  <si>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</si>
  <si>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</si>
  <si>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</si>
  <si>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</si>
  <si>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</si>
  <si>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</si>
  <si>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</si>
  <si>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</si>
  <si>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</si>
  <si>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</si>
  <si>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</si>
  <si>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</si>
  <si>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</si>
  <si>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</si>
  <si>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</si>
  <si>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</si>
  <si>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</si>
  <si>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</si>
  <si>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</si>
  <si>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</si>
  <si>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</si>
  <si>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</si>
  <si>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</si>
  <si>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</si>
  <si>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</si>
  <si>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</si>
  <si>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</si>
  <si>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</si>
  <si>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</si>
  <si>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</si>
  <si>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</si>
  <si>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</si>
  <si>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</si>
  <si>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</si>
  <si>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</si>
  <si>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</si>
  <si>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</si>
  <si>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</si>
  <si>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</si>
  <si>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</si>
  <si>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</si>
  <si>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</si>
  <si>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</si>
  <si>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</si>
  <si>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</si>
  <si>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</si>
  <si>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</si>
  <si>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</si>
  <si>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</si>
  <si>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</si>
  <si>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</si>
  <si>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</si>
  <si>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</si>
  <si>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</si>
  <si>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</si>
  <si>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</si>
  <si>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</si>
  <si>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</si>
  <si>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</si>
  <si>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</si>
  <si>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</si>
  <si>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</si>
  <si>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</si>
  <si>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</si>
  <si>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</si>
  <si>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</si>
  <si>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</si>
  <si>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</si>
  <si>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</si>
  <si>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</si>
  <si>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</si>
  <si>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</si>
  <si>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</si>
  <si>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</si>
  <si>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</si>
  <si>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</si>
  <si>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</si>
  <si>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</si>
  <si>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</si>
  <si>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</si>
  <si>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</si>
  <si>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</si>
  <si>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</si>
  <si>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</si>
  <si>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</si>
  <si>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</si>
  <si>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</si>
  <si>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</si>
  <si>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</si>
  <si>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</si>
  <si>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</si>
  <si>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</si>
  <si>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</si>
  <si>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</si>
  <si>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</si>
  <si>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</si>
  <si>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</si>
  <si>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</si>
  <si>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</si>
  <si>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</si>
  <si>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</si>
  <si>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</si>
  <si>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</si>
  <si>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</si>
  <si>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</si>
  <si>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</si>
  <si>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</si>
  <si>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</si>
  <si>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</si>
  <si>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</si>
  <si>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</si>
  <si>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</si>
  <si>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</si>
  <si>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</si>
  <si>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</si>
  <si>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</si>
  <si>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</si>
  <si>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</si>
  <si>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</si>
  <si>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</si>
  <si>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</si>
  <si>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</si>
  <si>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</si>
  <si>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</si>
  <si>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</si>
  <si>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</si>
  <si>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</si>
  <si>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</si>
  <si>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</si>
  <si>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</si>
  <si>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</si>
  <si>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</si>
  <si>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</si>
  <si>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</si>
  <si>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</si>
  <si>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</si>
  <si>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</si>
  <si>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</si>
  <si>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</si>
  <si>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</si>
  <si>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</si>
  <si>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</si>
  <si>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</si>
  <si>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</si>
  <si>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</si>
  <si>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</si>
  <si>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</si>
  <si>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</si>
  <si>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</si>
  <si>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</si>
  <si>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</si>
  <si>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</si>
  <si>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</si>
  <si>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</si>
  <si>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</si>
  <si>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</si>
  <si>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</si>
  <si>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</si>
  <si>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</si>
  <si>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</si>
  <si>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</si>
  <si>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</si>
  <si>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</si>
  <si>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</si>
  <si>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</si>
  <si>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</si>
  <si>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</si>
  <si>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</si>
  <si>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</si>
  <si>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</si>
  <si>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</si>
  <si>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</si>
  <si>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</si>
  <si>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</si>
  <si>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</si>
  <si>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</si>
  <si>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</si>
  <si>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</si>
  <si>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</si>
  <si>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</si>
  <si>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</si>
  <si>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</si>
  <si>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</si>
  <si>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</si>
  <si>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</si>
  <si>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</si>
  <si>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</si>
  <si>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</si>
  <si>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</si>
  <si>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</si>
  <si>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</si>
  <si>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</si>
  <si>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</si>
  <si>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</si>
  <si>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</si>
  <si>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</si>
  <si>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</si>
  <si>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</si>
  <si>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</si>
  <si>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</si>
  <si>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</si>
  <si>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</si>
  <si>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</si>
  <si>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</si>
  <si>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</si>
  <si>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</si>
  <si>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</si>
  <si>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</si>
  <si>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</si>
  <si>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</si>
  <si>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</si>
  <si>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</si>
  <si>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</si>
  <si>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</si>
  <si>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</si>
  <si>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</si>
  <si>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</si>
  <si>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</si>
  <si>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</si>
  <si>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</si>
  <si>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</si>
  <si>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</si>
  <si>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</si>
  <si>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</si>
  <si>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</si>
  <si>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</si>
  <si>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</si>
  <si>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</si>
  <si>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</si>
  <si>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</si>
  <si>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</si>
  <si>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</si>
  <si>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</si>
  <si>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</si>
  <si>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</si>
  <si>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</si>
  <si>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</si>
  <si>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</si>
  <si>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</si>
  <si>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</si>
  <si>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</si>
  <si>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</si>
  <si>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</si>
  <si>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</si>
  <si>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</si>
  <si>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</si>
  <si>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</si>
  <si>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</si>
  <si>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</si>
  <si>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</si>
  <si>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</si>
  <si>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</si>
  <si>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</si>
  <si>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</si>
  <si>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</si>
  <si>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</si>
  <si>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</si>
  <si>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</si>
  <si>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</si>
  <si>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</si>
  <si>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</si>
  <si>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</si>
  <si>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</si>
  <si>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</si>
  <si>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</si>
  <si>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</si>
  <si>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</si>
  <si>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</si>
  <si>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</si>
  <si>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</si>
  <si>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</si>
  <si>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</si>
  <si>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</si>
  <si>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</si>
  <si>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</si>
  <si>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</si>
  <si>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</si>
  <si>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</si>
  <si>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</si>
  <si>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</si>
  <si>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</si>
  <si>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</si>
  <si>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</si>
  <si>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</si>
  <si>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</si>
  <si>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</si>
  <si>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</si>
  <si>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</si>
  <si>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</si>
  <si>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</si>
  <si>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</si>
  <si>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</si>
  <si>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</si>
  <si>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</si>
  <si>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</si>
  <si>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</si>
  <si>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</si>
  <si>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</si>
  <si>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</si>
  <si>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</si>
  <si>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</si>
  <si>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</si>
  <si>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</si>
  <si>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</si>
  <si>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</si>
  <si>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</si>
  <si>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</si>
  <si>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</si>
  <si>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</si>
  <si>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</si>
  <si>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</si>
  <si>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</si>
  <si>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</si>
  <si>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</si>
  <si>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</si>
  <si>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</si>
  <si>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</si>
  <si>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</si>
  <si>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</si>
  <si>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</si>
  <si>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</si>
  <si>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</si>
  <si>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</si>
  <si>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</si>
  <si>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</si>
  <si>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</si>
  <si>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</si>
  <si>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</si>
  <si>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</si>
  <si>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</si>
  <si>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</si>
  <si>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</si>
  <si>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</si>
  <si>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</si>
  <si>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</si>
  <si>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</si>
  <si>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</si>
  <si>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</si>
  <si>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</si>
  <si>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</si>
  <si>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</si>
  <si>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</si>
  <si>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</si>
  <si>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</si>
  <si>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</si>
  <si>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</si>
  <si>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</si>
  <si>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</si>
  <si>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</si>
  <si>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</si>
  <si>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</si>
  <si>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</si>
  <si>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</si>
  <si>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</si>
  <si>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</si>
  <si>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</si>
  <si>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</si>
  <si>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</si>
  <si>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</si>
  <si>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</si>
  <si>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</si>
  <si>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</si>
  <si>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</si>
  <si>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</si>
  <si>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</si>
  <si>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</si>
  <si>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</si>
  <si>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</si>
  <si>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</si>
  <si>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</si>
  <si>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</si>
  <si>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</si>
  <si>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</si>
  <si>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</si>
  <si>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</si>
  <si>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</si>
  <si>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</si>
  <si>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</si>
  <si>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</si>
  <si>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</si>
  <si>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</si>
  <si>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</si>
  <si>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</si>
  <si>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</si>
  <si>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</si>
  <si>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</si>
  <si>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</si>
  <si>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</si>
  <si>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</si>
  <si>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</si>
  <si>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</si>
  <si>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</si>
  <si>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</si>
  <si>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</si>
  <si>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</si>
  <si>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</si>
  <si>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</si>
  <si>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</si>
  <si>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</si>
  <si>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</si>
  <si>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</si>
  <si>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</si>
  <si>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</si>
  <si>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</si>
  <si>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</si>
  <si>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</si>
  <si>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</si>
  <si>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</si>
  <si>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</si>
  <si>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</si>
  <si>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</si>
  <si>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</si>
  <si>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</si>
  <si>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</si>
  <si>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</si>
  <si>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</si>
  <si>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</si>
  <si>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</si>
  <si>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</si>
  <si>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</si>
  <si>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</si>
  <si>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</si>
  <si>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</si>
  <si>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</si>
  <si>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</si>
  <si>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</si>
  <si>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</si>
  <si>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</si>
  <si>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</si>
  <si>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</si>
  <si>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</si>
  <si>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</si>
  <si>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</si>
  <si>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</si>
  <si>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</si>
  <si>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</si>
  <si>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</si>
  <si>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</si>
  <si>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</si>
  <si>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</si>
  <si>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</si>
  <si>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</si>
  <si>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</si>
  <si>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</si>
  <si>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</si>
  <si>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</si>
  <si>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</si>
  <si>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</si>
  <si>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</si>
  <si>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</si>
  <si>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</si>
  <si>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</si>
  <si>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</si>
  <si>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</si>
  <si>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</si>
  <si>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</si>
  <si>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</si>
  <si>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</si>
  <si>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</si>
  <si>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</si>
  <si>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</si>
  <si>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</si>
  <si>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</si>
  <si>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</si>
  <si>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</si>
  <si>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</si>
  <si>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</si>
  <si>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</si>
  <si>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</si>
  <si>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</si>
  <si>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</si>
  <si>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</si>
  <si>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</si>
  <si>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</si>
  <si>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</si>
  <si>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</si>
  <si>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</si>
  <si>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</si>
  <si>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</si>
  <si>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</si>
  <si>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</si>
  <si>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</si>
  <si>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</si>
  <si>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</si>
  <si>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</si>
  <si>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</si>
  <si>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</si>
  <si>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</si>
  <si>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</si>
  <si>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</si>
  <si>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</si>
  <si>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</si>
  <si>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</si>
  <si>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</si>
  <si>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</si>
  <si>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</si>
  <si>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</si>
  <si>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</si>
  <si>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</si>
  <si>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</si>
  <si>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</si>
  <si>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</si>
  <si>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</si>
  <si>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</si>
  <si>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</si>
  <si>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</si>
  <si>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</si>
  <si>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</si>
  <si>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</si>
  <si>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</si>
  <si>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</si>
  <si>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</si>
  <si>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</si>
  <si>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</si>
  <si>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</si>
  <si>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</si>
  <si>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</si>
  <si>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</si>
  <si>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</si>
  <si>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</si>
  <si>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</si>
  <si>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</si>
  <si>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</si>
  <si>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</si>
  <si>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</si>
  <si>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</si>
  <si>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</si>
  <si>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</si>
  <si>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</si>
  <si>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</si>
  <si>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</si>
  <si>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</si>
  <si>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</si>
  <si>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</si>
  <si>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</si>
  <si>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</si>
  <si>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</si>
  <si>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</si>
  <si>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</si>
  <si>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</si>
  <si>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</si>
  <si>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</si>
  <si>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</si>
  <si>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</si>
  <si>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</si>
  <si>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</si>
  <si>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</si>
  <si>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</si>
  <si>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</si>
  <si>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</si>
  <si>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</si>
  <si>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</si>
  <si>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</si>
  <si>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</si>
  <si>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</si>
  <si>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</si>
  <si>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</si>
  <si>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</si>
  <si>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</si>
  <si>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</si>
  <si>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</si>
  <si>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</si>
  <si>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</si>
  <si>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</si>
  <si>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</si>
  <si>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</si>
  <si>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</si>
  <si>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</si>
  <si>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</si>
  <si>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</si>
  <si>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</si>
  <si>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</si>
  <si>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</si>
  <si>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</si>
  <si>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</si>
  <si>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</si>
  <si>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</si>
  <si>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</si>
  <si>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</si>
  <si>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</si>
  <si>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</si>
  <si>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</si>
  <si>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</si>
  <si>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</si>
  <si>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</si>
  <si>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</si>
  <si>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</si>
  <si>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</si>
  <si>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</si>
  <si>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</si>
  <si>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</si>
  <si>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</si>
  <si>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</si>
  <si>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</si>
  <si>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</si>
  <si>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</si>
  <si>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</si>
  <si>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</si>
  <si>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</si>
  <si>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</si>
  <si>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</si>
  <si>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</si>
  <si>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</si>
  <si>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</si>
  <si>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</si>
  <si>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</si>
  <si>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</si>
  <si>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</si>
  <si>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</si>
  <si>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</si>
  <si>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</si>
  <si>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</si>
  <si>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</si>
  <si>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</si>
  <si>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</si>
  <si>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</si>
  <si>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</si>
  <si>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</si>
  <si>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</si>
  <si>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</si>
  <si>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</si>
  <si>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</si>
  <si>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</si>
  <si>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</si>
  <si>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</si>
  <si>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</si>
  <si>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</si>
  <si>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</si>
  <si>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</si>
  <si>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</si>
  <si>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</si>
  <si>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</si>
  <si>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</si>
  <si>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</si>
  <si>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</si>
  <si>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</si>
  <si>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</si>
  <si>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</si>
  <si>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</si>
  <si>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</si>
  <si>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</si>
  <si>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</si>
  <si>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</si>
  <si>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</si>
  <si>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</si>
  <si>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</si>
  <si>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</si>
  <si>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</si>
  <si>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</si>
  <si>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</si>
  <si>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</si>
  <si>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</si>
  <si>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</si>
  <si>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</si>
  <si>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</si>
  <si>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</si>
  <si>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</si>
  <si>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</si>
  <si>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</si>
  <si>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</si>
  <si>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</si>
  <si>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</si>
  <si>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</si>
  <si>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</si>
  <si>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</si>
  <si>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</si>
  <si>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</si>
  <si>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</si>
  <si>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</si>
  <si>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</si>
  <si>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</si>
  <si>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</si>
  <si>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</si>
  <si>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</si>
  <si>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</si>
  <si>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</si>
  <si>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</si>
  <si>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</si>
  <si>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</si>
  <si>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</si>
  <si>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</si>
  <si>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</si>
  <si>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</si>
  <si>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</si>
  <si>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</si>
  <si>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</si>
  <si>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</si>
  <si>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</si>
  <si>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</si>
  <si>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</si>
  <si>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</si>
  <si>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</si>
  <si>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</si>
  <si>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</si>
  <si>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</si>
  <si>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</si>
  <si>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</si>
  <si>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</si>
  <si>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</si>
  <si>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</si>
  <si>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</si>
  <si>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</si>
  <si>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</si>
  <si>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</si>
  <si>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</si>
  <si>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</si>
  <si>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</si>
  <si>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</si>
  <si>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</si>
  <si>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</si>
  <si>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</si>
  <si>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</si>
  <si>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</si>
  <si>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</si>
  <si>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</si>
  <si>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</si>
  <si>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</si>
  <si>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</si>
  <si>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</si>
  <si>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</si>
  <si>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</si>
  <si>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</si>
  <si>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</si>
  <si>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</si>
  <si>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</si>
  <si>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</si>
  <si>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</si>
  <si>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</si>
  <si>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</si>
  <si>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</si>
  <si>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</si>
  <si>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</si>
  <si>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</si>
  <si>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</si>
  <si>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</si>
  <si>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</si>
  <si>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</si>
  <si>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</si>
  <si>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</si>
  <si>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</si>
  <si>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</si>
  <si>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</si>
  <si>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</si>
  <si>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</si>
  <si>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</si>
  <si>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</si>
  <si>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</si>
  <si>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</si>
  <si>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</si>
  <si>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</si>
  <si>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</si>
  <si>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</si>
  <si>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</si>
  <si>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</si>
  <si>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</si>
  <si>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</si>
  <si>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</si>
  <si>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</si>
  <si>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</si>
  <si>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</si>
  <si>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</si>
  <si>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</si>
  <si>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</si>
  <si>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</si>
  <si>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</si>
  <si>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</si>
  <si>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</si>
  <si>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</si>
  <si>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</si>
  <si>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</si>
  <si>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</si>
  <si>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</si>
  <si>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</si>
  <si>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</si>
  <si>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</si>
  <si>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</si>
  <si>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</si>
  <si>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</si>
  <si>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</si>
  <si>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</si>
  <si>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</si>
  <si>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</si>
  <si>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</si>
  <si>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</si>
  <si>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</si>
  <si>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</si>
  <si>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</si>
  <si>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</si>
  <si>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</si>
  <si>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</si>
  <si>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</si>
  <si>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</si>
  <si>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</si>
  <si>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</si>
  <si>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</si>
  <si>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</si>
  <si>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</si>
  <si>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</si>
  <si>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</si>
  <si>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</si>
  <si>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</si>
  <si>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</si>
  <si>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</si>
  <si>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</si>
  <si>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</si>
  <si>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</si>
  <si>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</si>
  <si>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</si>
  <si>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</si>
  <si>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</si>
  <si>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</si>
  <si>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</si>
  <si>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</si>
  <si>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</si>
  <si>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</si>
  <si>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</si>
  <si>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</si>
  <si>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</si>
  <si>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</si>
  <si>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</si>
  <si>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</si>
  <si>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</si>
  <si>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</si>
  <si>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</si>
  <si>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</si>
  <si>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</si>
  <si>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</si>
  <si>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</si>
  <si>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</si>
  <si>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</si>
  <si>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</si>
  <si>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</si>
  <si>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</si>
  <si>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</si>
  <si>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</si>
  <si>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</si>
  <si>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</si>
  <si>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</si>
  <si>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</si>
  <si>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</si>
  <si>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</si>
  <si>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</si>
  <si>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</si>
  <si>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</si>
  <si>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</si>
  <si>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</si>
  <si>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</si>
  <si>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</si>
  <si>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</si>
  <si>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</si>
  <si>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</si>
  <si>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</si>
  <si>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</si>
  <si>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</si>
  <si>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</si>
  <si>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</si>
  <si>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</si>
  <si>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</si>
  <si>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</si>
  <si>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</si>
  <si>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</si>
  <si>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</si>
  <si>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</si>
  <si>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</si>
  <si>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</si>
  <si>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</si>
  <si>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</si>
  <si>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</si>
  <si>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</si>
  <si>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</si>
  <si>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</si>
  <si>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</si>
  <si>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</si>
  <si>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</si>
  <si>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</si>
  <si>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</si>
  <si>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</si>
  <si>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</si>
  <si>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</si>
  <si>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</si>
  <si>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</si>
  <si>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</si>
  <si>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</si>
  <si>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</si>
  <si>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</si>
  <si>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</si>
  <si>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</si>
  <si>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</si>
  <si>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</si>
  <si>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</si>
  <si>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</si>
  <si>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</si>
  <si>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</si>
  <si>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</si>
  <si>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</si>
  <si>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</si>
  <si>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</si>
  <si>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</si>
  <si>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</si>
  <si>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</si>
  <si>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</si>
  <si>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</si>
  <si>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</si>
  <si>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</si>
  <si>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</si>
  <si>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</si>
  <si>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</si>
  <si>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</si>
  <si>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</si>
  <si>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</si>
  <si>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</si>
  <si>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</si>
  <si>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</si>
  <si>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</si>
  <si>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</si>
  <si>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</si>
  <si>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</si>
  <si>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</si>
  <si>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</si>
  <si>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</si>
  <si>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</si>
  <si>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</si>
  <si>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</si>
  <si>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</si>
  <si>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</si>
  <si>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</si>
  <si>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</si>
  <si>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</si>
  <si>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</si>
  <si>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</si>
  <si>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</si>
  <si>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</si>
  <si>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</si>
  <si>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</si>
  <si>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</si>
  <si>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</si>
  <si>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</si>
  <si>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</si>
  <si>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</si>
  <si>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</si>
  <si>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</si>
  <si>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</si>
  <si>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</si>
  <si>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</si>
  <si>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</si>
  <si>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</si>
  <si>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</si>
  <si>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</si>
  <si>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</si>
  <si>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</si>
  <si>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</si>
  <si>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</si>
  <si>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</si>
  <si>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</si>
  <si>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</si>
  <si>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</si>
  <si>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</si>
  <si>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</si>
  <si>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</si>
  <si>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</si>
  <si>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</si>
  <si>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</si>
  <si>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</si>
  <si>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</si>
  <si>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</si>
  <si>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</si>
  <si>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</si>
  <si>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</si>
  <si>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</si>
  <si>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</si>
  <si>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</si>
  <si>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</si>
  <si>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</si>
  <si>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</si>
  <si>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</si>
  <si>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</si>
  <si>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</si>
  <si>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</si>
  <si>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</si>
  <si>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</si>
  <si>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</si>
  <si>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</si>
  <si>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</si>
  <si>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</si>
  <si>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</si>
  <si>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</si>
  <si>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</si>
  <si>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</si>
  <si>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</si>
  <si>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</si>
  <si>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</si>
  <si>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</si>
  <si>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</si>
  <si>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</si>
  <si>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</si>
  <si>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</si>
  <si>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</si>
  <si>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</si>
  <si>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</si>
  <si>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</si>
  <si>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</si>
  <si>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</si>
  <si>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</si>
  <si>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</si>
  <si>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</si>
  <si>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</si>
  <si>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</si>
  <si>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</si>
  <si>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</si>
  <si>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</si>
  <si>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</si>
  <si>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</si>
  <si>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</si>
  <si>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</si>
  <si>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</si>
  <si>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</si>
  <si>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</si>
  <si>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</si>
  <si>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</si>
  <si>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</si>
  <si>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</si>
  <si>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</si>
  <si>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</si>
  <si>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</si>
  <si>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</si>
  <si>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</si>
  <si>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</si>
  <si>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</si>
  <si>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</si>
  <si>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</si>
  <si>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</si>
  <si>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</si>
  <si>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</si>
  <si>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</si>
  <si>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</si>
  <si>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</si>
  <si>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</si>
  <si>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</si>
  <si>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</si>
  <si>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</si>
  <si>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</si>
  <si>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</si>
  <si>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</si>
  <si>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</si>
  <si>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</si>
  <si>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</si>
  <si>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</si>
  <si>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</si>
  <si>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</si>
  <si>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</si>
  <si>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</si>
  <si>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</si>
  <si>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</si>
  <si>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</si>
  <si>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</si>
  <si>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</si>
  <si>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</si>
  <si>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</si>
  <si>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</si>
  <si>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</si>
  <si>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</si>
  <si>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</si>
  <si>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</si>
  <si>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</si>
  <si>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</si>
  <si>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</si>
  <si>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</si>
  <si>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</si>
  <si>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</si>
  <si>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</si>
  <si>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</si>
  <si>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</si>
  <si>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</si>
  <si>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</si>
  <si>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</si>
  <si>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</si>
  <si>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</si>
  <si>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</si>
  <si>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</si>
  <si>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</si>
  <si>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</si>
  <si>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</si>
  <si>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</si>
  <si>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</si>
  <si>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</si>
  <si>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</si>
  <si>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</si>
  <si>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</si>
  <si>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</si>
  <si>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</si>
  <si>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</si>
  <si>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</si>
  <si>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</si>
  <si>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</si>
  <si>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</si>
  <si>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</si>
  <si>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</si>
  <si>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</si>
  <si>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</si>
  <si>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</si>
  <si>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</si>
  <si>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</si>
  <si>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</si>
  <si>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</si>
  <si>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</si>
  <si>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</si>
  <si>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</si>
  <si>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</si>
  <si>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</si>
  <si>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</si>
  <si>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</si>
  <si>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</si>
  <si>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</si>
  <si>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</si>
  <si>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</si>
  <si>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</si>
  <si>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</si>
  <si>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</si>
  <si>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</si>
  <si>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</si>
  <si>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</si>
  <si>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</si>
  <si>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</si>
  <si>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</si>
  <si>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</si>
  <si>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</si>
  <si>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</si>
  <si>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</si>
  <si>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</si>
  <si>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</si>
  <si>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</si>
  <si>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</si>
  <si>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</si>
  <si>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</si>
  <si>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</si>
  <si>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</si>
  <si>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</si>
  <si>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</si>
  <si>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</si>
  <si>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</si>
  <si>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</si>
  <si>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</si>
  <si>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</si>
  <si>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</si>
  <si>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</si>
  <si>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</si>
  <si>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</si>
  <si>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</si>
  <si>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</si>
  <si>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</si>
  <si>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</si>
  <si>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</si>
  <si>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</si>
  <si>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</si>
  <si>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</si>
  <si>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</si>
  <si>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</si>
  <si>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</si>
  <si>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</si>
  <si>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</si>
  <si>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</si>
  <si>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</si>
  <si>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</si>
  <si>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</si>
  <si>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</si>
  <si>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</si>
  <si>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</si>
  <si>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</si>
  <si>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</si>
  <si>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</si>
  <si>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</si>
  <si>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</si>
  <si>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</si>
  <si>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</si>
  <si>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</si>
  <si>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</si>
  <si>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</si>
  <si>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</si>
  <si>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</si>
  <si>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</si>
  <si>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</si>
  <si>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</si>
  <si>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</si>
  <si>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</si>
  <si>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</si>
  <si>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</si>
  <si>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</si>
  <si>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</si>
  <si>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</si>
  <si>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</si>
  <si>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</si>
  <si>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</si>
  <si>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</si>
  <si>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</si>
  <si>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</si>
  <si>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</si>
  <si>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</si>
  <si>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</si>
  <si>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</si>
  <si>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</si>
  <si>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</si>
  <si>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</si>
  <si>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</si>
  <si>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</si>
  <si>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</si>
  <si>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</si>
  <si>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</si>
  <si>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</si>
  <si>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</si>
  <si>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</si>
  <si>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</si>
  <si>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</si>
  <si>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</si>
  <si>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</si>
  <si>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</si>
  <si>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</si>
  <si>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</si>
  <si>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</si>
  <si>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</si>
  <si>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</si>
  <si>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</si>
  <si>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</si>
  <si>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</si>
  <si>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</si>
  <si>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</si>
  <si>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</si>
  <si>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</si>
  <si>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</si>
  <si>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</si>
  <si>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</si>
  <si>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</si>
  <si>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</si>
  <si>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</si>
  <si>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</si>
  <si>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</si>
  <si>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</si>
  <si>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</si>
  <si>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</si>
  <si>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</si>
  <si>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</si>
  <si>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</si>
  <si>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</si>
  <si>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</si>
  <si>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</si>
  <si>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</si>
  <si>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</si>
  <si>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</si>
  <si>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</si>
  <si>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</si>
  <si>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</si>
  <si>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</si>
  <si>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</si>
  <si>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</si>
  <si>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</si>
  <si>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</si>
  <si>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</si>
  <si>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</si>
  <si>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</si>
  <si>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</si>
  <si>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</si>
  <si>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</si>
  <si>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</si>
  <si>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</si>
  <si>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</si>
  <si>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</si>
  <si>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</si>
  <si>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</si>
  <si>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</si>
  <si>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</si>
  <si>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</si>
  <si>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</si>
  <si>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</si>
  <si>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</si>
  <si>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</si>
  <si>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</si>
  <si>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</si>
  <si>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</si>
  <si>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</si>
  <si>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</si>
  <si>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</si>
  <si>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</si>
  <si>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</si>
  <si>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</si>
  <si>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</si>
  <si>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</si>
  <si>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</si>
  <si>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</si>
  <si>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</si>
  <si>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</si>
  <si>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</si>
  <si>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</si>
  <si>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</si>
  <si>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</si>
  <si>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</si>
  <si>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</si>
  <si>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</si>
  <si>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</si>
  <si>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</si>
  <si>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</si>
  <si>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</si>
  <si>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</si>
  <si>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</si>
  <si>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</si>
  <si>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</si>
  <si>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</si>
  <si>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</si>
  <si>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</si>
  <si>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</si>
  <si>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</si>
  <si>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</si>
  <si>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</si>
  <si>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</si>
  <si>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</si>
  <si>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</si>
  <si>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</si>
  <si>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</si>
  <si>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</si>
  <si>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</si>
  <si>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</si>
  <si>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</si>
  <si>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</si>
  <si>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</si>
  <si>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</si>
  <si>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</si>
  <si>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</si>
  <si>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</si>
  <si>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</si>
  <si>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</si>
  <si>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</si>
  <si>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</si>
  <si>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</si>
  <si>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</si>
  <si>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</si>
  <si>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</si>
  <si>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</si>
  <si>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</si>
  <si>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</si>
  <si>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</si>
  <si>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</si>
  <si>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</si>
  <si>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</si>
  <si>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</si>
  <si>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</si>
  <si>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</si>
  <si>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</si>
  <si>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</si>
  <si>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</si>
  <si>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</si>
  <si>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</si>
  <si>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</si>
  <si>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</si>
  <si>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</si>
  <si>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</si>
  <si>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</si>
  <si>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</si>
  <si>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</si>
  <si>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</si>
  <si>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</si>
  <si>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</si>
  <si>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</si>
  <si>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</si>
  <si>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</si>
  <si>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</si>
  <si>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</si>
  <si>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</si>
  <si>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</si>
  <si>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</si>
  <si>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</si>
  <si>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</si>
  <si>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</si>
  <si>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</si>
  <si>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</si>
  <si>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</si>
  <si>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</si>
  <si>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</si>
  <si>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</si>
  <si>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</si>
  <si>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</si>
  <si>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</si>
  <si>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</si>
  <si>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</si>
  <si>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</si>
  <si>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</si>
  <si>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</si>
  <si>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</si>
  <si>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</si>
  <si>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</si>
  <si>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</si>
  <si>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</si>
  <si>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</si>
  <si>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</si>
  <si>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Prestwick Development Company</t>
  </si>
  <si>
    <t>3715 Northside Parkway Bldg 200 Ste 175</t>
  </si>
  <si>
    <t>jody@prestwickcompanies.com</t>
  </si>
  <si>
    <t>Wiley A. Tucker, III</t>
  </si>
  <si>
    <t>Manager</t>
  </si>
  <si>
    <t>edrick@prestwickcompanies.com</t>
  </si>
  <si>
    <t>Edrick Harris</t>
  </si>
  <si>
    <t>SVP - Partner</t>
  </si>
  <si>
    <t>N/a</t>
  </si>
  <si>
    <t>N/A - 4% Bond</t>
  </si>
  <si>
    <t>Yes - see Comment</t>
  </si>
  <si>
    <t>3715 Northside Pkwy Bldg 200 Ste 175</t>
  </si>
  <si>
    <t>For Profit</t>
  </si>
  <si>
    <t>Prestwick Development Company, LLC</t>
  </si>
  <si>
    <t>3715 Northside Pkwy, Bldg 200, Ste 175</t>
  </si>
  <si>
    <t>www.prestwickcompanies.com</t>
  </si>
  <si>
    <t>Prestwick Construction Company, LLC</t>
  </si>
  <si>
    <t>3715 Northside Pkwy, Bldg 400, Ste 120</t>
  </si>
  <si>
    <t>ray@prestwickcompanies.com</t>
  </si>
  <si>
    <t>Ray Dotson</t>
  </si>
  <si>
    <t>President</t>
  </si>
  <si>
    <t>Elmington Property Management</t>
  </si>
  <si>
    <t>118 16th Ave S #200</t>
  </si>
  <si>
    <t>www.oneelmington.com</t>
  </si>
  <si>
    <t>bcather@elmingtonpm.com</t>
  </si>
  <si>
    <t>Brad Cather</t>
  </si>
  <si>
    <t>Vice President</t>
  </si>
  <si>
    <t>Arnall Golden Gregory</t>
  </si>
  <si>
    <t>171 17th Street</t>
  </si>
  <si>
    <t>www.agg.com</t>
  </si>
  <si>
    <t>jeff.adams@agg.com</t>
  </si>
  <si>
    <t>Jeff Adams</t>
  </si>
  <si>
    <t>Partner</t>
  </si>
  <si>
    <t>Cohn Reznick</t>
  </si>
  <si>
    <t>2560 Lenox Road, Suite 2800</t>
  </si>
  <si>
    <t>www.cohnreznick.com</t>
  </si>
  <si>
    <t>julie.mcnulty@cohnreznick.com</t>
  </si>
  <si>
    <t>Julie McNulty</t>
  </si>
  <si>
    <t>Geheber Lewis Associates LLC</t>
  </si>
  <si>
    <t>643 11th Street</t>
  </si>
  <si>
    <t>fgeheber@glaatl.com</t>
  </si>
  <si>
    <t>glaatl.com</t>
  </si>
  <si>
    <t>Fred Geheber</t>
  </si>
  <si>
    <t>Some of the members of the Developer entity, Prestwick Development, LLC are also members of Prestwick Construction Company, LLC.</t>
  </si>
  <si>
    <t xml:space="preserve">Some members of Prestwick Development Company, LLC are also members of both the GP entity and members of Prestwick Construction Company, the contractor </t>
  </si>
  <si>
    <t xml:space="preserve">Some members of Prestwick Development Company, LLC are also members of both the GP entity and members of Prestwick Construction Company, LLC, the contractor for the project.  </t>
  </si>
  <si>
    <t>Somersby</t>
  </si>
  <si>
    <t>5391 W. Fayetteville Road</t>
  </si>
  <si>
    <t>Within City Limits</t>
  </si>
  <si>
    <t>402.03</t>
  </si>
  <si>
    <t>collegeparkga.com</t>
  </si>
  <si>
    <t>City of College Park</t>
  </si>
  <si>
    <t>Bianca Motley Broom</t>
  </si>
  <si>
    <t>Mayor</t>
  </si>
  <si>
    <t>3667 Main Street</t>
  </si>
  <si>
    <t>bmotleybroom@collegeparkga.com</t>
  </si>
  <si>
    <t>Business and Industrial Development Authority of College Park. 3667 Main Street</t>
  </si>
  <si>
    <t>Tasha Hall Garrison</t>
  </si>
  <si>
    <t>Economic Development Program Manager</t>
  </si>
  <si>
    <t>tgarrison@collegeparkga.com</t>
  </si>
  <si>
    <t>https://www.collegeparkga.com/departments/economic_development/business___industrial_development_authority</t>
  </si>
  <si>
    <t xml:space="preserve">The applicant had to increase the density from 240 to 244 units from the time of pre-application to the full application.
Applicant is choosing to extend its right a qualified contract for five years, in compliance with the Bond Threshold. </t>
  </si>
  <si>
    <t>Somersby Family I, LP</t>
  </si>
  <si>
    <t>Somersby Family I GP, LLC</t>
  </si>
  <si>
    <t>Truist Community Capital</t>
  </si>
  <si>
    <t>1155 Peachtree Street NE Suite 300</t>
  </si>
  <si>
    <t>Brian Womble</t>
  </si>
  <si>
    <t>Senior Vice President</t>
  </si>
  <si>
    <t>www.truist.com</t>
  </si>
  <si>
    <t>brian.womble@suntrust.com</t>
  </si>
  <si>
    <t>Some of the members of the General Partner entity, Somersby Family I GP, LLC are also members of Prestwick Construction Company, LLC.</t>
  </si>
  <si>
    <t xml:space="preserve">Construction cost estimate is based off of our historical cost to deliver similar projects that are currently under construction.
Local government fees were confirmed by the local government and our construction management team. </t>
  </si>
  <si>
    <t>Agree</t>
  </si>
  <si>
    <t>Elmington Property Management will identify the needs of the community and provide social and recreational programming.</t>
  </si>
  <si>
    <t>Real Property Research Group</t>
  </si>
  <si>
    <t>11-12 months</t>
  </si>
  <si>
    <t>2004-517</t>
  </si>
  <si>
    <t>Brookside</t>
  </si>
  <si>
    <t>Bank OZK</t>
  </si>
  <si>
    <t>Bellwether Enterprise Freddie TEL</t>
  </si>
  <si>
    <t>Amortizing</t>
  </si>
  <si>
    <t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t>
  </si>
  <si>
    <t>Site Lighting</t>
  </si>
  <si>
    <t>Commitment and Standby Fee</t>
  </si>
  <si>
    <t>Radon Testing</t>
  </si>
  <si>
    <t>DDA/QCT</t>
  </si>
  <si>
    <t>HUD Utility Model</t>
  </si>
  <si>
    <t>3+ Story</t>
  </si>
  <si>
    <t>Electric Heat Pump</t>
  </si>
  <si>
    <t>The HUD Utility Schedule Model is an allowed utility allowance for a Tax Credit Building per Threshold Section 1 Feasibility, Subsection 7 Operating Utility Allowance.</t>
  </si>
  <si>
    <t>Benefits, Payroll Taxes, W/C</t>
  </si>
  <si>
    <t>Other Admin, Software Costs, Compliance Fees</t>
  </si>
  <si>
    <t>Credit Reports</t>
  </si>
  <si>
    <t>See Tab 1 of the LIHTC application for a full explanation of insurance and real estate tax estimates.   As per discussion with the tax office, the income approach to value is to be used and an 5.75% cap rate was applied to the projected NOI to establish appraised value.  Insurance estimates were provided by our insurance company.</t>
  </si>
  <si>
    <t>Construction cost estimate is based off of our historical cost to deliver similar projects that are currenlty under construction. $15,000 is excluded from basis to pay for the commercial component at the property.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t>
  </si>
  <si>
    <t>Fee required for construction of site lighting.</t>
  </si>
  <si>
    <t>100% of the work is related to construction work.</t>
  </si>
  <si>
    <t>Radon testing is a requirement of our investors</t>
  </si>
  <si>
    <t>100% of the work is related to construction.</t>
  </si>
  <si>
    <t>Commitment and Standy Fees are a requirement of Freddie Mac. This is not included in basis.</t>
  </si>
  <si>
    <t>First Year tax and insurance reserve is a requirement of our investors.</t>
  </si>
  <si>
    <t>This item is not in basis.</t>
  </si>
  <si>
    <t>The Project Cost Limit is $51,930,500 and the proposed property is below cost limits.</t>
  </si>
  <si>
    <t>This development is a family development.</t>
  </si>
  <si>
    <t>The development will include 244 units. The overall market has a very healthy occupancy of 98.6% and an overall capture rate of 5.2%. There has only been one LIHTC development funded in the Primary Market Area in DCA's history.</t>
  </si>
  <si>
    <t>Brian Neukam, Novogradac &amp; Company LLC</t>
  </si>
  <si>
    <t>The appraisal has been provided by Novogradac &amp; Company LLC with a land value of $3,200,000 as of October 12, 2020, supporting the value. There is no identity of interest between the buyer and seller. The appraisal meets USPAP standards.</t>
  </si>
  <si>
    <t>Geotechnical &amp; Environmental Consulting, Inc.</t>
  </si>
  <si>
    <t>The Phase I Environmental reported only Noise concerns. A Noise Attenuation Plan has been submitted that meets the QAP requirements.</t>
  </si>
  <si>
    <t>Purchase Contract</t>
  </si>
  <si>
    <t>Prestwick Land Holdings, LLC</t>
  </si>
  <si>
    <t xml:space="preserve">The entity with site control has the authority to assign the contract to Somersby Family I, LP. </t>
  </si>
  <si>
    <t>N/Ap</t>
  </si>
  <si>
    <t>The site entrance is legally accessible by paved roads.</t>
  </si>
  <si>
    <t>The site is zoned for its intended use.</t>
  </si>
  <si>
    <t>College Park Power</t>
  </si>
  <si>
    <t>The proposed development will be 100% electric. No gas.</t>
  </si>
  <si>
    <t>Clayton County Water Authority</t>
  </si>
  <si>
    <t>There is currently water and sewer available at the site.</t>
  </si>
  <si>
    <t>Room</t>
  </si>
  <si>
    <t>Gazebo</t>
  </si>
  <si>
    <t>Yes - W&amp;D hookups installed in each unit</t>
  </si>
  <si>
    <t>On-site laundry</t>
  </si>
  <si>
    <t>None of the proposed amenities requires a waiver.</t>
  </si>
  <si>
    <t>This is not a rehab development.</t>
  </si>
  <si>
    <t>The CSDP and supplemental documents meet the requirements above.</t>
  </si>
  <si>
    <t>The development will receive an Earthcraft Multifamily Certification.</t>
  </si>
  <si>
    <t>Teresa Kitay at Law</t>
  </si>
  <si>
    <t>The development will comply with the above standards.</t>
  </si>
  <si>
    <t>The development will comply with the above standards</t>
  </si>
  <si>
    <t>Applicant was deemed qualified on its pre-application determination request.</t>
  </si>
  <si>
    <t>The compliance history summary was submitted at pre-application in the Performance Workbook.</t>
  </si>
  <si>
    <t>No legal opinions are required.</t>
  </si>
  <si>
    <t>The site is currently undeveloped and vacant.</t>
  </si>
  <si>
    <t>The Applicant agrees to submit a marketing plan for AFFH.</t>
  </si>
  <si>
    <t>Disagree</t>
  </si>
  <si>
    <t>The development does not have a rental assistance contract for all units, and is willing to accept the full utilization of the 10% of units.</t>
  </si>
  <si>
    <t>The development is an effective, efficient, and lawful allocation and utilization of the Housing Credit Program.</t>
  </si>
  <si>
    <t>Prestwick will develop a market quality product consistent with Brightstone and Gateway Capitol View located in College Park in Clayton County. The family development  (64 one bedroom, 120 two bedroom, and 60 three bedroom units). 
All units will be located in multiple 3 story walkup buildings. The buildings' attractive, modern exteriors will consist of brick or stone complemented by hardi-plank façade providing maximum architectural appeal.  For the enjoyment and convenience of all residents, central common areas will include a community room, fitness center, business center with computer stations, wellness room, community garden, playground, interior gathering areas and a laundry room. We will also offer an outdoor gazebo/picnic area and other green space.  Resident activities will be ongoing and designed to meet the needs of the changing community.  
Also one of the major attributes of the new development is it’s location.  Somersby is located near the airport which is a major job center for the area, and is next door to the Northcutt Elementary and North Clayton Middle Schools. There is also a SunTrust Bank and a grocery store across the street. The development is also 0.26 miles from a local bus stop.</t>
  </si>
  <si>
    <t>85-3897847</t>
  </si>
  <si>
    <t>2019PA-552</t>
  </si>
  <si>
    <t>The debt service payments do not deviate from the amount shown the Souces of Funds tab. The development meets Threshold Feasibility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</si>
</sst>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Somersby</v>
      </c>
    </row>
    <row r="3" spans="1:6" ht="15" customHeight="1">
      <c r="A3" s="983" t="str">
        <f>CONCATENATE('Part I-Project Information'!F38,", ", 'Part I-Project Information'!J39," County")</f>
        <v>College Park, Fulton County</v>
      </c>
    </row>
    <row r="4" spans="1:6" ht="12" customHeight="1">
      <c r="A4" s="2330"/>
    </row>
    <row r="5" spans="1:6" ht="72" customHeight="1">
      <c r="A5" s="2880" t="s">
        <v>5351</v>
      </c>
      <c r="B5" s="2881" t="s">
        <v>5048</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O12" sqref="O12:P12"/>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1" t="str">
        <f>CONCATENATE("PART ONE - PROJECT INFORMATION"," - ",$O$6," ",$F$34,", ",'Part I-Project Information'!F38,", ",'Part I-Project Information'!J39," County")</f>
        <v>PART ONE - PROJECT INFORMATION - 2019-5 Somersby, College Park, Fulton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4460</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4869</v>
      </c>
      <c r="L5" s="1001"/>
      <c r="P5" s="1306" t="s">
        <v>5206</v>
      </c>
    </row>
    <row r="6" spans="1:16" s="325" customFormat="1" ht="12" customHeight="1" thickBot="1">
      <c r="B6" s="3046" t="s">
        <v>5207</v>
      </c>
      <c r="C6" s="3046"/>
      <c r="D6" s="3046"/>
      <c r="E6" s="1601"/>
      <c r="F6" s="328"/>
      <c r="G6" s="301" t="s">
        <v>4868</v>
      </c>
      <c r="H6" s="1243"/>
      <c r="I6" s="1243"/>
      <c r="J6" s="1243"/>
      <c r="O6" s="3034" t="s">
        <v>5210</v>
      </c>
      <c r="P6" s="3035"/>
    </row>
    <row r="7" spans="1:16" s="325" customFormat="1" ht="12" customHeight="1">
      <c r="B7" s="3046"/>
      <c r="C7" s="3046"/>
      <c r="D7" s="3046"/>
      <c r="E7" s="1601"/>
      <c r="F7" s="602"/>
      <c r="G7" s="192" t="s">
        <v>3318</v>
      </c>
      <c r="H7" s="1243"/>
      <c r="I7" s="1243"/>
      <c r="J7" s="1243"/>
    </row>
    <row r="8" spans="1:16" s="325" customFormat="1" ht="6" customHeight="1">
      <c r="A8" s="545"/>
      <c r="B8" s="3046"/>
      <c r="C8" s="3046"/>
      <c r="D8" s="3046"/>
      <c r="E8" s="1243"/>
      <c r="H8" s="1243"/>
      <c r="I8" s="1243"/>
      <c r="M8" s="1243"/>
    </row>
    <row r="9" spans="1:16" s="325" customFormat="1" ht="13.35" customHeight="1">
      <c r="A9" s="327" t="s">
        <v>616</v>
      </c>
      <c r="B9" s="327" t="s">
        <v>2375</v>
      </c>
      <c r="D9" s="302"/>
      <c r="E9" s="329"/>
      <c r="F9" s="330" t="s">
        <v>3797</v>
      </c>
      <c r="I9" s="3036">
        <f>'Part IV-A-Uses of Funds'!$J$175</f>
        <v>1731867</v>
      </c>
      <c r="J9" s="3037"/>
      <c r="L9" s="325" t="s">
        <v>3798</v>
      </c>
      <c r="O9" s="3038">
        <f>'Part III-Sources of Funds'!$H$5</f>
        <v>0</v>
      </c>
      <c r="P9" s="3039"/>
    </row>
    <row r="10" spans="1:16" s="325" customFormat="1" ht="6" customHeight="1">
      <c r="A10" s="327"/>
      <c r="B10" s="327"/>
      <c r="D10" s="302"/>
      <c r="E10" s="329"/>
      <c r="F10" s="329"/>
      <c r="I10" s="331"/>
      <c r="N10" s="332"/>
    </row>
    <row r="11" spans="1:16" s="325" customFormat="1" ht="13.35" customHeight="1">
      <c r="A11" s="331" t="s">
        <v>740</v>
      </c>
      <c r="B11" s="327" t="s">
        <v>2040</v>
      </c>
      <c r="F11" s="2982" t="s">
        <v>5212</v>
      </c>
      <c r="G11" s="2983"/>
      <c r="H11" s="2984"/>
      <c r="I11" s="1108" t="s">
        <v>3714</v>
      </c>
      <c r="J11" s="573" t="s">
        <v>5071</v>
      </c>
      <c r="K11" s="337"/>
      <c r="L11" s="1243"/>
      <c r="O11" s="3040" t="s">
        <v>5353</v>
      </c>
      <c r="P11" s="3041"/>
    </row>
    <row r="12" spans="1:16" s="325" customFormat="1" ht="12.75" customHeight="1">
      <c r="A12" s="545"/>
      <c r="B12" s="2650"/>
      <c r="C12" s="2650"/>
      <c r="D12" s="2650"/>
      <c r="E12" s="2650"/>
      <c r="H12" s="1243"/>
      <c r="J12" s="1527" t="s">
        <v>5050</v>
      </c>
      <c r="K12" s="299"/>
      <c r="M12" s="1243"/>
      <c r="O12" s="3047" t="s">
        <v>5223</v>
      </c>
      <c r="P12" s="3048"/>
    </row>
    <row r="13" spans="1:16" s="325" customFormat="1" ht="3" customHeight="1">
      <c r="A13" s="545"/>
      <c r="B13" s="2650"/>
      <c r="C13" s="2650"/>
      <c r="D13" s="2650"/>
      <c r="E13" s="2650"/>
      <c r="H13" s="1243"/>
      <c r="J13" s="574"/>
      <c r="K13" s="299"/>
      <c r="M13" s="1243"/>
    </row>
    <row r="14" spans="1:16" s="325" customFormat="1" ht="12.75" customHeight="1">
      <c r="A14" s="545"/>
      <c r="B14" s="2650" t="s">
        <v>5051</v>
      </c>
      <c r="C14" s="2650"/>
      <c r="D14" s="2650"/>
      <c r="E14" s="2650"/>
      <c r="F14" s="342" t="s">
        <v>2993</v>
      </c>
      <c r="G14" s="2619" t="s">
        <v>5052</v>
      </c>
      <c r="N14" s="2982" t="s">
        <v>5053</v>
      </c>
      <c r="O14" s="2983"/>
      <c r="P14" s="2984"/>
    </row>
    <row r="15" spans="1:16" s="325" customFormat="1" ht="12.75" customHeight="1">
      <c r="A15" s="545"/>
      <c r="B15" s="325" t="s">
        <v>3870</v>
      </c>
      <c r="D15" s="337"/>
      <c r="F15" s="2968"/>
      <c r="G15" s="2985"/>
      <c r="H15" s="2985"/>
      <c r="I15" s="2985"/>
      <c r="J15" s="2985"/>
      <c r="K15" s="2986"/>
      <c r="L15" s="325" t="s">
        <v>5038</v>
      </c>
      <c r="O15" s="2987"/>
      <c r="P15" s="2988"/>
    </row>
    <row r="16" spans="1:16" s="325" customFormat="1" ht="12.75" customHeight="1">
      <c r="A16" s="545"/>
      <c r="B16" s="325" t="s">
        <v>3796</v>
      </c>
      <c r="F16" s="342" t="s">
        <v>2993</v>
      </c>
      <c r="G16" s="325" t="s">
        <v>5039</v>
      </c>
      <c r="H16" s="1243"/>
      <c r="I16" s="192"/>
      <c r="J16" s="574"/>
      <c r="N16" s="2990" t="s">
        <v>2886</v>
      </c>
      <c r="O16" s="2991"/>
      <c r="P16" s="2992"/>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3879</v>
      </c>
      <c r="F20" s="2902" t="s">
        <v>5213</v>
      </c>
      <c r="G20" s="2903"/>
      <c r="H20" s="2904"/>
      <c r="I20" s="325" t="s">
        <v>1797</v>
      </c>
      <c r="J20" s="2902" t="s">
        <v>5216</v>
      </c>
      <c r="K20" s="2903"/>
      <c r="L20" s="2904"/>
      <c r="M20" s="365" t="s">
        <v>1980</v>
      </c>
      <c r="N20" s="2987" t="s">
        <v>5217</v>
      </c>
      <c r="O20" s="2999"/>
      <c r="P20" s="2988"/>
    </row>
    <row r="21" spans="1:16" s="325" customFormat="1" ht="13.35" customHeight="1">
      <c r="B21" s="330" t="s">
        <v>1981</v>
      </c>
      <c r="F21" s="2970" t="s">
        <v>5214</v>
      </c>
      <c r="G21" s="2910"/>
      <c r="H21" s="2910"/>
      <c r="I21" s="2971"/>
      <c r="J21" s="2910"/>
      <c r="K21" s="2971"/>
      <c r="L21" s="2939"/>
      <c r="M21" s="3042" t="s">
        <v>3878</v>
      </c>
      <c r="N21" s="3043"/>
      <c r="O21" s="3043"/>
      <c r="P21" s="3043"/>
    </row>
    <row r="22" spans="1:16" s="325" customFormat="1" ht="13.35" customHeight="1">
      <c r="B22" s="330" t="s">
        <v>618</v>
      </c>
      <c r="F22" s="2970" t="s">
        <v>1205</v>
      </c>
      <c r="G22" s="2910"/>
      <c r="H22" s="2972"/>
      <c r="I22" s="330" t="s">
        <v>1799</v>
      </c>
      <c r="J22" s="1315" t="s">
        <v>848</v>
      </c>
      <c r="M22" s="3042"/>
      <c r="N22" s="3042"/>
      <c r="O22" s="3042"/>
      <c r="P22" s="3042"/>
    </row>
    <row r="23" spans="1:16" s="325" customFormat="1" ht="13.35" customHeight="1">
      <c r="B23" s="1331" t="s">
        <v>2229</v>
      </c>
      <c r="F23" s="3020">
        <v>303272800</v>
      </c>
      <c r="G23" s="3044"/>
      <c r="H23" s="3021"/>
      <c r="I23" s="330" t="s">
        <v>1720</v>
      </c>
      <c r="J23" s="2989">
        <v>4049493871</v>
      </c>
      <c r="K23" s="2901"/>
      <c r="L23" s="1231" t="s">
        <v>1719</v>
      </c>
      <c r="M23" s="963"/>
      <c r="N23" s="1228" t="s">
        <v>1721</v>
      </c>
      <c r="O23" s="2899">
        <v>4049493871</v>
      </c>
      <c r="P23" s="2901"/>
    </row>
    <row r="24" spans="1:16" s="325" customFormat="1" ht="13.35" customHeight="1">
      <c r="B24" s="1331" t="s">
        <v>1984</v>
      </c>
      <c r="F24" s="2907" t="s">
        <v>5215</v>
      </c>
      <c r="G24" s="2908"/>
      <c r="H24" s="2908"/>
      <c r="I24" s="2999"/>
      <c r="J24" s="2908"/>
      <c r="K24" s="2909"/>
      <c r="N24" s="1228" t="s">
        <v>1979</v>
      </c>
      <c r="O24" s="2964">
        <v>4049663824</v>
      </c>
      <c r="P24" s="2966"/>
    </row>
    <row r="25" spans="1:16" s="325" customFormat="1" ht="13.5" customHeight="1">
      <c r="A25" s="545"/>
      <c r="B25" s="327" t="s">
        <v>4479</v>
      </c>
      <c r="C25" s="335"/>
      <c r="D25" s="1238"/>
      <c r="E25" s="1238"/>
      <c r="F25" s="1238"/>
      <c r="H25" s="1243"/>
      <c r="I25" s="1238"/>
      <c r="J25" s="335"/>
      <c r="K25" s="1238"/>
      <c r="P25" s="336"/>
    </row>
    <row r="26" spans="1:16" s="325" customFormat="1" ht="13.35" customHeight="1">
      <c r="B26" s="325" t="s">
        <v>3879</v>
      </c>
      <c r="F26" s="2902" t="s">
        <v>5213</v>
      </c>
      <c r="G26" s="2903"/>
      <c r="H26" s="2904"/>
      <c r="I26" s="325" t="s">
        <v>1797</v>
      </c>
      <c r="J26" s="2902" t="s">
        <v>5219</v>
      </c>
      <c r="K26" s="2903"/>
      <c r="L26" s="2904"/>
      <c r="M26" s="365" t="s">
        <v>1980</v>
      </c>
      <c r="N26" s="2987" t="s">
        <v>5220</v>
      </c>
      <c r="O26" s="2999"/>
      <c r="P26" s="2988"/>
    </row>
    <row r="27" spans="1:16" s="325" customFormat="1" ht="13.35" customHeight="1">
      <c r="B27" s="330" t="s">
        <v>1981</v>
      </c>
      <c r="F27" s="2970" t="s">
        <v>5214</v>
      </c>
      <c r="G27" s="2910"/>
      <c r="H27" s="2910"/>
      <c r="I27" s="2971"/>
      <c r="J27" s="2910"/>
      <c r="K27" s="2971"/>
      <c r="L27" s="2939"/>
      <c r="M27" s="3042" t="s">
        <v>3878</v>
      </c>
      <c r="N27" s="3043"/>
      <c r="O27" s="3043"/>
      <c r="P27" s="3043"/>
    </row>
    <row r="28" spans="1:16" s="325" customFormat="1" ht="13.35" customHeight="1">
      <c r="B28" s="330" t="s">
        <v>618</v>
      </c>
      <c r="F28" s="2970" t="s">
        <v>1205</v>
      </c>
      <c r="G28" s="2910"/>
      <c r="H28" s="2972"/>
      <c r="I28" s="330" t="s">
        <v>1799</v>
      </c>
      <c r="J28" s="1315" t="s">
        <v>848</v>
      </c>
      <c r="M28" s="3042"/>
      <c r="N28" s="3042"/>
      <c r="O28" s="3042"/>
      <c r="P28" s="3042"/>
    </row>
    <row r="29" spans="1:16" s="325" customFormat="1" ht="13.35" customHeight="1">
      <c r="B29" s="1414" t="s">
        <v>2229</v>
      </c>
      <c r="F29" s="3020">
        <v>303272800</v>
      </c>
      <c r="G29" s="3044"/>
      <c r="H29" s="3021"/>
      <c r="I29" s="330" t="s">
        <v>1720</v>
      </c>
      <c r="J29" s="2989">
        <v>6787050738</v>
      </c>
      <c r="K29" s="2901"/>
      <c r="L29" s="1415" t="s">
        <v>1719</v>
      </c>
      <c r="M29" s="963"/>
      <c r="N29" s="1414" t="s">
        <v>1721</v>
      </c>
      <c r="O29" s="2899">
        <v>6787050738</v>
      </c>
      <c r="P29" s="2901"/>
    </row>
    <row r="30" spans="1:16" s="325" customFormat="1" ht="13.35" customHeight="1">
      <c r="B30" s="1414" t="s">
        <v>1984</v>
      </c>
      <c r="F30" s="2907" t="s">
        <v>5218</v>
      </c>
      <c r="G30" s="2908"/>
      <c r="H30" s="2908"/>
      <c r="I30" s="2999"/>
      <c r="J30" s="2908"/>
      <c r="K30" s="2909"/>
      <c r="N30" s="1414" t="s">
        <v>1979</v>
      </c>
      <c r="O30" s="2964">
        <v>4043177597</v>
      </c>
      <c r="P30" s="2966"/>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4" t="s">
        <v>5259</v>
      </c>
      <c r="G34" s="3025"/>
      <c r="H34" s="3025"/>
      <c r="I34" s="3025"/>
      <c r="J34" s="3025"/>
      <c r="K34" s="3026"/>
      <c r="L34" s="1228" t="s">
        <v>2192</v>
      </c>
      <c r="O34" s="2902" t="s">
        <v>2993</v>
      </c>
      <c r="P34" s="2904"/>
    </row>
    <row r="35" spans="1:16" s="325" customFormat="1" ht="13.35" customHeight="1">
      <c r="A35" s="338"/>
      <c r="B35" s="325" t="s">
        <v>2699</v>
      </c>
      <c r="D35" s="339"/>
      <c r="F35" s="2896" t="s">
        <v>5260</v>
      </c>
      <c r="G35" s="2897"/>
      <c r="H35" s="2897"/>
      <c r="I35" s="2897"/>
      <c r="J35" s="2897"/>
      <c r="K35" s="2898"/>
      <c r="L35" s="325" t="s">
        <v>3682</v>
      </c>
      <c r="O35" s="2938"/>
      <c r="P35" s="2972"/>
    </row>
    <row r="36" spans="1:16" s="325" customFormat="1" ht="13.35" customHeight="1">
      <c r="A36" s="338"/>
      <c r="B36" s="325" t="s">
        <v>2734</v>
      </c>
      <c r="D36" s="339"/>
      <c r="F36" s="2938"/>
      <c r="G36" s="2910"/>
      <c r="H36" s="2910"/>
      <c r="I36" s="2971"/>
      <c r="J36" s="2910"/>
      <c r="K36" s="2972"/>
      <c r="L36" s="1228" t="s">
        <v>2050</v>
      </c>
      <c r="N36" s="963" t="s">
        <v>2993</v>
      </c>
      <c r="O36" s="1243" t="s">
        <v>3681</v>
      </c>
      <c r="P36" s="1352"/>
    </row>
    <row r="37" spans="1:16" s="325" customFormat="1" ht="13.35" customHeight="1">
      <c r="A37" s="338"/>
      <c r="B37" s="325" t="s">
        <v>3735</v>
      </c>
      <c r="D37" s="339"/>
      <c r="F37" s="325" t="s">
        <v>3716</v>
      </c>
      <c r="G37" s="3018">
        <v>33.608725999999997</v>
      </c>
      <c r="H37" s="3019"/>
      <c r="I37" s="1231" t="s">
        <v>3717</v>
      </c>
      <c r="J37" s="3018">
        <v>-84.446800999999994</v>
      </c>
      <c r="K37" s="3019"/>
      <c r="L37" s="1228" t="s">
        <v>2283</v>
      </c>
      <c r="O37" s="3027">
        <v>7.76</v>
      </c>
      <c r="P37" s="3028"/>
    </row>
    <row r="38" spans="1:16" s="325" customFormat="1" ht="13.35" customHeight="1">
      <c r="A38" s="545"/>
      <c r="B38" s="325" t="s">
        <v>618</v>
      </c>
      <c r="F38" s="2902" t="s">
        <v>1234</v>
      </c>
      <c r="G38" s="3029"/>
      <c r="H38" s="3030"/>
      <c r="I38" s="344" t="s">
        <v>2700</v>
      </c>
      <c r="J38" s="3020">
        <v>303495405</v>
      </c>
      <c r="K38" s="3021"/>
      <c r="L38" s="421" t="str">
        <f>IF(AND(NOT(F34=""),NOT(F38="Select from list"),J38=""),"Enter Zip!","")</f>
        <v/>
      </c>
      <c r="M38" s="341" t="s">
        <v>2906</v>
      </c>
      <c r="O38" s="3022" t="s">
        <v>5262</v>
      </c>
      <c r="P38" s="3023"/>
    </row>
    <row r="39" spans="1:16" s="325" customFormat="1" ht="13.35" customHeight="1">
      <c r="A39" s="545"/>
      <c r="B39" s="1238" t="s">
        <v>3568</v>
      </c>
      <c r="D39" s="1238"/>
      <c r="F39" s="2938" t="s">
        <v>5261</v>
      </c>
      <c r="G39" s="2971"/>
      <c r="H39" s="2939"/>
      <c r="I39" s="340" t="s">
        <v>619</v>
      </c>
      <c r="J39" s="3055" t="str">
        <f>IF(F38="","",VLOOKUP(F38,'DCA Underwriting Assumptions'!$T$158:$U$786,2,FALSE))</f>
        <v>Fulton</v>
      </c>
      <c r="K39" s="3056"/>
      <c r="M39" s="1228" t="s">
        <v>451</v>
      </c>
      <c r="N39" s="1607" t="s">
        <v>2990</v>
      </c>
      <c r="O39" s="1243" t="s">
        <v>452</v>
      </c>
      <c r="P39" s="1353" t="s">
        <v>2993</v>
      </c>
    </row>
    <row r="40" spans="1:16" s="325" customFormat="1" ht="13.35" customHeight="1">
      <c r="A40" s="545"/>
      <c r="B40" s="327"/>
      <c r="C40" s="325" t="s">
        <v>1558</v>
      </c>
      <c r="F40" s="575" t="s">
        <v>2993</v>
      </c>
      <c r="G40" s="3057" t="s">
        <v>2781</v>
      </c>
      <c r="H40" s="3058"/>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59" t="str">
        <f>IF($F$38="","",VLOOKUP($J$39,'DCA Underwriting Assumptions'!$G$158:$L$317,3,FALSE))</f>
        <v>Atlanta-Sandy Springs-Marietta</v>
      </c>
      <c r="P40" s="3060"/>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1" t="s">
        <v>2762</v>
      </c>
      <c r="G42" s="3061"/>
      <c r="H42" s="3062" t="s">
        <v>736</v>
      </c>
      <c r="I42" s="3062"/>
      <c r="J42" s="3062" t="s">
        <v>737</v>
      </c>
      <c r="K42" s="3062"/>
      <c r="L42" s="566" t="s">
        <v>4943</v>
      </c>
    </row>
    <row r="43" spans="1:16" s="325" customFormat="1" ht="13.35" customHeight="1">
      <c r="A43" s="545"/>
      <c r="B43" s="325" t="s">
        <v>2761</v>
      </c>
      <c r="D43" s="327"/>
      <c r="F43" s="3049">
        <v>5</v>
      </c>
      <c r="G43" s="3050"/>
      <c r="H43" s="3049">
        <v>34</v>
      </c>
      <c r="I43" s="3050"/>
      <c r="J43" s="3049">
        <v>60</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2760</v>
      </c>
      <c r="N44" s="3054" t="s">
        <v>2759</v>
      </c>
      <c r="O44" s="3054"/>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5" t="s">
        <v>5264</v>
      </c>
      <c r="G46" s="2996"/>
      <c r="H46" s="2996"/>
      <c r="I46" s="2997"/>
      <c r="J46" s="2996"/>
      <c r="K46" s="2998"/>
      <c r="L46" s="997" t="s">
        <v>2704</v>
      </c>
      <c r="M46" s="2987" t="s">
        <v>5263</v>
      </c>
      <c r="N46" s="2999"/>
      <c r="O46" s="2999"/>
      <c r="P46" s="2988"/>
    </row>
    <row r="47" spans="1:16" s="325" customFormat="1" ht="13.35" customHeight="1">
      <c r="A47" s="545"/>
      <c r="B47" s="325" t="s">
        <v>638</v>
      </c>
      <c r="F47" s="3000" t="s">
        <v>5265</v>
      </c>
      <c r="G47" s="3001"/>
      <c r="H47" s="3002"/>
      <c r="I47" s="1232" t="s">
        <v>1980</v>
      </c>
      <c r="J47" s="2896" t="s">
        <v>5266</v>
      </c>
      <c r="K47" s="2898"/>
      <c r="L47" s="997"/>
    </row>
    <row r="48" spans="1:16" s="325" customFormat="1" ht="13.35" customHeight="1">
      <c r="A48" s="545"/>
      <c r="B48" s="325" t="s">
        <v>1981</v>
      </c>
      <c r="F48" s="3003" t="s">
        <v>5267</v>
      </c>
      <c r="G48" s="3004"/>
      <c r="H48" s="3005"/>
      <c r="I48" s="2996"/>
      <c r="J48" s="3004"/>
      <c r="K48" s="3006"/>
      <c r="L48" s="366" t="s">
        <v>618</v>
      </c>
      <c r="M48" s="3007" t="s">
        <v>1234</v>
      </c>
      <c r="N48" s="3008"/>
      <c r="O48" s="3008"/>
      <c r="P48" s="3009"/>
    </row>
    <row r="49" spans="1:19" s="325" customFormat="1" ht="13.35" customHeight="1">
      <c r="A49" s="545"/>
      <c r="B49" s="1228" t="s">
        <v>2229</v>
      </c>
      <c r="F49" s="3010">
        <v>303372614</v>
      </c>
      <c r="G49" s="3011"/>
      <c r="H49" s="1231" t="s">
        <v>1982</v>
      </c>
      <c r="I49" s="3012">
        <v>4047671537</v>
      </c>
      <c r="J49" s="3013"/>
      <c r="K49" s="3014"/>
      <c r="L49" s="330" t="s">
        <v>1800</v>
      </c>
      <c r="M49" s="3015" t="s">
        <v>5268</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244</v>
      </c>
      <c r="K54" s="330" t="s">
        <v>3673</v>
      </c>
      <c r="L54" s="325"/>
      <c r="M54" s="1065" t="s">
        <v>3672</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c r="Q56" s="1243"/>
    </row>
    <row r="57" spans="1:19" s="325" customFormat="1" ht="3.6" customHeight="1">
      <c r="A57" s="545"/>
      <c r="P57" s="1238"/>
    </row>
    <row r="58" spans="1:19" s="325" customFormat="1">
      <c r="A58" s="545"/>
      <c r="B58" s="545" t="s">
        <v>1985</v>
      </c>
      <c r="C58" s="327" t="s">
        <v>2296</v>
      </c>
      <c r="H58" s="334" t="s">
        <v>2990</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3564</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244</v>
      </c>
      <c r="I61" s="738">
        <f>SUM(I62:I68)</f>
        <v>0</v>
      </c>
      <c r="J61" s="545"/>
      <c r="K61" s="335" t="s">
        <v>2773</v>
      </c>
      <c r="M61" s="1238"/>
      <c r="N61" s="1238"/>
      <c r="O61" s="1238"/>
      <c r="P61" s="2326">
        <f>SUM(P62:P68)</f>
        <v>224252</v>
      </c>
    </row>
    <row r="62" spans="1:19" s="325" customFormat="1" ht="13.35" customHeight="1">
      <c r="A62" s="545"/>
      <c r="B62" s="2321"/>
      <c r="C62" s="335"/>
      <c r="D62" s="351" t="s">
        <v>4714</v>
      </c>
      <c r="E62" s="2322"/>
      <c r="H62" s="955">
        <f>'Part VI-Revenues &amp; Expenses'!$O$56</f>
        <v>24</v>
      </c>
      <c r="I62" s="955">
        <f>'Part VI-Revenues &amp; Expenses'!$O$81</f>
        <v>0</v>
      </c>
      <c r="J62" s="545"/>
      <c r="K62" s="335"/>
      <c r="L62" s="351" t="s">
        <v>4714</v>
      </c>
      <c r="M62" s="2322"/>
      <c r="N62" s="2322"/>
      <c r="O62" s="2322"/>
      <c r="P62" s="955">
        <f>'Part VI-Revenues &amp; Expenses'!$O$145</f>
        <v>22164</v>
      </c>
    </row>
    <row r="63" spans="1:19" s="325" customFormat="1" ht="13.35" customHeight="1">
      <c r="A63" s="545"/>
      <c r="B63" s="2321"/>
      <c r="C63" s="335"/>
      <c r="D63" s="351" t="s">
        <v>4715</v>
      </c>
      <c r="E63" s="2322"/>
      <c r="H63" s="2328">
        <f>'Part VI-Revenues &amp; Expenses'!$O$57</f>
        <v>0</v>
      </c>
      <c r="I63" s="2328">
        <f>'Part VI-Revenues &amp; Expenses'!$O$82</f>
        <v>0</v>
      </c>
      <c r="J63" s="545"/>
      <c r="K63" s="335"/>
      <c r="L63" s="351" t="s">
        <v>4715</v>
      </c>
      <c r="M63" s="2322"/>
      <c r="N63" s="2322"/>
      <c r="O63" s="2322"/>
      <c r="P63" s="2328">
        <f>'Part VI-Revenues &amp; Expenses'!$O$146</f>
        <v>0</v>
      </c>
    </row>
    <row r="64" spans="1:19" s="325" customFormat="1" ht="13.35" customHeight="1">
      <c r="A64" s="545"/>
      <c r="B64" s="346"/>
      <c r="D64" s="351" t="s">
        <v>4712</v>
      </c>
      <c r="E64" s="351"/>
      <c r="H64" s="2328">
        <f>'Part VI-Revenues &amp; Expenses'!$O$58</f>
        <v>172</v>
      </c>
      <c r="I64" s="2328">
        <f>'Part VI-Revenues &amp; Expenses'!$O$83</f>
        <v>0</v>
      </c>
      <c r="L64" s="351" t="s">
        <v>4712</v>
      </c>
      <c r="O64" s="2322"/>
      <c r="P64" s="2328">
        <f>'Part VI-Revenues &amp; Expenses'!$O$147</f>
        <v>157760</v>
      </c>
    </row>
    <row r="65" spans="1:16" s="325" customFormat="1" ht="13.35" customHeight="1">
      <c r="A65" s="545"/>
      <c r="D65" s="351" t="s">
        <v>4713</v>
      </c>
      <c r="E65" s="1238"/>
      <c r="H65" s="2328">
        <f>'Part VI-Revenues &amp; Expenses'!$O$59</f>
        <v>48</v>
      </c>
      <c r="I65" s="2328">
        <f>'Part VI-Revenues &amp; Expenses'!$O$84</f>
        <v>0</v>
      </c>
      <c r="L65" s="351" t="s">
        <v>4713</v>
      </c>
      <c r="O65" s="2322"/>
      <c r="P65" s="2328">
        <f>'Part VI-Revenues &amp; Expenses'!$O$148</f>
        <v>44328</v>
      </c>
    </row>
    <row r="66" spans="1:16" s="325" customFormat="1" ht="13.35" customHeight="1">
      <c r="A66" s="545"/>
      <c r="D66" s="351" t="s">
        <v>4716</v>
      </c>
      <c r="E66" s="351"/>
      <c r="H66" s="2328">
        <f>'Part VI-Revenues &amp; Expenses'!$O$60</f>
        <v>0</v>
      </c>
      <c r="I66" s="2328">
        <f>'Part VI-Revenues &amp; Expenses'!$O$85</f>
        <v>0</v>
      </c>
      <c r="L66" s="351" t="s">
        <v>4716</v>
      </c>
      <c r="O66" s="2322"/>
      <c r="P66" s="2328">
        <f>'Part VI-Revenues &amp; Expenses'!$O$149</f>
        <v>0</v>
      </c>
    </row>
    <row r="67" spans="1:16" s="325" customFormat="1" ht="13.35" customHeight="1">
      <c r="A67" s="545"/>
      <c r="D67" s="351" t="s">
        <v>4717</v>
      </c>
      <c r="E67" s="351"/>
      <c r="H67" s="2328">
        <f>'Part VI-Revenues &amp; Expenses'!$O$61</f>
        <v>0</v>
      </c>
      <c r="I67" s="2328">
        <f>'Part VI-Revenues &amp; Expenses'!$O$86</f>
        <v>0</v>
      </c>
      <c r="L67" s="351" t="s">
        <v>4717</v>
      </c>
      <c r="O67" s="2322"/>
      <c r="P67" s="2328">
        <f>'Part VI-Revenues &amp; Expenses'!$O$150</f>
        <v>0</v>
      </c>
    </row>
    <row r="68" spans="1:16" s="325" customFormat="1" ht="13.35" customHeight="1">
      <c r="A68" s="545"/>
      <c r="D68" s="351" t="s">
        <v>4718</v>
      </c>
      <c r="E68" s="351"/>
      <c r="H68" s="956">
        <f>'Part VI-Revenues &amp; Expenses'!$O$62</f>
        <v>0</v>
      </c>
      <c r="I68" s="956">
        <f>'Part VI-Revenues &amp; Expenses'!$O$87</f>
        <v>0</v>
      </c>
      <c r="L68" s="351" t="s">
        <v>4718</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244</v>
      </c>
      <c r="J70" s="545"/>
      <c r="K70" s="335" t="s">
        <v>2775</v>
      </c>
      <c r="M70" s="1238"/>
      <c r="N70" s="1238"/>
      <c r="O70" s="1238"/>
      <c r="P70" s="955">
        <f>P61+P69</f>
        <v>224252</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244</v>
      </c>
      <c r="J72" s="1238"/>
      <c r="K72" s="335" t="s">
        <v>1420</v>
      </c>
      <c r="M72" s="1238"/>
      <c r="N72" s="1238"/>
      <c r="O72" s="1238"/>
      <c r="P72" s="350">
        <f>+P70+P71</f>
        <v>224252</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9</v>
      </c>
      <c r="K74" s="335" t="s">
        <v>5030</v>
      </c>
      <c r="O74" s="1238"/>
      <c r="P74" s="352">
        <v>4500</v>
      </c>
    </row>
    <row r="75" spans="1:16" s="325" customFormat="1" ht="13.35" customHeight="1">
      <c r="A75" s="545"/>
      <c r="B75" s="545"/>
      <c r="D75" s="1233" t="s">
        <v>1997</v>
      </c>
      <c r="H75" s="1287">
        <v>0</v>
      </c>
      <c r="I75" s="1238"/>
      <c r="K75" s="335" t="s">
        <v>252</v>
      </c>
      <c r="O75" s="1238"/>
      <c r="P75" s="350">
        <f>+P72+P74</f>
        <v>228752</v>
      </c>
    </row>
    <row r="76" spans="1:16" s="325" customFormat="1" ht="13.35" customHeight="1">
      <c r="A76" s="545"/>
      <c r="B76" s="545"/>
      <c r="D76" s="1233" t="s">
        <v>1998</v>
      </c>
      <c r="H76" s="350">
        <f>+H74+H75</f>
        <v>9</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305</v>
      </c>
      <c r="K78" s="2911" t="s">
        <v>3853</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35"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93" t="s">
        <v>2911</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2" t="s">
        <v>4963</v>
      </c>
      <c r="L84" s="354" t="s">
        <v>2911</v>
      </c>
      <c r="M84" s="1286"/>
      <c r="N84" s="354" t="s">
        <v>2912</v>
      </c>
      <c r="O84" s="1286"/>
      <c r="P84" s="2557" t="s">
        <v>4962</v>
      </c>
    </row>
    <row r="85" spans="1:16" s="325" customFormat="1" ht="13.35" customHeight="1">
      <c r="A85" s="545"/>
      <c r="B85" s="545"/>
      <c r="D85" s="1228"/>
      <c r="E85" s="1229"/>
      <c r="J85" s="2559"/>
      <c r="K85" s="2882"/>
      <c r="L85" s="339" t="s">
        <v>2913</v>
      </c>
      <c r="M85" s="1287"/>
      <c r="N85" s="339" t="s">
        <v>3874</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13</v>
      </c>
      <c r="K87" s="2919" t="s">
        <v>520</v>
      </c>
      <c r="L87" s="2919"/>
      <c r="N87" s="355">
        <f>IF('Part VI-Revenues &amp; Expenses'!$O$67=0,0,H87/'Part VI-Revenues &amp; Expenses'!$O$67)</f>
        <v>5.3278688524590161E-2</v>
      </c>
      <c r="O87" s="339" t="s">
        <v>3695</v>
      </c>
      <c r="P87" s="1078">
        <f>'DCA Underwriting Assumptions'!$Q$139</f>
        <v>0.05</v>
      </c>
    </row>
    <row r="88" spans="1:16" s="325" customFormat="1" ht="12.75" customHeight="1">
      <c r="A88" s="545"/>
      <c r="B88" s="545"/>
      <c r="D88" s="1233" t="s">
        <v>2841</v>
      </c>
      <c r="E88" s="1233"/>
      <c r="F88" s="1233" t="s">
        <v>796</v>
      </c>
      <c r="H88" s="350">
        <f>'Part VIII-Threshold Criteria'!K307</f>
        <v>6</v>
      </c>
      <c r="K88" s="1238" t="s">
        <v>2842</v>
      </c>
      <c r="L88" s="1238"/>
      <c r="N88" s="355">
        <f>IF(H87=0,0,H88/H87)</f>
        <v>0.46153846153846156</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5</v>
      </c>
      <c r="K90" s="2919" t="s">
        <v>520</v>
      </c>
      <c r="L90" s="2919"/>
      <c r="N90" s="355">
        <f>IF('Part VI-Revenues &amp; Expenses'!$O$67=0,0,H90/'Part VI-Revenues &amp; Expenses'!$O$67)</f>
        <v>2.0491803278688523E-2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4870</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79" t="s">
        <v>4812</v>
      </c>
      <c r="L94" s="2981"/>
      <c r="M94" s="2980"/>
      <c r="N94" s="2556"/>
    </row>
    <row r="95" spans="1:16" s="325" customFormat="1" ht="1.5" customHeight="1">
      <c r="A95" s="545"/>
      <c r="B95" s="545"/>
      <c r="D95" s="1233"/>
      <c r="F95" s="1233"/>
      <c r="G95" s="1233"/>
      <c r="H95" s="547" t="s">
        <v>5135</v>
      </c>
      <c r="L95" s="2616"/>
      <c r="M95" s="2616"/>
    </row>
    <row r="96" spans="1:16" s="325" customFormat="1" ht="13.35" customHeight="1">
      <c r="B96" s="545" t="s">
        <v>1985</v>
      </c>
      <c r="C96" s="327" t="s">
        <v>1534</v>
      </c>
      <c r="K96" s="330" t="s">
        <v>4939</v>
      </c>
      <c r="N96" s="358"/>
      <c r="P96" s="2547" t="s">
        <v>5221</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3892</v>
      </c>
      <c r="P100" s="2492" t="s">
        <v>2993</v>
      </c>
    </row>
    <row r="101" spans="1:16" s="325" customFormat="1" ht="13.35" customHeight="1">
      <c r="A101" s="356"/>
      <c r="B101" s="545"/>
      <c r="C101" s="327"/>
      <c r="F101" s="2398" t="s">
        <v>3898</v>
      </c>
      <c r="H101" s="2493" t="s">
        <v>2993</v>
      </c>
      <c r="K101" s="2491" t="s">
        <v>4730</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79" t="s">
        <v>5222</v>
      </c>
      <c r="I105" s="2980"/>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2"/>
      <c r="F109" s="2903"/>
      <c r="G109" s="2903"/>
      <c r="H109" s="2903"/>
      <c r="I109" s="2903"/>
      <c r="J109" s="2903"/>
      <c r="K109" s="2903"/>
      <c r="L109" s="2904"/>
      <c r="M109" s="2969" t="s">
        <v>553</v>
      </c>
      <c r="N109" s="2969"/>
      <c r="O109" s="2926">
        <v>44147</v>
      </c>
      <c r="P109" s="2927"/>
    </row>
    <row r="110" spans="1:16" s="325" customFormat="1" ht="13.35" customHeight="1">
      <c r="C110" s="330" t="s">
        <v>1021</v>
      </c>
      <c r="D110" s="339"/>
      <c r="E110" s="2970" t="s">
        <v>5269</v>
      </c>
      <c r="F110" s="2910"/>
      <c r="G110" s="2910"/>
      <c r="H110" s="2971"/>
      <c r="I110" s="2910"/>
      <c r="J110" s="2971"/>
      <c r="K110" s="2910"/>
      <c r="L110" s="2972"/>
      <c r="M110" s="2969" t="s">
        <v>808</v>
      </c>
      <c r="N110" s="2969"/>
      <c r="O110" s="2973">
        <v>2019</v>
      </c>
      <c r="P110" s="2974"/>
    </row>
    <row r="111" spans="1:16" s="325" customFormat="1" ht="13.35" customHeight="1">
      <c r="C111" s="330" t="s">
        <v>618</v>
      </c>
      <c r="E111" s="2896" t="s">
        <v>1234</v>
      </c>
      <c r="F111" s="2956"/>
      <c r="G111" s="2957"/>
      <c r="H111" s="1231" t="s">
        <v>1799</v>
      </c>
      <c r="I111" s="1599" t="s">
        <v>848</v>
      </c>
      <c r="J111" s="359" t="s">
        <v>2229</v>
      </c>
      <c r="K111" s="2975">
        <v>303372614</v>
      </c>
      <c r="L111" s="2976"/>
      <c r="M111" s="302" t="s">
        <v>3663</v>
      </c>
      <c r="N111" s="302"/>
      <c r="O111" s="2977">
        <v>30000000</v>
      </c>
      <c r="P111" s="2978"/>
    </row>
    <row r="112" spans="1:16" s="325" customFormat="1" ht="13.35" customHeight="1">
      <c r="C112" s="325" t="s">
        <v>2194</v>
      </c>
      <c r="E112" s="2896" t="s">
        <v>5270</v>
      </c>
      <c r="F112" s="2956"/>
      <c r="G112" s="2957"/>
      <c r="H112" s="1124" t="s">
        <v>1980</v>
      </c>
      <c r="I112" s="2958" t="s">
        <v>5271</v>
      </c>
      <c r="J112" s="2959"/>
      <c r="K112" s="2960"/>
      <c r="L112" s="1251" t="s">
        <v>1984</v>
      </c>
      <c r="M112" s="2902" t="s">
        <v>5272</v>
      </c>
      <c r="N112" s="2961"/>
      <c r="O112" s="2962"/>
      <c r="P112" s="2963"/>
    </row>
    <row r="113" spans="1:16" s="325" customFormat="1" ht="13.35" customHeight="1">
      <c r="C113" s="330" t="s">
        <v>2193</v>
      </c>
      <c r="E113" s="2964">
        <v>4043052052</v>
      </c>
      <c r="F113" s="2965"/>
      <c r="G113" s="2966"/>
      <c r="H113" s="1124" t="s">
        <v>1802</v>
      </c>
      <c r="I113" s="2964">
        <v>4048313996</v>
      </c>
      <c r="J113" s="2967"/>
      <c r="K113" s="1231" t="s">
        <v>2704</v>
      </c>
      <c r="L113" s="2968" t="s">
        <v>5273</v>
      </c>
      <c r="M113" s="2891"/>
      <c r="N113" s="2891"/>
      <c r="O113" s="2891"/>
      <c r="P113" s="2892"/>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3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3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3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3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3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7" t="s">
        <v>1847</v>
      </c>
      <c r="D132" s="2947"/>
      <c r="E132" s="2947"/>
      <c r="F132" s="2947"/>
      <c r="G132" s="2947"/>
      <c r="H132" s="2947"/>
      <c r="I132" s="2947"/>
      <c r="J132" s="2947"/>
      <c r="K132" s="2947"/>
      <c r="L132" s="2947"/>
      <c r="M132" s="2947"/>
      <c r="N132" s="2947"/>
      <c r="O132" s="2947"/>
      <c r="P132" s="2947"/>
    </row>
    <row r="133" spans="1:16" s="325" customFormat="1" ht="13.3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3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3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3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3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3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4971</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902" t="s">
        <v>484</v>
      </c>
      <c r="P148" s="2904"/>
    </row>
    <row r="149" spans="1:16" s="325" customFormat="1" ht="13.35" customHeight="1">
      <c r="A149" s="545"/>
      <c r="B149" s="545"/>
      <c r="C149" s="1233" t="s">
        <v>2419</v>
      </c>
      <c r="F149" s="1243"/>
      <c r="I149" s="1319"/>
      <c r="K149" s="302" t="s">
        <v>2246</v>
      </c>
      <c r="O149" s="2938" t="s">
        <v>484</v>
      </c>
      <c r="P149" s="2939"/>
    </row>
    <row r="150" spans="1:16" s="325" customFormat="1" ht="13.35" customHeight="1">
      <c r="A150" s="545"/>
      <c r="B150" s="545"/>
      <c r="C150" s="1233" t="s">
        <v>2166</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5055</v>
      </c>
      <c r="F152" s="351"/>
      <c r="G152" s="351"/>
      <c r="I152" s="2651"/>
      <c r="K152" s="351" t="s">
        <v>5057</v>
      </c>
      <c r="L152" s="351"/>
      <c r="M152" s="351"/>
      <c r="O152" s="2432"/>
      <c r="P152" s="336"/>
    </row>
    <row r="153" spans="1:16" s="325" customFormat="1" ht="13.35" customHeight="1">
      <c r="A153" s="545"/>
      <c r="C153" s="2562"/>
      <c r="D153" s="2647"/>
      <c r="E153" s="351" t="s">
        <v>5056</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5054</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c r="N160" s="1238"/>
      <c r="O160" s="1238"/>
      <c r="P160" s="336"/>
    </row>
    <row r="161" spans="1:16" s="325" customFormat="1" ht="12.6" customHeight="1">
      <c r="A161" s="545"/>
      <c r="B161" s="545"/>
      <c r="C161" s="2911" t="s">
        <v>4973</v>
      </c>
      <c r="D161" s="2911"/>
      <c r="E161" s="2911"/>
      <c r="F161" s="2911"/>
      <c r="G161" s="325" t="s">
        <v>4783</v>
      </c>
      <c r="I161" s="1318"/>
      <c r="K161" s="2417" t="s">
        <v>1795</v>
      </c>
      <c r="P161" s="2429">
        <f>IF('Part VI-Revenues &amp; Expenses'!$O$65=0,0,I161/'Part VI-Revenues &amp; Expenses'!$O$65)</f>
        <v>0</v>
      </c>
    </row>
    <row r="162" spans="1:16" s="325" customFormat="1" ht="12.6" customHeight="1">
      <c r="A162" s="545"/>
      <c r="B162" s="545"/>
      <c r="C162" s="2911"/>
      <c r="D162" s="2911"/>
      <c r="E162" s="2911"/>
      <c r="F162" s="2911"/>
      <c r="G162" s="325" t="s">
        <v>4782</v>
      </c>
      <c r="I162" s="1318"/>
      <c r="K162" s="2417" t="s">
        <v>1795</v>
      </c>
      <c r="O162" s="2418"/>
      <c r="P162" s="2430">
        <f>IF('Part VI-Revenues &amp; Expenses'!$O$65=0,0,I162/'Part VI-Revenues &amp; Expenses'!$O$65)</f>
        <v>0</v>
      </c>
    </row>
    <row r="163" spans="1:16" s="325" customFormat="1" ht="12" customHeight="1">
      <c r="A163" s="545"/>
      <c r="B163" s="545"/>
      <c r="C163" s="2417" t="s">
        <v>4784</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2"/>
      <c r="E165" s="2903"/>
      <c r="F165" s="2903"/>
      <c r="G165" s="2903"/>
      <c r="H165" s="2904"/>
      <c r="I165" s="330" t="s">
        <v>4728</v>
      </c>
      <c r="N165" s="2899"/>
      <c r="O165" s="2900"/>
      <c r="P165" s="2901"/>
    </row>
    <row r="166" spans="1:16" s="325" customFormat="1" ht="12.6" customHeight="1">
      <c r="A166" s="545"/>
      <c r="B166" s="545"/>
      <c r="C166" s="330" t="s">
        <v>4729</v>
      </c>
      <c r="D166" s="2896"/>
      <c r="E166" s="2897"/>
      <c r="F166" s="2910"/>
      <c r="G166" s="2897"/>
      <c r="H166" s="2898"/>
      <c r="I166" s="2394" t="s">
        <v>1797</v>
      </c>
      <c r="J166" s="2902"/>
      <c r="K166" s="2903"/>
      <c r="L166" s="2904"/>
      <c r="M166" s="2397" t="s">
        <v>1980</v>
      </c>
      <c r="N166" s="2896"/>
      <c r="O166" s="2897"/>
      <c r="P166" s="2898"/>
    </row>
    <row r="167" spans="1:16" s="325" customFormat="1" ht="12.6" customHeight="1">
      <c r="A167" s="545"/>
      <c r="B167" s="545"/>
      <c r="C167" s="330" t="s">
        <v>618</v>
      </c>
      <c r="D167" s="2896"/>
      <c r="E167" s="2898"/>
      <c r="F167" s="2395" t="s">
        <v>2229</v>
      </c>
      <c r="G167" s="2905"/>
      <c r="H167" s="2906"/>
      <c r="I167" s="365" t="s">
        <v>1802</v>
      </c>
      <c r="J167" s="2893"/>
      <c r="K167" s="2894"/>
      <c r="L167" s="2895"/>
      <c r="M167" s="2396" t="s">
        <v>1979</v>
      </c>
      <c r="N167" s="2893"/>
      <c r="O167" s="2894"/>
      <c r="P167" s="2895"/>
    </row>
    <row r="168" spans="1:16" s="325" customFormat="1" ht="12.6" customHeight="1">
      <c r="A168" s="545"/>
      <c r="B168" s="545"/>
      <c r="C168" s="325" t="s">
        <v>2704</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4785</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c r="J171" s="2883" t="s">
        <v>761</v>
      </c>
      <c r="K171" s="2884"/>
      <c r="L171" s="2598"/>
      <c r="M171" s="2885" t="s">
        <v>2326</v>
      </c>
      <c r="N171" s="2886"/>
      <c r="O171" s="2887"/>
      <c r="P171" s="2671"/>
    </row>
    <row r="172" spans="1:16" s="325" customFormat="1" ht="12.6" customHeight="1">
      <c r="A172" s="545"/>
      <c r="B172" s="545"/>
      <c r="C172" s="299" t="s">
        <v>2703</v>
      </c>
      <c r="D172" s="299"/>
      <c r="E172" s="299"/>
      <c r="F172" s="299"/>
      <c r="G172" s="299"/>
      <c r="I172" s="2653" t="s">
        <v>2990</v>
      </c>
      <c r="J172" s="2883" t="s">
        <v>761</v>
      </c>
      <c r="K172" s="2884"/>
      <c r="L172" s="2653">
        <v>2042</v>
      </c>
      <c r="M172" s="2885" t="s">
        <v>2326</v>
      </c>
      <c r="N172" s="2886"/>
      <c r="O172" s="2887"/>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2888" t="s">
        <v>1978</v>
      </c>
      <c r="D176" s="2888"/>
      <c r="E176" s="2888"/>
      <c r="F176" s="2888"/>
      <c r="G176" s="299"/>
      <c r="I176" s="334"/>
      <c r="J176" s="369" t="s">
        <v>2753</v>
      </c>
      <c r="L176" s="2889" t="s">
        <v>3701</v>
      </c>
      <c r="M176" s="2889"/>
      <c r="N176" s="299"/>
      <c r="O176" s="299"/>
      <c r="P176" s="1286"/>
    </row>
    <row r="177" spans="1:16" s="325" customFormat="1" ht="12.6" customHeight="1">
      <c r="B177" s="545"/>
      <c r="L177" s="2919" t="s">
        <v>797</v>
      </c>
      <c r="M177" s="2919"/>
      <c r="N177" s="1229"/>
      <c r="O177" s="1229"/>
      <c r="P177" s="1287"/>
    </row>
    <row r="178" spans="1:16" s="325" customFormat="1" ht="12.6" customHeight="1">
      <c r="A178" s="545"/>
      <c r="B178" s="545"/>
      <c r="L178" s="2919" t="s">
        <v>1791</v>
      </c>
      <c r="M178" s="2919"/>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2920"/>
      <c r="O182" s="2921"/>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2922"/>
      <c r="P184" s="2923"/>
    </row>
    <row r="185" spans="1:16" s="325" customFormat="1" ht="12.6" customHeight="1">
      <c r="A185" s="545"/>
      <c r="B185" s="545"/>
      <c r="C185" s="1238" t="s">
        <v>2903</v>
      </c>
      <c r="I185" s="1320" t="s">
        <v>2993</v>
      </c>
      <c r="J185" s="369" t="s">
        <v>2754</v>
      </c>
      <c r="O185" s="2924"/>
      <c r="P185" s="292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6"/>
      <c r="I188" s="2927"/>
      <c r="N188" s="1238"/>
      <c r="O188" s="1238"/>
      <c r="P188" s="336"/>
    </row>
    <row r="189" spans="1:16" s="325" customFormat="1" ht="12.6" customHeight="1">
      <c r="A189" s="545"/>
      <c r="B189" s="545"/>
      <c r="C189" s="330" t="s">
        <v>276</v>
      </c>
      <c r="D189" s="1233"/>
      <c r="E189" s="1233"/>
      <c r="F189" s="1243"/>
      <c r="G189" s="1243"/>
      <c r="H189" s="2934"/>
      <c r="I189" s="2935"/>
      <c r="N189" s="1238"/>
      <c r="O189" s="1238"/>
      <c r="P189" s="336"/>
    </row>
    <row r="190" spans="1:16" s="325" customFormat="1" ht="12.6" customHeight="1">
      <c r="A190" s="545"/>
      <c r="B190" s="545"/>
      <c r="C190" s="330" t="s">
        <v>2295</v>
      </c>
      <c r="D190" s="1233"/>
      <c r="E190" s="1233"/>
      <c r="F190" s="1243"/>
      <c r="G190" s="1243"/>
      <c r="H190" s="2936">
        <v>44910</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8" t="s">
        <v>5274</v>
      </c>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L8" sqref="L8"/>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47" t="str">
        <f>CONCATENATE("PART TWO - DEVELOPMENT TEAM INFORMATION","  -  ",'Part I-Project Information'!$O$6," ",'Part I-Project Information'!$F$34,", ",'Part I-Project Information'!F38,", ",'Part I-Project Information'!J39," County")</f>
        <v>PART TWO - DEVELOPMENT TEAM INFORMATION  -  2019-5 Somersby, College Park, Fulton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4459</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4256</v>
      </c>
      <c r="O3" s="3150" t="str">
        <f>'Part I-Project Information'!$B$6</f>
        <v>May 2019 Final</v>
      </c>
      <c r="P3" s="3151"/>
      <c r="Q3" s="3151"/>
      <c r="R3" s="3151"/>
      <c r="S3" s="3152"/>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0" t="s">
        <v>5275</v>
      </c>
      <c r="I5" s="3133"/>
      <c r="J5" s="3133"/>
      <c r="K5" s="3133"/>
      <c r="L5" s="3133"/>
      <c r="M5" s="3133"/>
      <c r="N5" s="3134"/>
      <c r="O5" s="372" t="s">
        <v>1989</v>
      </c>
      <c r="P5" s="372"/>
      <c r="Q5" s="3130" t="s">
        <v>5216</v>
      </c>
      <c r="R5" s="3133"/>
      <c r="S5" s="3134"/>
      <c r="Y5" s="1271"/>
      <c r="Z5" s="1272"/>
      <c r="AA5" s="1267"/>
    </row>
    <row r="6" spans="1:27" s="325" customFormat="1" ht="11.25" customHeight="1">
      <c r="D6" s="373"/>
      <c r="E6" s="330" t="s">
        <v>1021</v>
      </c>
      <c r="F6" s="339"/>
      <c r="H6" s="2970" t="s">
        <v>5224</v>
      </c>
      <c r="I6" s="3142"/>
      <c r="J6" s="3142"/>
      <c r="K6" s="3143"/>
      <c r="L6" s="3142"/>
      <c r="M6" s="3142"/>
      <c r="N6" s="3144"/>
      <c r="O6" s="372" t="s">
        <v>1747</v>
      </c>
      <c r="P6" s="374"/>
      <c r="Q6" s="2896" t="s">
        <v>5217</v>
      </c>
      <c r="R6" s="2956"/>
      <c r="S6" s="2957"/>
      <c r="V6" s="1271"/>
      <c r="W6" s="1271"/>
      <c r="X6" s="1271"/>
      <c r="Y6" s="1271"/>
      <c r="Z6" s="1272"/>
      <c r="AA6" s="1267"/>
    </row>
    <row r="7" spans="1:27" s="325" customFormat="1" ht="11.25" customHeight="1">
      <c r="D7" s="373"/>
      <c r="E7" s="330" t="s">
        <v>618</v>
      </c>
      <c r="H7" s="2970" t="s">
        <v>1205</v>
      </c>
      <c r="I7" s="3143"/>
      <c r="J7" s="2976"/>
      <c r="K7" s="475" t="s">
        <v>762</v>
      </c>
      <c r="L7" s="2938" t="s">
        <v>5352</v>
      </c>
      <c r="M7" s="3142"/>
      <c r="N7" s="3144"/>
      <c r="O7" s="372" t="s">
        <v>1721</v>
      </c>
      <c r="P7" s="374"/>
      <c r="Q7" s="2893">
        <v>4049493871</v>
      </c>
      <c r="R7" s="2894"/>
      <c r="S7" s="2895"/>
    </row>
    <row r="8" spans="1:27" s="325" customFormat="1" ht="11.25" customHeight="1">
      <c r="D8" s="373"/>
      <c r="E8" s="330" t="s">
        <v>1799</v>
      </c>
      <c r="H8" s="1599" t="s">
        <v>848</v>
      </c>
      <c r="I8" s="1000" t="s">
        <v>2229</v>
      </c>
      <c r="J8" s="3153">
        <v>303272800</v>
      </c>
      <c r="K8" s="3154"/>
      <c r="L8" s="374" t="s">
        <v>3687</v>
      </c>
      <c r="M8" s="3155" t="s">
        <v>5225</v>
      </c>
      <c r="N8" s="3156"/>
      <c r="O8" s="372" t="s">
        <v>1979</v>
      </c>
      <c r="P8" s="374"/>
      <c r="Q8" s="2893">
        <v>4049663824</v>
      </c>
      <c r="R8" s="2894"/>
      <c r="S8" s="2895"/>
    </row>
    <row r="9" spans="1:27" s="325" customFormat="1" ht="11.25" customHeight="1">
      <c r="D9" s="373"/>
      <c r="E9" s="330" t="s">
        <v>4257</v>
      </c>
      <c r="H9" s="3128">
        <v>4049493871</v>
      </c>
      <c r="I9" s="3157"/>
      <c r="J9" s="1070"/>
      <c r="K9" s="375" t="s">
        <v>1984</v>
      </c>
      <c r="L9" s="2968" t="s">
        <v>5215</v>
      </c>
      <c r="M9" s="2891"/>
      <c r="N9" s="2891"/>
      <c r="O9" s="2985"/>
      <c r="P9" s="2985"/>
      <c r="Q9" s="2891"/>
      <c r="R9" s="2891"/>
      <c r="S9" s="2892"/>
    </row>
    <row r="10" spans="1:27" s="325" customFormat="1" ht="11.25" customHeight="1">
      <c r="D10" s="373"/>
      <c r="E10" s="1586"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0" t="s">
        <v>5276</v>
      </c>
      <c r="I14" s="3133"/>
      <c r="J14" s="3133"/>
      <c r="K14" s="3133"/>
      <c r="L14" s="3133"/>
      <c r="M14" s="3133"/>
      <c r="N14" s="3134"/>
      <c r="O14" s="372" t="s">
        <v>1989</v>
      </c>
      <c r="P14" s="372"/>
      <c r="Q14" s="3130" t="s">
        <v>5216</v>
      </c>
      <c r="R14" s="3133"/>
      <c r="S14" s="3134"/>
    </row>
    <row r="15" spans="1:27" s="325" customFormat="1" ht="11.25" customHeight="1">
      <c r="D15" s="373"/>
      <c r="E15" s="330" t="s">
        <v>1021</v>
      </c>
      <c r="F15" s="339"/>
      <c r="H15" s="2970" t="s">
        <v>5224</v>
      </c>
      <c r="I15" s="3142"/>
      <c r="J15" s="3142"/>
      <c r="K15" s="3143"/>
      <c r="L15" s="3142"/>
      <c r="M15" s="3142"/>
      <c r="N15" s="3144"/>
      <c r="O15" s="372" t="s">
        <v>1747</v>
      </c>
      <c r="P15" s="374"/>
      <c r="Q15" s="2896" t="s">
        <v>5217</v>
      </c>
      <c r="R15" s="2956"/>
      <c r="S15" s="2957"/>
    </row>
    <row r="16" spans="1:27" s="325" customFormat="1" ht="11.25" customHeight="1">
      <c r="D16" s="373"/>
      <c r="E16" s="330" t="s">
        <v>618</v>
      </c>
      <c r="H16" s="2970" t="s">
        <v>1205</v>
      </c>
      <c r="I16" s="3143"/>
      <c r="J16" s="2976"/>
      <c r="K16" s="576" t="s">
        <v>2704</v>
      </c>
      <c r="L16" s="2970" t="s">
        <v>970</v>
      </c>
      <c r="M16" s="3142"/>
      <c r="N16" s="2976"/>
      <c r="O16" s="372" t="s">
        <v>1721</v>
      </c>
      <c r="P16" s="374"/>
      <c r="Q16" s="2893">
        <v>4049493871</v>
      </c>
      <c r="R16" s="2894"/>
      <c r="S16" s="2895"/>
    </row>
    <row r="17" spans="3:19" s="325" customFormat="1" ht="11.25" customHeight="1">
      <c r="D17" s="327"/>
      <c r="E17" s="330" t="s">
        <v>1799</v>
      </c>
      <c r="H17" s="1599" t="s">
        <v>848</v>
      </c>
      <c r="I17" s="374"/>
      <c r="J17" s="374"/>
      <c r="K17" s="1000" t="s">
        <v>2229</v>
      </c>
      <c r="L17" s="3020">
        <v>303272800</v>
      </c>
      <c r="M17" s="3145"/>
      <c r="N17" s="374"/>
      <c r="O17" s="372" t="s">
        <v>1979</v>
      </c>
      <c r="P17" s="374"/>
      <c r="Q17" s="2893">
        <v>4049663824</v>
      </c>
      <c r="R17" s="2894"/>
      <c r="S17" s="2895"/>
    </row>
    <row r="18" spans="3:19" s="325" customFormat="1" ht="11.25" customHeight="1">
      <c r="D18" s="373"/>
      <c r="E18" s="330" t="s">
        <v>4257</v>
      </c>
      <c r="H18" s="3128">
        <v>4049493871</v>
      </c>
      <c r="I18" s="3129"/>
      <c r="J18" s="357"/>
      <c r="K18" s="375" t="s">
        <v>1984</v>
      </c>
      <c r="L18" s="2890" t="s">
        <v>5215</v>
      </c>
      <c r="M18" s="2891"/>
      <c r="N18" s="2985"/>
      <c r="O18" s="2985"/>
      <c r="P18" s="2985"/>
      <c r="Q18" s="2891"/>
      <c r="R18" s="2891"/>
      <c r="S18" s="2892"/>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0"/>
      <c r="I20" s="3133"/>
      <c r="J20" s="3133"/>
      <c r="K20" s="3133"/>
      <c r="L20" s="3133"/>
      <c r="M20" s="3133"/>
      <c r="N20" s="3134"/>
      <c r="O20" s="372" t="s">
        <v>1989</v>
      </c>
      <c r="P20" s="372"/>
      <c r="Q20" s="3130"/>
      <c r="R20" s="3133"/>
      <c r="S20" s="3134"/>
    </row>
    <row r="21" spans="3:19" s="325" customFormat="1" ht="11.25" customHeight="1">
      <c r="D21" s="373"/>
      <c r="E21" s="330" t="s">
        <v>1021</v>
      </c>
      <c r="F21" s="339"/>
      <c r="H21" s="2970"/>
      <c r="I21" s="3142"/>
      <c r="J21" s="3142"/>
      <c r="K21" s="3143"/>
      <c r="L21" s="3142"/>
      <c r="M21" s="3142"/>
      <c r="N21" s="3144"/>
      <c r="O21" s="372" t="s">
        <v>1747</v>
      </c>
      <c r="P21" s="374"/>
      <c r="Q21" s="2896"/>
      <c r="R21" s="2956"/>
      <c r="S21" s="2957"/>
    </row>
    <row r="22" spans="3:19" s="325" customFormat="1" ht="11.25" customHeight="1">
      <c r="D22" s="373"/>
      <c r="E22" s="330" t="s">
        <v>618</v>
      </c>
      <c r="H22" s="2970"/>
      <c r="I22" s="3143"/>
      <c r="J22" s="2976"/>
      <c r="K22" s="576" t="s">
        <v>2704</v>
      </c>
      <c r="L22" s="2970"/>
      <c r="M22" s="3142"/>
      <c r="N22" s="2976"/>
      <c r="O22" s="372" t="s">
        <v>1721</v>
      </c>
      <c r="P22" s="374"/>
      <c r="Q22" s="2893"/>
      <c r="R22" s="2894"/>
      <c r="S22" s="2895"/>
    </row>
    <row r="23" spans="3:19" s="325" customFormat="1" ht="11.25" customHeight="1">
      <c r="E23" s="330" t="s">
        <v>1799</v>
      </c>
      <c r="H23" s="1599"/>
      <c r="I23" s="374"/>
      <c r="J23" s="374"/>
      <c r="K23" s="1000" t="s">
        <v>2229</v>
      </c>
      <c r="L23" s="3020"/>
      <c r="M23" s="3145"/>
      <c r="N23" s="374"/>
      <c r="O23" s="372" t="s">
        <v>1979</v>
      </c>
      <c r="P23" s="374"/>
      <c r="Q23" s="2893"/>
      <c r="R23" s="2894"/>
      <c r="S23" s="2895"/>
    </row>
    <row r="24" spans="3:19" s="325" customFormat="1" ht="11.25" customHeight="1">
      <c r="D24" s="373"/>
      <c r="E24" s="330" t="s">
        <v>4257</v>
      </c>
      <c r="H24" s="3128"/>
      <c r="I24" s="3129"/>
      <c r="J24" s="357"/>
      <c r="K24" s="375" t="s">
        <v>1984</v>
      </c>
      <c r="L24" s="2890"/>
      <c r="M24" s="2891"/>
      <c r="N24" s="2985"/>
      <c r="O24" s="2985"/>
      <c r="P24" s="2985"/>
      <c r="Q24" s="2891"/>
      <c r="R24" s="2891"/>
      <c r="S24" s="2892"/>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0"/>
      <c r="I26" s="3133"/>
      <c r="J26" s="3133"/>
      <c r="K26" s="3133"/>
      <c r="L26" s="3133"/>
      <c r="M26" s="3133"/>
      <c r="N26" s="3134"/>
      <c r="O26" s="372" t="s">
        <v>1989</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2704</v>
      </c>
      <c r="L28" s="2970"/>
      <c r="M28" s="3142"/>
      <c r="N28" s="2976"/>
      <c r="O28" s="372" t="s">
        <v>1721</v>
      </c>
      <c r="P28" s="374"/>
      <c r="Q28" s="2893"/>
      <c r="R28" s="2894"/>
      <c r="S28" s="2895"/>
    </row>
    <row r="29" spans="3:19" s="325" customFormat="1" ht="11.25" customHeight="1">
      <c r="E29" s="330" t="s">
        <v>1799</v>
      </c>
      <c r="H29" s="1599"/>
      <c r="I29" s="374"/>
      <c r="J29" s="374"/>
      <c r="K29" s="1000" t="s">
        <v>2229</v>
      </c>
      <c r="L29" s="3020"/>
      <c r="M29" s="3145"/>
      <c r="N29" s="374"/>
      <c r="O29" s="372" t="s">
        <v>1979</v>
      </c>
      <c r="P29" s="374"/>
      <c r="Q29" s="2893"/>
      <c r="R29" s="2894"/>
      <c r="S29" s="2895"/>
    </row>
    <row r="30" spans="3:19" s="325" customFormat="1" ht="11.25" customHeight="1">
      <c r="D30" s="373"/>
      <c r="E30" s="330" t="s">
        <v>4257</v>
      </c>
      <c r="H30" s="3128"/>
      <c r="I30" s="3129"/>
      <c r="J30" s="357"/>
      <c r="K30" s="375" t="s">
        <v>1984</v>
      </c>
      <c r="L30" s="2890"/>
      <c r="M30" s="2891"/>
      <c r="N30" s="2985"/>
      <c r="O30" s="2985"/>
      <c r="P30" s="2985"/>
      <c r="Q30" s="2891"/>
      <c r="R30" s="2891"/>
      <c r="S30" s="2892"/>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4256</v>
      </c>
      <c r="L32" s="380"/>
      <c r="M32" s="380"/>
      <c r="N32" s="374"/>
      <c r="O32" s="374"/>
      <c r="P32" s="374"/>
      <c r="Q32" s="374"/>
      <c r="R32" s="374"/>
      <c r="S32" s="374"/>
    </row>
    <row r="33" spans="3:19" s="325" customFormat="1" ht="11.25" customHeight="1">
      <c r="D33" s="327" t="s">
        <v>2116</v>
      </c>
      <c r="E33" s="325" t="s">
        <v>750</v>
      </c>
      <c r="H33" s="3130" t="s">
        <v>5277</v>
      </c>
      <c r="I33" s="3133"/>
      <c r="J33" s="3133"/>
      <c r="K33" s="3133"/>
      <c r="L33" s="3133"/>
      <c r="M33" s="3133"/>
      <c r="N33" s="3134"/>
      <c r="O33" s="372" t="s">
        <v>1989</v>
      </c>
      <c r="P33" s="372"/>
      <c r="Q33" s="3130" t="s">
        <v>5279</v>
      </c>
      <c r="R33" s="3133"/>
      <c r="S33" s="3134"/>
    </row>
    <row r="34" spans="3:19" s="325" customFormat="1" ht="11.25" customHeight="1">
      <c r="D34" s="373"/>
      <c r="E34" s="330" t="s">
        <v>1021</v>
      </c>
      <c r="F34" s="339"/>
      <c r="H34" s="2970" t="s">
        <v>5278</v>
      </c>
      <c r="I34" s="3142"/>
      <c r="J34" s="3142"/>
      <c r="K34" s="3143"/>
      <c r="L34" s="3142"/>
      <c r="M34" s="3142"/>
      <c r="N34" s="3144"/>
      <c r="O34" s="372" t="s">
        <v>1747</v>
      </c>
      <c r="P34" s="374"/>
      <c r="Q34" s="2896" t="s">
        <v>5280</v>
      </c>
      <c r="R34" s="2956"/>
      <c r="S34" s="2957"/>
    </row>
    <row r="35" spans="3:19" s="325" customFormat="1" ht="11.25" customHeight="1">
      <c r="D35" s="373"/>
      <c r="E35" s="330" t="s">
        <v>618</v>
      </c>
      <c r="H35" s="2970" t="s">
        <v>1205</v>
      </c>
      <c r="I35" s="3143"/>
      <c r="J35" s="2976"/>
      <c r="K35" s="576" t="s">
        <v>2704</v>
      </c>
      <c r="L35" s="2970" t="s">
        <v>5281</v>
      </c>
      <c r="M35" s="3142"/>
      <c r="N35" s="2976"/>
      <c r="O35" s="372" t="s">
        <v>1721</v>
      </c>
      <c r="P35" s="374"/>
      <c r="Q35" s="2893">
        <v>4045888775</v>
      </c>
      <c r="R35" s="2894"/>
      <c r="S35" s="2895"/>
    </row>
    <row r="36" spans="3:19" s="325" customFormat="1" ht="11.25" customHeight="1">
      <c r="E36" s="330" t="s">
        <v>1799</v>
      </c>
      <c r="H36" s="1599" t="s">
        <v>848</v>
      </c>
      <c r="I36" s="374"/>
      <c r="J36" s="374"/>
      <c r="K36" s="1000" t="s">
        <v>2229</v>
      </c>
      <c r="L36" s="3020">
        <v>303097629</v>
      </c>
      <c r="M36" s="3145"/>
      <c r="N36" s="374"/>
      <c r="O36" s="372" t="s">
        <v>1979</v>
      </c>
      <c r="P36" s="374"/>
      <c r="Q36" s="2893">
        <v>7706390087</v>
      </c>
      <c r="R36" s="2894"/>
      <c r="S36" s="2895"/>
    </row>
    <row r="37" spans="3:19" s="325" customFormat="1" ht="11.25" customHeight="1">
      <c r="D37" s="373"/>
      <c r="E37" s="330" t="s">
        <v>4257</v>
      </c>
      <c r="H37" s="3128">
        <v>4045888775</v>
      </c>
      <c r="I37" s="3129"/>
      <c r="J37" s="357"/>
      <c r="K37" s="375" t="s">
        <v>1984</v>
      </c>
      <c r="L37" s="2890" t="s">
        <v>5282</v>
      </c>
      <c r="M37" s="2891"/>
      <c r="N37" s="2985"/>
      <c r="O37" s="2985"/>
      <c r="P37" s="2985"/>
      <c r="Q37" s="2891"/>
      <c r="R37" s="2891"/>
      <c r="S37" s="2892"/>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0" t="s">
        <v>5277</v>
      </c>
      <c r="I39" s="3133"/>
      <c r="J39" s="3133"/>
      <c r="K39" s="3133"/>
      <c r="L39" s="3133"/>
      <c r="M39" s="3133"/>
      <c r="N39" s="3134"/>
      <c r="O39" s="372" t="s">
        <v>1989</v>
      </c>
      <c r="P39" s="372"/>
      <c r="Q39" s="3130" t="s">
        <v>5279</v>
      </c>
      <c r="R39" s="3133"/>
      <c r="S39" s="3134"/>
    </row>
    <row r="40" spans="3:19" s="325" customFormat="1" ht="11.25" customHeight="1">
      <c r="D40" s="373"/>
      <c r="E40" s="330" t="s">
        <v>1021</v>
      </c>
      <c r="F40" s="339"/>
      <c r="H40" s="2970" t="s">
        <v>5278</v>
      </c>
      <c r="I40" s="3142"/>
      <c r="J40" s="3142"/>
      <c r="K40" s="3143"/>
      <c r="L40" s="3142"/>
      <c r="M40" s="3142"/>
      <c r="N40" s="3144"/>
      <c r="O40" s="372" t="s">
        <v>1747</v>
      </c>
      <c r="P40" s="374"/>
      <c r="Q40" s="2896" t="s">
        <v>5280</v>
      </c>
      <c r="R40" s="2956"/>
      <c r="S40" s="2957"/>
    </row>
    <row r="41" spans="3:19" s="325" customFormat="1" ht="11.25" customHeight="1">
      <c r="D41" s="373"/>
      <c r="E41" s="330" t="s">
        <v>618</v>
      </c>
      <c r="H41" s="2970" t="s">
        <v>1205</v>
      </c>
      <c r="I41" s="3143"/>
      <c r="J41" s="2976"/>
      <c r="K41" s="576" t="s">
        <v>2704</v>
      </c>
      <c r="L41" s="2970" t="s">
        <v>5281</v>
      </c>
      <c r="M41" s="3142"/>
      <c r="N41" s="2976"/>
      <c r="O41" s="372" t="s">
        <v>1721</v>
      </c>
      <c r="P41" s="374"/>
      <c r="Q41" s="2893">
        <v>4045888775</v>
      </c>
      <c r="R41" s="2894"/>
      <c r="S41" s="2895"/>
    </row>
    <row r="42" spans="3:19" s="325" customFormat="1" ht="11.25" customHeight="1">
      <c r="D42" s="327"/>
      <c r="E42" s="330" t="s">
        <v>1799</v>
      </c>
      <c r="H42" s="1599" t="s">
        <v>848</v>
      </c>
      <c r="I42" s="374"/>
      <c r="J42" s="374"/>
      <c r="K42" s="1000" t="s">
        <v>2229</v>
      </c>
      <c r="L42" s="3020">
        <v>303097629</v>
      </c>
      <c r="M42" s="3145"/>
      <c r="N42" s="374"/>
      <c r="O42" s="372" t="s">
        <v>1979</v>
      </c>
      <c r="P42" s="374"/>
      <c r="Q42" s="2893">
        <v>7706390087</v>
      </c>
      <c r="R42" s="2894"/>
      <c r="S42" s="2895"/>
    </row>
    <row r="43" spans="3:19" s="325" customFormat="1" ht="11.25" customHeight="1">
      <c r="D43" s="373"/>
      <c r="E43" s="330" t="s">
        <v>4257</v>
      </c>
      <c r="H43" s="3128">
        <v>4045888775</v>
      </c>
      <c r="I43" s="3129"/>
      <c r="J43" s="357"/>
      <c r="K43" s="375" t="s">
        <v>1984</v>
      </c>
      <c r="L43" s="2890" t="s">
        <v>5282</v>
      </c>
      <c r="M43" s="2891"/>
      <c r="N43" s="2985"/>
      <c r="O43" s="2985"/>
      <c r="P43" s="2985"/>
      <c r="Q43" s="2891"/>
      <c r="R43" s="2891"/>
      <c r="S43" s="2892"/>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4256</v>
      </c>
      <c r="L45" s="380"/>
      <c r="M45" s="380"/>
      <c r="N45" s="374"/>
      <c r="O45" s="374"/>
      <c r="P45" s="374"/>
      <c r="Q45" s="374"/>
      <c r="R45" s="374"/>
      <c r="S45" s="374"/>
    </row>
    <row r="46" spans="3:19" s="325" customFormat="1" ht="11.25" customHeight="1">
      <c r="E46" s="325" t="s">
        <v>92</v>
      </c>
      <c r="H46" s="3130"/>
      <c r="I46" s="3133"/>
      <c r="J46" s="3133"/>
      <c r="K46" s="3133"/>
      <c r="L46" s="3133"/>
      <c r="M46" s="3133"/>
      <c r="N46" s="3134"/>
      <c r="O46" s="372" t="s">
        <v>1989</v>
      </c>
      <c r="P46" s="372"/>
      <c r="Q46" s="3130"/>
      <c r="R46" s="3133"/>
      <c r="S46" s="3134"/>
    </row>
    <row r="47" spans="3:19" s="325" customFormat="1" ht="11.25" customHeight="1">
      <c r="D47" s="373"/>
      <c r="E47" s="330" t="s">
        <v>1021</v>
      </c>
      <c r="F47" s="339"/>
      <c r="H47" s="2970"/>
      <c r="I47" s="3142"/>
      <c r="J47" s="3142"/>
      <c r="K47" s="3143"/>
      <c r="L47" s="3142"/>
      <c r="M47" s="3142"/>
      <c r="N47" s="3144"/>
      <c r="O47" s="372" t="s">
        <v>1747</v>
      </c>
      <c r="P47" s="374"/>
      <c r="Q47" s="2896"/>
      <c r="R47" s="2956"/>
      <c r="S47" s="2957"/>
    </row>
    <row r="48" spans="3:19" s="325" customFormat="1" ht="11.25" customHeight="1">
      <c r="D48" s="373"/>
      <c r="E48" s="330" t="s">
        <v>618</v>
      </c>
      <c r="H48" s="2970"/>
      <c r="I48" s="3143"/>
      <c r="J48" s="2976"/>
      <c r="K48" s="576" t="s">
        <v>2704</v>
      </c>
      <c r="L48" s="2970"/>
      <c r="M48" s="3142"/>
      <c r="N48" s="2976"/>
      <c r="O48" s="372" t="s">
        <v>1721</v>
      </c>
      <c r="P48" s="374"/>
      <c r="Q48" s="2893"/>
      <c r="R48" s="2894"/>
      <c r="S48" s="2895"/>
    </row>
    <row r="49" spans="1:19" s="325" customFormat="1" ht="11.25" customHeight="1">
      <c r="E49" s="330" t="s">
        <v>1799</v>
      </c>
      <c r="H49" s="1599"/>
      <c r="I49" s="374"/>
      <c r="J49" s="374"/>
      <c r="K49" s="1000" t="s">
        <v>2229</v>
      </c>
      <c r="L49" s="3020"/>
      <c r="M49" s="3145"/>
      <c r="N49" s="374"/>
      <c r="O49" s="372" t="s">
        <v>1979</v>
      </c>
      <c r="P49" s="374"/>
      <c r="Q49" s="2893"/>
      <c r="R49" s="2894"/>
      <c r="S49" s="2895"/>
    </row>
    <row r="50" spans="1:19" s="325" customFormat="1" ht="11.25" customHeight="1">
      <c r="D50" s="373"/>
      <c r="E50" s="330" t="s">
        <v>4257</v>
      </c>
      <c r="H50" s="3128"/>
      <c r="I50" s="3129"/>
      <c r="J50" s="357"/>
      <c r="K50" s="375" t="s">
        <v>1984</v>
      </c>
      <c r="L50" s="2890"/>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4256</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0" t="s">
        <v>5226</v>
      </c>
      <c r="I54" s="3133"/>
      <c r="J54" s="3133"/>
      <c r="K54" s="3133"/>
      <c r="L54" s="3133"/>
      <c r="M54" s="3133"/>
      <c r="N54" s="3134"/>
      <c r="O54" s="372" t="s">
        <v>1989</v>
      </c>
      <c r="P54" s="372"/>
      <c r="Q54" s="3130" t="s">
        <v>5216</v>
      </c>
      <c r="R54" s="3133"/>
      <c r="S54" s="3134"/>
    </row>
    <row r="55" spans="1:19" s="325" customFormat="1" ht="11.25" customHeight="1">
      <c r="D55" s="373"/>
      <c r="E55" s="330" t="s">
        <v>1021</v>
      </c>
      <c r="F55" s="339"/>
      <c r="H55" s="2970" t="s">
        <v>5227</v>
      </c>
      <c r="I55" s="3142"/>
      <c r="J55" s="3142"/>
      <c r="K55" s="3143"/>
      <c r="L55" s="3142"/>
      <c r="M55" s="3142"/>
      <c r="N55" s="3144"/>
      <c r="O55" s="372" t="s">
        <v>1747</v>
      </c>
      <c r="P55" s="374"/>
      <c r="Q55" s="2896" t="s">
        <v>5217</v>
      </c>
      <c r="R55" s="2956"/>
      <c r="S55" s="2957"/>
    </row>
    <row r="56" spans="1:19" s="325" customFormat="1" ht="11.25" customHeight="1">
      <c r="D56" s="373"/>
      <c r="E56" s="330" t="s">
        <v>618</v>
      </c>
      <c r="H56" s="2970" t="s">
        <v>1205</v>
      </c>
      <c r="I56" s="3143"/>
      <c r="J56" s="2976"/>
      <c r="K56" s="576" t="s">
        <v>2704</v>
      </c>
      <c r="L56" s="2970" t="s">
        <v>5228</v>
      </c>
      <c r="M56" s="3142"/>
      <c r="N56" s="2976"/>
      <c r="O56" s="372" t="s">
        <v>1721</v>
      </c>
      <c r="P56" s="374"/>
      <c r="Q56" s="2893">
        <v>4049493871</v>
      </c>
      <c r="R56" s="2894"/>
      <c r="S56" s="2895"/>
    </row>
    <row r="57" spans="1:19" s="325" customFormat="1" ht="11.25" customHeight="1">
      <c r="E57" s="330" t="s">
        <v>1799</v>
      </c>
      <c r="H57" s="1599" t="s">
        <v>848</v>
      </c>
      <c r="I57" s="374"/>
      <c r="J57" s="374"/>
      <c r="K57" s="1000" t="s">
        <v>2229</v>
      </c>
      <c r="L57" s="3020">
        <v>303272800</v>
      </c>
      <c r="M57" s="3145"/>
      <c r="N57" s="374"/>
      <c r="O57" s="372" t="s">
        <v>1979</v>
      </c>
      <c r="P57" s="374"/>
      <c r="Q57" s="2893">
        <v>4049663824</v>
      </c>
      <c r="R57" s="2894"/>
      <c r="S57" s="2895"/>
    </row>
    <row r="58" spans="1:19" s="325" customFormat="1" ht="11.25" customHeight="1">
      <c r="D58" s="373"/>
      <c r="E58" s="330" t="s">
        <v>4257</v>
      </c>
      <c r="H58" s="3128">
        <v>4049493871</v>
      </c>
      <c r="I58" s="3129"/>
      <c r="J58" s="357"/>
      <c r="K58" s="375" t="s">
        <v>1984</v>
      </c>
      <c r="L58" s="2890" t="s">
        <v>5215</v>
      </c>
      <c r="M58" s="2891"/>
      <c r="N58" s="2985"/>
      <c r="O58" s="2985"/>
      <c r="P58" s="2985"/>
      <c r="Q58" s="2891"/>
      <c r="R58" s="2891"/>
      <c r="S58" s="2892"/>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0"/>
      <c r="I60" s="3133"/>
      <c r="J60" s="3133"/>
      <c r="K60" s="3133"/>
      <c r="L60" s="3133"/>
      <c r="M60" s="3133"/>
      <c r="N60" s="3134"/>
      <c r="O60" s="372" t="s">
        <v>1989</v>
      </c>
      <c r="P60" s="372"/>
      <c r="Q60" s="3130"/>
      <c r="R60" s="3133"/>
      <c r="S60" s="3134"/>
    </row>
    <row r="61" spans="1:19" s="325" customFormat="1" ht="11.25" customHeight="1">
      <c r="D61" s="373"/>
      <c r="E61" s="330" t="s">
        <v>1021</v>
      </c>
      <c r="F61" s="339"/>
      <c r="H61" s="2970"/>
      <c r="I61" s="3142"/>
      <c r="J61" s="3142"/>
      <c r="K61" s="3143"/>
      <c r="L61" s="3142"/>
      <c r="M61" s="3142"/>
      <c r="N61" s="3144"/>
      <c r="O61" s="372" t="s">
        <v>1747</v>
      </c>
      <c r="P61" s="374"/>
      <c r="Q61" s="2896"/>
      <c r="R61" s="2956"/>
      <c r="S61" s="2957"/>
    </row>
    <row r="62" spans="1:19" s="325" customFormat="1" ht="11.25" customHeight="1">
      <c r="D62" s="373"/>
      <c r="E62" s="330" t="s">
        <v>618</v>
      </c>
      <c r="H62" s="2970"/>
      <c r="I62" s="3143"/>
      <c r="J62" s="2976"/>
      <c r="K62" s="576" t="s">
        <v>2704</v>
      </c>
      <c r="L62" s="2970"/>
      <c r="M62" s="3142"/>
      <c r="N62" s="2976"/>
      <c r="O62" s="372" t="s">
        <v>1721</v>
      </c>
      <c r="P62" s="374"/>
      <c r="Q62" s="2893"/>
      <c r="R62" s="2894"/>
      <c r="S62" s="2895"/>
    </row>
    <row r="63" spans="1:19" s="325" customFormat="1" ht="11.25" customHeight="1">
      <c r="E63" s="330" t="s">
        <v>1799</v>
      </c>
      <c r="H63" s="1599"/>
      <c r="I63" s="374"/>
      <c r="J63" s="374"/>
      <c r="K63" s="1000" t="s">
        <v>2229</v>
      </c>
      <c r="L63" s="3020"/>
      <c r="M63" s="3145"/>
      <c r="N63" s="374"/>
      <c r="O63" s="372" t="s">
        <v>1979</v>
      </c>
      <c r="P63" s="374"/>
      <c r="Q63" s="2893"/>
      <c r="R63" s="2894"/>
      <c r="S63" s="2895"/>
    </row>
    <row r="64" spans="1:19" s="325" customFormat="1" ht="11.25" customHeight="1">
      <c r="D64" s="373"/>
      <c r="E64" s="330" t="s">
        <v>4257</v>
      </c>
      <c r="H64" s="3128"/>
      <c r="I64" s="3129"/>
      <c r="J64" s="357"/>
      <c r="K64" s="375" t="s">
        <v>1984</v>
      </c>
      <c r="L64" s="2890"/>
      <c r="M64" s="2891"/>
      <c r="N64" s="2985"/>
      <c r="O64" s="2985"/>
      <c r="P64" s="2985"/>
      <c r="Q64" s="2891"/>
      <c r="R64" s="2891"/>
      <c r="S64" s="2892"/>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1989</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2704</v>
      </c>
      <c r="L68" s="2970"/>
      <c r="M68" s="3142"/>
      <c r="N68" s="2976"/>
      <c r="O68" s="372" t="s">
        <v>1721</v>
      </c>
      <c r="P68" s="374"/>
      <c r="Q68" s="2893"/>
      <c r="R68" s="2894"/>
      <c r="S68" s="2895"/>
    </row>
    <row r="69" spans="1:19" s="325" customFormat="1" ht="11.25" customHeight="1">
      <c r="E69" s="330" t="s">
        <v>1799</v>
      </c>
      <c r="H69" s="1599"/>
      <c r="I69" s="374"/>
      <c r="J69" s="374"/>
      <c r="K69" s="1000" t="s">
        <v>2229</v>
      </c>
      <c r="L69" s="3020"/>
      <c r="M69" s="3145"/>
      <c r="N69" s="374"/>
      <c r="O69" s="372" t="s">
        <v>1979</v>
      </c>
      <c r="P69" s="374"/>
      <c r="Q69" s="2893"/>
      <c r="R69" s="2894"/>
      <c r="S69" s="2895"/>
    </row>
    <row r="70" spans="1:19" s="325" customFormat="1" ht="11.25" customHeight="1">
      <c r="D70" s="373"/>
      <c r="E70" s="330" t="s">
        <v>4257</v>
      </c>
      <c r="H70" s="3128"/>
      <c r="I70" s="3129"/>
      <c r="J70" s="357"/>
      <c r="K70" s="375" t="s">
        <v>1984</v>
      </c>
      <c r="L70" s="2890"/>
      <c r="M70" s="2891"/>
      <c r="N70" s="2985"/>
      <c r="O70" s="2985"/>
      <c r="P70" s="2985"/>
      <c r="Q70" s="2891"/>
      <c r="R70" s="2891"/>
      <c r="S70" s="2892"/>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0"/>
      <c r="I72" s="3133"/>
      <c r="J72" s="3133"/>
      <c r="K72" s="3133"/>
      <c r="L72" s="3133"/>
      <c r="M72" s="3133"/>
      <c r="N72" s="3134"/>
      <c r="O72" s="372" t="s">
        <v>1989</v>
      </c>
      <c r="P72" s="372"/>
      <c r="Q72" s="3130"/>
      <c r="R72" s="3133"/>
      <c r="S72" s="3134"/>
    </row>
    <row r="73" spans="1:19" s="325" customFormat="1" ht="11.25" customHeight="1">
      <c r="D73" s="373"/>
      <c r="E73" s="330" t="s">
        <v>1021</v>
      </c>
      <c r="F73" s="339"/>
      <c r="H73" s="2970"/>
      <c r="I73" s="3142"/>
      <c r="J73" s="3142"/>
      <c r="K73" s="3143"/>
      <c r="L73" s="3142"/>
      <c r="M73" s="3142"/>
      <c r="N73" s="3144"/>
      <c r="O73" s="372" t="s">
        <v>1747</v>
      </c>
      <c r="P73" s="374"/>
      <c r="Q73" s="2896"/>
      <c r="R73" s="2956"/>
      <c r="S73" s="2957"/>
    </row>
    <row r="74" spans="1:19" s="325" customFormat="1" ht="11.25" customHeight="1">
      <c r="D74" s="373"/>
      <c r="E74" s="330" t="s">
        <v>618</v>
      </c>
      <c r="H74" s="2970"/>
      <c r="I74" s="3143"/>
      <c r="J74" s="2976"/>
      <c r="K74" s="576" t="s">
        <v>2704</v>
      </c>
      <c r="L74" s="2970"/>
      <c r="M74" s="3142"/>
      <c r="N74" s="2976"/>
      <c r="O74" s="372" t="s">
        <v>1721</v>
      </c>
      <c r="P74" s="374"/>
      <c r="Q74" s="2893"/>
      <c r="R74" s="2894"/>
      <c r="S74" s="2895"/>
    </row>
    <row r="75" spans="1:19" s="325" customFormat="1" ht="11.25" customHeight="1">
      <c r="E75" s="330" t="s">
        <v>1799</v>
      </c>
      <c r="H75" s="1599"/>
      <c r="I75" s="374"/>
      <c r="J75" s="374"/>
      <c r="K75" s="1000" t="s">
        <v>2229</v>
      </c>
      <c r="L75" s="3020"/>
      <c r="M75" s="3145"/>
      <c r="N75" s="374"/>
      <c r="O75" s="372" t="s">
        <v>1979</v>
      </c>
      <c r="P75" s="374"/>
      <c r="Q75" s="2893"/>
      <c r="R75" s="2894"/>
      <c r="S75" s="2895"/>
    </row>
    <row r="76" spans="1:19" s="325" customFormat="1" ht="11.25" customHeight="1">
      <c r="D76" s="373"/>
      <c r="E76" s="330" t="s">
        <v>4257</v>
      </c>
      <c r="H76" s="3128"/>
      <c r="I76" s="3129"/>
      <c r="J76" s="357"/>
      <c r="K76" s="375" t="s">
        <v>1984</v>
      </c>
      <c r="L76" s="2890"/>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4256</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0"/>
      <c r="I80" s="3133"/>
      <c r="J80" s="3133"/>
      <c r="K80" s="3133"/>
      <c r="L80" s="3133"/>
      <c r="M80" s="3133"/>
      <c r="N80" s="3134"/>
      <c r="O80" s="372" t="s">
        <v>1989</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t="s">
        <v>2704</v>
      </c>
      <c r="L82" s="2970"/>
      <c r="M82" s="3142"/>
      <c r="N82" s="2976"/>
      <c r="O82" s="372" t="s">
        <v>1721</v>
      </c>
      <c r="P82" s="374"/>
      <c r="Q82" s="2893"/>
      <c r="R82" s="2894"/>
      <c r="S82" s="2895"/>
    </row>
    <row r="83" spans="2:19" s="325" customFormat="1" ht="11.25" customHeight="1">
      <c r="E83" s="330" t="s">
        <v>1799</v>
      </c>
      <c r="H83" s="1599"/>
      <c r="I83" s="374"/>
      <c r="J83" s="374"/>
      <c r="K83" s="1000" t="s">
        <v>2229</v>
      </c>
      <c r="L83" s="3020"/>
      <c r="M83" s="3145"/>
      <c r="N83" s="374"/>
      <c r="O83" s="372" t="s">
        <v>1979</v>
      </c>
      <c r="P83" s="374"/>
      <c r="Q83" s="2893"/>
      <c r="R83" s="2894"/>
      <c r="S83" s="2895"/>
    </row>
    <row r="84" spans="2:19" s="325" customFormat="1" ht="11.25" customHeight="1">
      <c r="D84" s="373"/>
      <c r="E84" s="330" t="s">
        <v>4257</v>
      </c>
      <c r="H84" s="3128"/>
      <c r="I84" s="3129"/>
      <c r="J84" s="357"/>
      <c r="K84" s="375" t="s">
        <v>1984</v>
      </c>
      <c r="L84" s="2890"/>
      <c r="M84" s="2891"/>
      <c r="N84" s="2985"/>
      <c r="O84" s="2985"/>
      <c r="P84" s="2985"/>
      <c r="Q84" s="2891"/>
      <c r="R84" s="2891"/>
      <c r="S84" s="2892"/>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0" t="s">
        <v>5229</v>
      </c>
      <c r="I86" s="3133"/>
      <c r="J86" s="3133"/>
      <c r="K86" s="3133"/>
      <c r="L86" s="3133"/>
      <c r="M86" s="3133"/>
      <c r="N86" s="3134"/>
      <c r="O86" s="372" t="s">
        <v>1989</v>
      </c>
      <c r="P86" s="372"/>
      <c r="Q86" s="3130" t="s">
        <v>5232</v>
      </c>
      <c r="R86" s="3133"/>
      <c r="S86" s="3134"/>
    </row>
    <row r="87" spans="2:19" s="325" customFormat="1" ht="11.25" customHeight="1">
      <c r="D87" s="373"/>
      <c r="E87" s="330" t="s">
        <v>1021</v>
      </c>
      <c r="F87" s="339"/>
      <c r="H87" s="2970" t="s">
        <v>5230</v>
      </c>
      <c r="I87" s="3142"/>
      <c r="J87" s="3142"/>
      <c r="K87" s="3143"/>
      <c r="L87" s="3142"/>
      <c r="M87" s="3142"/>
      <c r="N87" s="3144"/>
      <c r="O87" s="372" t="s">
        <v>1747</v>
      </c>
      <c r="P87" s="374"/>
      <c r="Q87" s="2896" t="s">
        <v>5233</v>
      </c>
      <c r="R87" s="2956"/>
      <c r="S87" s="2957"/>
    </row>
    <row r="88" spans="2:19" s="325" customFormat="1" ht="11.25" customHeight="1">
      <c r="D88" s="373"/>
      <c r="E88" s="330" t="s">
        <v>618</v>
      </c>
      <c r="H88" s="2970" t="s">
        <v>1205</v>
      </c>
      <c r="I88" s="3143"/>
      <c r="J88" s="2976"/>
      <c r="K88" s="576" t="s">
        <v>2704</v>
      </c>
      <c r="L88" s="2970" t="s">
        <v>5228</v>
      </c>
      <c r="M88" s="3142"/>
      <c r="N88" s="2976"/>
      <c r="O88" s="372" t="s">
        <v>1721</v>
      </c>
      <c r="P88" s="374"/>
      <c r="Q88" s="2893">
        <v>4049493882</v>
      </c>
      <c r="R88" s="2894"/>
      <c r="S88" s="2895"/>
    </row>
    <row r="89" spans="2:19" s="325" customFormat="1" ht="11.25" customHeight="1">
      <c r="E89" s="330" t="s">
        <v>1799</v>
      </c>
      <c r="H89" s="1599" t="s">
        <v>848</v>
      </c>
      <c r="I89" s="374"/>
      <c r="J89" s="374"/>
      <c r="K89" s="1000" t="s">
        <v>2229</v>
      </c>
      <c r="L89" s="3020">
        <v>303272800</v>
      </c>
      <c r="M89" s="3145"/>
      <c r="N89" s="374"/>
      <c r="O89" s="372" t="s">
        <v>1979</v>
      </c>
      <c r="P89" s="374"/>
      <c r="Q89" s="2893">
        <v>4043761063</v>
      </c>
      <c r="R89" s="2894"/>
      <c r="S89" s="2895"/>
    </row>
    <row r="90" spans="2:19" s="325" customFormat="1" ht="11.25" customHeight="1">
      <c r="D90" s="373"/>
      <c r="E90" s="330" t="s">
        <v>4257</v>
      </c>
      <c r="H90" s="3128">
        <v>4049493882</v>
      </c>
      <c r="I90" s="3129"/>
      <c r="J90" s="357"/>
      <c r="K90" s="375" t="s">
        <v>1984</v>
      </c>
      <c r="L90" s="2890" t="s">
        <v>5231</v>
      </c>
      <c r="M90" s="2891"/>
      <c r="N90" s="2985"/>
      <c r="O90" s="2985"/>
      <c r="P90" s="2985"/>
      <c r="Q90" s="2891"/>
      <c r="R90" s="2891"/>
      <c r="S90" s="2892"/>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5234</v>
      </c>
      <c r="I92" s="3133"/>
      <c r="J92" s="3133"/>
      <c r="K92" s="3133"/>
      <c r="L92" s="3133"/>
      <c r="M92" s="3133"/>
      <c r="N92" s="3134"/>
      <c r="O92" s="372" t="s">
        <v>1989</v>
      </c>
      <c r="P92" s="372"/>
      <c r="Q92" s="3130" t="s">
        <v>5238</v>
      </c>
      <c r="R92" s="3133"/>
      <c r="S92" s="3134"/>
    </row>
    <row r="93" spans="2:19" s="325" customFormat="1" ht="11.25" customHeight="1">
      <c r="D93" s="373"/>
      <c r="E93" s="330" t="s">
        <v>1021</v>
      </c>
      <c r="F93" s="339"/>
      <c r="H93" s="2970" t="s">
        <v>5235</v>
      </c>
      <c r="I93" s="3142"/>
      <c r="J93" s="3142"/>
      <c r="K93" s="3143"/>
      <c r="L93" s="3142"/>
      <c r="M93" s="3142"/>
      <c r="N93" s="3144"/>
      <c r="O93" s="372" t="s">
        <v>1747</v>
      </c>
      <c r="P93" s="374"/>
      <c r="Q93" s="2896" t="s">
        <v>5239</v>
      </c>
      <c r="R93" s="2956"/>
      <c r="S93" s="2957"/>
    </row>
    <row r="94" spans="2:19" s="325" customFormat="1" ht="11.25" customHeight="1">
      <c r="D94" s="373"/>
      <c r="E94" s="330" t="s">
        <v>618</v>
      </c>
      <c r="H94" s="2970" t="s">
        <v>2248</v>
      </c>
      <c r="I94" s="3143"/>
      <c r="J94" s="2976"/>
      <c r="K94" s="576" t="s">
        <v>2704</v>
      </c>
      <c r="L94" s="2970" t="s">
        <v>5236</v>
      </c>
      <c r="M94" s="3142"/>
      <c r="N94" s="2976"/>
      <c r="O94" s="372" t="s">
        <v>1721</v>
      </c>
      <c r="P94" s="374"/>
      <c r="Q94" s="2893">
        <v>6154906721</v>
      </c>
      <c r="R94" s="2894"/>
      <c r="S94" s="2895"/>
    </row>
    <row r="95" spans="2:19" s="325" customFormat="1" ht="11.25" customHeight="1">
      <c r="D95" s="373"/>
      <c r="E95" s="330" t="s">
        <v>1799</v>
      </c>
      <c r="H95" s="1599" t="s">
        <v>1358</v>
      </c>
      <c r="I95" s="374"/>
      <c r="J95" s="374"/>
      <c r="K95" s="1000" t="s">
        <v>2229</v>
      </c>
      <c r="L95" s="3020">
        <v>372033100</v>
      </c>
      <c r="M95" s="3145"/>
      <c r="N95" s="374"/>
      <c r="O95" s="372" t="s">
        <v>1979</v>
      </c>
      <c r="P95" s="374"/>
      <c r="Q95" s="2893">
        <v>6159696667</v>
      </c>
      <c r="R95" s="2894"/>
      <c r="S95" s="2895"/>
    </row>
    <row r="96" spans="2:19" s="325" customFormat="1" ht="11.25" customHeight="1">
      <c r="D96" s="373"/>
      <c r="E96" s="330" t="s">
        <v>4257</v>
      </c>
      <c r="H96" s="3128">
        <v>6154906700</v>
      </c>
      <c r="I96" s="3129"/>
      <c r="J96" s="357"/>
      <c r="K96" s="375" t="s">
        <v>1984</v>
      </c>
      <c r="L96" s="2890" t="s">
        <v>5237</v>
      </c>
      <c r="M96" s="2891"/>
      <c r="N96" s="2985"/>
      <c r="O96" s="2985"/>
      <c r="P96" s="2985"/>
      <c r="Q96" s="2891"/>
      <c r="R96" s="2891"/>
      <c r="S96" s="2892"/>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0" t="s">
        <v>5240</v>
      </c>
      <c r="I98" s="3133"/>
      <c r="J98" s="3133"/>
      <c r="K98" s="3133"/>
      <c r="L98" s="3133"/>
      <c r="M98" s="3133"/>
      <c r="N98" s="3134"/>
      <c r="O98" s="372" t="s">
        <v>1989</v>
      </c>
      <c r="P98" s="372"/>
      <c r="Q98" s="3130" t="s">
        <v>5244</v>
      </c>
      <c r="R98" s="3133"/>
      <c r="S98" s="3134"/>
    </row>
    <row r="99" spans="2:19" s="325" customFormat="1" ht="11.25" customHeight="1">
      <c r="D99" s="373"/>
      <c r="E99" s="330" t="s">
        <v>1021</v>
      </c>
      <c r="F99" s="339"/>
      <c r="H99" s="2970" t="s">
        <v>5241</v>
      </c>
      <c r="I99" s="3142"/>
      <c r="J99" s="3142"/>
      <c r="K99" s="3143"/>
      <c r="L99" s="3142"/>
      <c r="M99" s="3142"/>
      <c r="N99" s="3144"/>
      <c r="O99" s="372" t="s">
        <v>1747</v>
      </c>
      <c r="P99" s="374"/>
      <c r="Q99" s="2896" t="s">
        <v>5245</v>
      </c>
      <c r="R99" s="2956"/>
      <c r="S99" s="2957"/>
    </row>
    <row r="100" spans="2:19" s="325" customFormat="1" ht="11.25" customHeight="1">
      <c r="D100" s="373"/>
      <c r="E100" s="330" t="s">
        <v>618</v>
      </c>
      <c r="H100" s="2970" t="s">
        <v>1205</v>
      </c>
      <c r="I100" s="3143"/>
      <c r="J100" s="2976"/>
      <c r="K100" s="576" t="s">
        <v>2704</v>
      </c>
      <c r="L100" s="2970" t="s">
        <v>5242</v>
      </c>
      <c r="M100" s="3142"/>
      <c r="N100" s="2976"/>
      <c r="O100" s="372" t="s">
        <v>1721</v>
      </c>
      <c r="P100" s="374"/>
      <c r="Q100" s="2893">
        <v>4048737014</v>
      </c>
      <c r="R100" s="2894"/>
      <c r="S100" s="2895"/>
    </row>
    <row r="101" spans="2:19" s="325" customFormat="1" ht="11.25" customHeight="1">
      <c r="D101" s="373"/>
      <c r="E101" s="330" t="s">
        <v>1799</v>
      </c>
      <c r="H101" s="1599" t="s">
        <v>848</v>
      </c>
      <c r="I101" s="374"/>
      <c r="J101" s="374"/>
      <c r="K101" s="1000" t="s">
        <v>2229</v>
      </c>
      <c r="L101" s="3020">
        <v>303631031</v>
      </c>
      <c r="M101" s="3145"/>
      <c r="N101" s="374"/>
      <c r="O101" s="372" t="s">
        <v>1979</v>
      </c>
      <c r="P101" s="374"/>
      <c r="Q101" s="2893">
        <v>4042340004</v>
      </c>
      <c r="R101" s="2894"/>
      <c r="S101" s="2895"/>
    </row>
    <row r="102" spans="2:19" ht="11.25" customHeight="1">
      <c r="E102" s="330" t="s">
        <v>4257</v>
      </c>
      <c r="F102" s="325"/>
      <c r="G102" s="325"/>
      <c r="H102" s="3128">
        <v>4048737014</v>
      </c>
      <c r="I102" s="3129"/>
      <c r="J102" s="357"/>
      <c r="K102" s="375" t="s">
        <v>1984</v>
      </c>
      <c r="L102" s="2890" t="s">
        <v>5243</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5246</v>
      </c>
      <c r="I104" s="3133"/>
      <c r="J104" s="3133"/>
      <c r="K104" s="3133"/>
      <c r="L104" s="3133"/>
      <c r="M104" s="3133"/>
      <c r="N104" s="3134"/>
      <c r="O104" s="372" t="s">
        <v>1989</v>
      </c>
      <c r="P104" s="372"/>
      <c r="Q104" s="3130" t="s">
        <v>5250</v>
      </c>
      <c r="R104" s="3133"/>
      <c r="S104" s="3134"/>
    </row>
    <row r="105" spans="2:19" s="325" customFormat="1" ht="11.25" customHeight="1">
      <c r="D105" s="373"/>
      <c r="E105" s="330" t="s">
        <v>1021</v>
      </c>
      <c r="F105" s="339"/>
      <c r="H105" s="2970" t="s">
        <v>5247</v>
      </c>
      <c r="I105" s="3142"/>
      <c r="J105" s="3142"/>
      <c r="K105" s="3143"/>
      <c r="L105" s="3142"/>
      <c r="M105" s="3142"/>
      <c r="N105" s="3144"/>
      <c r="O105" s="372" t="s">
        <v>1747</v>
      </c>
      <c r="P105" s="374"/>
      <c r="Q105" s="2896" t="s">
        <v>5245</v>
      </c>
      <c r="R105" s="2956"/>
      <c r="S105" s="2957"/>
    </row>
    <row r="106" spans="2:19" s="325" customFormat="1" ht="11.25" customHeight="1">
      <c r="D106" s="373"/>
      <c r="E106" s="330" t="s">
        <v>618</v>
      </c>
      <c r="H106" s="2970" t="s">
        <v>1205</v>
      </c>
      <c r="I106" s="3143"/>
      <c r="J106" s="2976"/>
      <c r="K106" s="576" t="s">
        <v>2704</v>
      </c>
      <c r="L106" s="2970" t="s">
        <v>5248</v>
      </c>
      <c r="M106" s="3142"/>
      <c r="N106" s="2976"/>
      <c r="O106" s="372" t="s">
        <v>1721</v>
      </c>
      <c r="P106" s="374"/>
      <c r="Q106" s="2893">
        <v>4048479447</v>
      </c>
      <c r="R106" s="2894"/>
      <c r="S106" s="2895"/>
    </row>
    <row r="107" spans="2:19" s="325" customFormat="1" ht="11.25" customHeight="1">
      <c r="D107" s="373"/>
      <c r="E107" s="330" t="s">
        <v>1799</v>
      </c>
      <c r="H107" s="1599" t="s">
        <v>848</v>
      </c>
      <c r="I107" s="374"/>
      <c r="J107" s="374"/>
      <c r="K107" s="1000" t="s">
        <v>2229</v>
      </c>
      <c r="L107" s="3020">
        <v>303264726</v>
      </c>
      <c r="M107" s="3145"/>
      <c r="N107" s="374"/>
      <c r="O107" s="372" t="s">
        <v>1979</v>
      </c>
      <c r="P107" s="374"/>
      <c r="Q107" s="2893">
        <v>6785760400</v>
      </c>
      <c r="R107" s="2894"/>
      <c r="S107" s="2895"/>
    </row>
    <row r="108" spans="2:19" ht="11.25" customHeight="1">
      <c r="E108" s="330" t="s">
        <v>4257</v>
      </c>
      <c r="F108" s="325"/>
      <c r="G108" s="325"/>
      <c r="H108" s="3128">
        <v>4048479447</v>
      </c>
      <c r="I108" s="3129"/>
      <c r="J108" s="357"/>
      <c r="K108" s="375" t="s">
        <v>1984</v>
      </c>
      <c r="L108" s="2890" t="s">
        <v>5249</v>
      </c>
      <c r="M108" s="2891"/>
      <c r="N108" s="2985"/>
      <c r="O108" s="2985"/>
      <c r="P108" s="2985"/>
      <c r="Q108" s="2891"/>
      <c r="R108" s="2891"/>
      <c r="S108" s="2892"/>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5251</v>
      </c>
      <c r="I110" s="3133"/>
      <c r="J110" s="3133"/>
      <c r="K110" s="3133"/>
      <c r="L110" s="3133"/>
      <c r="M110" s="3133"/>
      <c r="N110" s="3134"/>
      <c r="O110" s="372" t="s">
        <v>1989</v>
      </c>
      <c r="P110" s="372"/>
      <c r="Q110" s="3130" t="s">
        <v>5255</v>
      </c>
      <c r="R110" s="3133"/>
      <c r="S110" s="3134"/>
    </row>
    <row r="111" spans="2:19" s="325" customFormat="1" ht="11.25" customHeight="1">
      <c r="D111" s="373"/>
      <c r="E111" s="330" t="s">
        <v>1021</v>
      </c>
      <c r="F111" s="339"/>
      <c r="H111" s="2970" t="s">
        <v>5252</v>
      </c>
      <c r="I111" s="3142"/>
      <c r="J111" s="3142"/>
      <c r="K111" s="3143"/>
      <c r="L111" s="3142"/>
      <c r="M111" s="3142"/>
      <c r="N111" s="3144"/>
      <c r="O111" s="372" t="s">
        <v>1747</v>
      </c>
      <c r="P111" s="374"/>
      <c r="Q111" s="2896" t="s">
        <v>5245</v>
      </c>
      <c r="R111" s="2956"/>
      <c r="S111" s="2957"/>
    </row>
    <row r="112" spans="2:19" s="325" customFormat="1" ht="11.25" customHeight="1">
      <c r="D112" s="373"/>
      <c r="E112" s="330" t="s">
        <v>618</v>
      </c>
      <c r="H112" s="2970" t="s">
        <v>1205</v>
      </c>
      <c r="I112" s="3143"/>
      <c r="J112" s="2976"/>
      <c r="K112" s="576" t="s">
        <v>2704</v>
      </c>
      <c r="L112" s="2970" t="s">
        <v>5254</v>
      </c>
      <c r="M112" s="3142"/>
      <c r="N112" s="2976"/>
      <c r="O112" s="372" t="s">
        <v>1721</v>
      </c>
      <c r="P112" s="374"/>
      <c r="Q112" s="2893">
        <v>4042281958</v>
      </c>
      <c r="R112" s="2894"/>
      <c r="S112" s="2895"/>
    </row>
    <row r="113" spans="1:22" s="325" customFormat="1" ht="11.25" customHeight="1">
      <c r="D113" s="390"/>
      <c r="E113" s="330" t="s">
        <v>1799</v>
      </c>
      <c r="H113" s="1599" t="s">
        <v>848</v>
      </c>
      <c r="I113" s="374"/>
      <c r="J113" s="374"/>
      <c r="K113" s="1000" t="s">
        <v>2229</v>
      </c>
      <c r="L113" s="3020">
        <v>303185419</v>
      </c>
      <c r="M113" s="3145"/>
      <c r="N113" s="374"/>
      <c r="O113" s="372" t="s">
        <v>1979</v>
      </c>
      <c r="P113" s="374"/>
      <c r="Q113" s="2893">
        <v>4047979944</v>
      </c>
      <c r="R113" s="2894"/>
      <c r="S113" s="2895"/>
    </row>
    <row r="114" spans="1:22" s="325" customFormat="1" ht="11.25" customHeight="1">
      <c r="D114" s="390"/>
      <c r="E114" s="330" t="s">
        <v>4257</v>
      </c>
      <c r="H114" s="3128">
        <v>4042281958</v>
      </c>
      <c r="I114" s="3129"/>
      <c r="J114" s="357"/>
      <c r="K114" s="375" t="s">
        <v>1984</v>
      </c>
      <c r="L114" s="2890" t="s">
        <v>5253</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30"/>
      <c r="I117" s="3131"/>
      <c r="J117" s="3132"/>
      <c r="K117" s="375" t="s">
        <v>2474</v>
      </c>
      <c r="L117" s="3130"/>
      <c r="M117" s="3133"/>
      <c r="N117" s="3134"/>
      <c r="O117" s="389" t="s">
        <v>3578</v>
      </c>
      <c r="P117" s="374"/>
      <c r="Q117" s="3135"/>
      <c r="R117" s="3136"/>
      <c r="S117" s="3137"/>
    </row>
    <row r="118" spans="1:22" s="325" customFormat="1" ht="11.25" customHeight="1">
      <c r="D118" s="373"/>
      <c r="E118" s="330" t="s">
        <v>1021</v>
      </c>
      <c r="F118" s="339"/>
      <c r="H118" s="2958"/>
      <c r="I118" s="3138"/>
      <c r="J118" s="3139"/>
      <c r="K118" s="2959"/>
      <c r="L118" s="3138"/>
      <c r="M118" s="3138"/>
      <c r="N118" s="3140"/>
      <c r="O118" s="389" t="s">
        <v>618</v>
      </c>
      <c r="P118" s="374"/>
      <c r="Q118" s="3141"/>
      <c r="R118" s="2962"/>
      <c r="S118" s="2963"/>
    </row>
    <row r="119" spans="1:22" s="325" customFormat="1" ht="11.25" customHeight="1">
      <c r="D119" s="373"/>
      <c r="E119" s="330" t="s">
        <v>1799</v>
      </c>
      <c r="H119" s="2673"/>
      <c r="I119" s="1000" t="s">
        <v>2229</v>
      </c>
      <c r="J119" s="2975"/>
      <c r="K119" s="2976"/>
      <c r="L119" s="375" t="s">
        <v>1984</v>
      </c>
      <c r="M119" s="2968"/>
      <c r="N119" s="2985"/>
      <c r="O119" s="2985"/>
      <c r="P119" s="2985"/>
      <c r="Q119" s="2891"/>
      <c r="R119" s="2891"/>
      <c r="S119" s="2892"/>
    </row>
    <row r="120" spans="1:22" ht="12" customHeight="1">
      <c r="B120" s="327" t="s">
        <v>1985</v>
      </c>
      <c r="C120" s="327" t="s">
        <v>5012</v>
      </c>
      <c r="H120" s="704"/>
      <c r="I120" s="704"/>
      <c r="J120" s="704"/>
      <c r="K120" s="704"/>
      <c r="L120" s="704"/>
      <c r="M120" s="704"/>
      <c r="N120" s="704"/>
      <c r="O120" s="704"/>
      <c r="P120" s="704"/>
      <c r="Q120" s="704"/>
      <c r="R120" s="704"/>
      <c r="S120" s="704"/>
    </row>
    <row r="121" spans="1:22" ht="11.25" customHeight="1" thickBot="1">
      <c r="A121" s="3122" t="s">
        <v>3881</v>
      </c>
      <c r="B121" s="3122"/>
      <c r="C121" s="3122"/>
      <c r="D121" s="3122"/>
      <c r="E121" s="3123"/>
      <c r="F121" s="2681" t="s">
        <v>2510</v>
      </c>
      <c r="G121" s="3124" t="s">
        <v>3478</v>
      </c>
      <c r="H121" s="3125"/>
      <c r="I121" s="3125"/>
      <c r="J121" s="3125"/>
      <c r="K121" s="3125"/>
      <c r="L121" s="3125"/>
      <c r="M121" s="3125"/>
      <c r="N121" s="3125"/>
      <c r="O121" s="3125"/>
      <c r="P121" s="3125"/>
      <c r="Q121" s="3125"/>
      <c r="R121" s="3125"/>
      <c r="S121" s="3126"/>
    </row>
    <row r="122" spans="1:22" s="325" customFormat="1" ht="25.5" customHeight="1" thickBot="1">
      <c r="B122" s="568"/>
      <c r="C122" s="1332" t="s">
        <v>1986</v>
      </c>
      <c r="D122" s="3093" t="s">
        <v>2837</v>
      </c>
      <c r="E122" s="3093"/>
      <c r="F122" s="2568" t="s">
        <v>2990</v>
      </c>
      <c r="G122" s="3127" t="s">
        <v>5256</v>
      </c>
      <c r="H122" s="3087"/>
      <c r="I122" s="3087"/>
      <c r="J122" s="3087"/>
      <c r="K122" s="3087"/>
      <c r="L122" s="3087"/>
      <c r="M122" s="3087"/>
      <c r="N122" s="3087"/>
      <c r="O122" s="3087"/>
      <c r="P122" s="3087"/>
      <c r="Q122" s="3087"/>
      <c r="R122" s="3087"/>
      <c r="S122" s="3089"/>
      <c r="U122" s="3146" t="s">
        <v>2031</v>
      </c>
      <c r="V122" s="3146"/>
    </row>
    <row r="123" spans="1:22" s="325" customFormat="1" ht="25.5" customHeight="1" thickBot="1">
      <c r="B123" s="568"/>
      <c r="C123" s="700" t="s">
        <v>1988</v>
      </c>
      <c r="D123" s="2911" t="s">
        <v>2902</v>
      </c>
      <c r="E123" s="2882"/>
      <c r="F123" s="2568" t="s">
        <v>2993</v>
      </c>
      <c r="G123" s="3067"/>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2534</v>
      </c>
      <c r="D124" s="2911" t="s">
        <v>2878</v>
      </c>
      <c r="E124" s="2882"/>
      <c r="F124" s="2568" t="s">
        <v>2990</v>
      </c>
      <c r="G124" s="3067" t="s">
        <v>5283</v>
      </c>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2838</v>
      </c>
      <c r="E125" s="2882"/>
      <c r="F125" s="2568" t="s">
        <v>2993</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3466</v>
      </c>
      <c r="E126" s="2882"/>
      <c r="F126" s="2568" t="s">
        <v>2993</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1881</v>
      </c>
      <c r="D127" s="2911" t="s">
        <v>3467</v>
      </c>
      <c r="E127" s="2882"/>
      <c r="F127" s="2568" t="s">
        <v>2993</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2839</v>
      </c>
      <c r="E128" s="2882"/>
      <c r="F128" s="2568" t="s">
        <v>2993</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5033</v>
      </c>
      <c r="E129" s="2882"/>
      <c r="F129" s="2568" t="s">
        <v>2993</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5032</v>
      </c>
      <c r="D130" s="3090" t="s">
        <v>3880</v>
      </c>
      <c r="E130" s="3091"/>
      <c r="F130" s="2568" t="s">
        <v>2993</v>
      </c>
      <c r="G130" s="3074"/>
      <c r="H130" s="3074"/>
      <c r="I130" s="3074"/>
      <c r="J130" s="3074"/>
      <c r="K130" s="3074"/>
      <c r="L130" s="3074"/>
      <c r="M130" s="3074"/>
      <c r="N130" s="3074"/>
      <c r="O130" s="3074"/>
      <c r="P130" s="3074"/>
      <c r="Q130" s="3074"/>
      <c r="R130" s="3074"/>
      <c r="S130" s="3076"/>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5013</v>
      </c>
    </row>
    <row r="134" spans="1:22" s="325" customFormat="1" ht="13.5" customHeight="1">
      <c r="A134" s="3092" t="s">
        <v>640</v>
      </c>
      <c r="B134" s="3093"/>
      <c r="C134" s="3093"/>
      <c r="D134" s="3093"/>
      <c r="E134" s="3097" t="s">
        <v>3448</v>
      </c>
      <c r="F134" s="3098"/>
      <c r="G134" s="3098"/>
      <c r="H134" s="3098"/>
      <c r="I134" s="3099"/>
      <c r="J134" s="3103" t="s">
        <v>3449</v>
      </c>
      <c r="K134" s="3106" t="s">
        <v>2908</v>
      </c>
      <c r="L134" s="3106" t="s">
        <v>2909</v>
      </c>
      <c r="M134" s="3109" t="s">
        <v>3458</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3718</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69" t="s">
        <v>2510</v>
      </c>
      <c r="J138" s="3105"/>
      <c r="K138" s="3108"/>
      <c r="L138" s="3107"/>
      <c r="M138" s="2570" t="s">
        <v>2510</v>
      </c>
      <c r="N138" s="3061" t="s">
        <v>2907</v>
      </c>
      <c r="O138" s="3061"/>
      <c r="P138" s="3061"/>
      <c r="Q138" s="3061"/>
      <c r="R138" s="3061"/>
      <c r="S138" s="3121"/>
    </row>
    <row r="139" spans="1:22" s="325" customFormat="1" ht="24" customHeight="1">
      <c r="A139" s="3083" t="s">
        <v>3443</v>
      </c>
      <c r="B139" s="3084"/>
      <c r="C139" s="3084"/>
      <c r="D139" s="3085"/>
      <c r="E139" s="3086"/>
      <c r="F139" s="3087"/>
      <c r="G139" s="3087"/>
      <c r="H139" s="3087"/>
      <c r="I139" s="957" t="s">
        <v>2993</v>
      </c>
      <c r="J139" s="701" t="s">
        <v>2993</v>
      </c>
      <c r="K139" s="706" t="s">
        <v>5225</v>
      </c>
      <c r="L139" s="960">
        <v>1E-4</v>
      </c>
      <c r="M139" s="707" t="s">
        <v>2990</v>
      </c>
      <c r="N139" s="3088" t="s">
        <v>5257</v>
      </c>
      <c r="O139" s="3087"/>
      <c r="P139" s="3087"/>
      <c r="Q139" s="3087"/>
      <c r="R139" s="3087"/>
      <c r="S139" s="3089"/>
    </row>
    <row r="140" spans="1:22" s="325" customFormat="1" ht="24" customHeight="1">
      <c r="A140" s="3063" t="s">
        <v>3444</v>
      </c>
      <c r="B140" s="3064"/>
      <c r="C140" s="3064"/>
      <c r="D140" s="3065"/>
      <c r="E140" s="3066"/>
      <c r="F140" s="3067"/>
      <c r="G140" s="3067"/>
      <c r="H140" s="3067"/>
      <c r="I140" s="958"/>
      <c r="J140" s="702"/>
      <c r="K140" s="708"/>
      <c r="L140" s="961"/>
      <c r="M140" s="709"/>
      <c r="N140" s="3068"/>
      <c r="O140" s="3067"/>
      <c r="P140" s="3067"/>
      <c r="Q140" s="3067"/>
      <c r="R140" s="3067"/>
      <c r="S140" s="3069"/>
      <c r="U140" s="3146" t="s">
        <v>2031</v>
      </c>
      <c r="V140" s="3146"/>
    </row>
    <row r="141" spans="1:22" s="325" customFormat="1" ht="24" customHeight="1">
      <c r="A141" s="3063" t="s">
        <v>3445</v>
      </c>
      <c r="B141" s="3064"/>
      <c r="C141" s="3064"/>
      <c r="D141" s="3065"/>
      <c r="E141" s="3066"/>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3446</v>
      </c>
      <c r="B142" s="3064"/>
      <c r="C142" s="3064"/>
      <c r="D142" s="3065"/>
      <c r="E142" s="3066"/>
      <c r="F142" s="3067"/>
      <c r="G142" s="3067"/>
      <c r="H142" s="3067"/>
      <c r="I142" s="958" t="s">
        <v>2993</v>
      </c>
      <c r="J142" s="702" t="s">
        <v>2993</v>
      </c>
      <c r="K142" s="708" t="s">
        <v>5225</v>
      </c>
      <c r="L142" s="961">
        <v>0.9899</v>
      </c>
      <c r="M142" s="709" t="s">
        <v>2993</v>
      </c>
      <c r="N142" s="3068"/>
      <c r="O142" s="3067"/>
      <c r="P142" s="3067"/>
      <c r="Q142" s="3067"/>
      <c r="R142" s="3067"/>
      <c r="S142" s="3069"/>
      <c r="U142" s="3146"/>
      <c r="V142" s="3146"/>
    </row>
    <row r="143" spans="1:22" s="325" customFormat="1" ht="24" customHeight="1">
      <c r="A143" s="3063" t="s">
        <v>3447</v>
      </c>
      <c r="B143" s="3064"/>
      <c r="C143" s="3064"/>
      <c r="D143" s="3065"/>
      <c r="E143" s="3066"/>
      <c r="F143" s="3067"/>
      <c r="G143" s="3067"/>
      <c r="H143" s="3067"/>
      <c r="I143" s="958" t="s">
        <v>2993</v>
      </c>
      <c r="J143" s="702" t="s">
        <v>2993</v>
      </c>
      <c r="K143" s="708" t="s">
        <v>5225</v>
      </c>
      <c r="L143" s="961">
        <v>0.01</v>
      </c>
      <c r="M143" s="709" t="s">
        <v>2993</v>
      </c>
      <c r="N143" s="3068"/>
      <c r="O143" s="3067"/>
      <c r="P143" s="3067"/>
      <c r="Q143" s="3067"/>
      <c r="R143" s="3067"/>
      <c r="S143" s="3069"/>
      <c r="U143" s="3146"/>
      <c r="V143" s="3146"/>
    </row>
    <row r="144" spans="1:22" s="325" customFormat="1" ht="24" customHeight="1">
      <c r="A144" s="3063" t="s">
        <v>2895</v>
      </c>
      <c r="B144" s="3064"/>
      <c r="C144" s="3064"/>
      <c r="D144" s="3065"/>
      <c r="E144" s="3066"/>
      <c r="F144" s="3067"/>
      <c r="G144" s="3067"/>
      <c r="H144" s="3067"/>
      <c r="I144" s="958"/>
      <c r="J144" s="702"/>
      <c r="K144" s="708"/>
      <c r="L144" s="961"/>
      <c r="M144" s="709"/>
      <c r="N144" s="3068"/>
      <c r="O144" s="3067"/>
      <c r="P144" s="3067"/>
      <c r="Q144" s="3067"/>
      <c r="R144" s="3067"/>
      <c r="S144" s="3069"/>
      <c r="U144" s="3146"/>
      <c r="V144" s="3146"/>
    </row>
    <row r="145" spans="1:24" s="325" customFormat="1" ht="24" customHeight="1">
      <c r="A145" s="3063" t="s">
        <v>653</v>
      </c>
      <c r="B145" s="3064"/>
      <c r="C145" s="3064"/>
      <c r="D145" s="3065"/>
      <c r="E145" s="3066"/>
      <c r="F145" s="3067"/>
      <c r="G145" s="3067"/>
      <c r="H145" s="3067"/>
      <c r="I145" s="958" t="s">
        <v>2993</v>
      </c>
      <c r="J145" s="702" t="s">
        <v>2993</v>
      </c>
      <c r="K145" s="708" t="s">
        <v>5225</v>
      </c>
      <c r="L145" s="961">
        <v>0</v>
      </c>
      <c r="M145" s="709" t="s">
        <v>2990</v>
      </c>
      <c r="N145" s="3068" t="s">
        <v>5257</v>
      </c>
      <c r="O145" s="3067"/>
      <c r="P145" s="3067"/>
      <c r="Q145" s="3067"/>
      <c r="R145" s="3067"/>
      <c r="S145" s="3069"/>
      <c r="U145" s="3146"/>
      <c r="V145" s="3146"/>
    </row>
    <row r="146" spans="1:24" s="325" customFormat="1" ht="24" customHeight="1">
      <c r="A146" s="3063" t="s">
        <v>2896</v>
      </c>
      <c r="B146" s="3064"/>
      <c r="C146" s="3064"/>
      <c r="D146" s="3065"/>
      <c r="E146" s="3066"/>
      <c r="F146" s="3067"/>
      <c r="G146" s="3067"/>
      <c r="H146" s="3067"/>
      <c r="I146" s="958"/>
      <c r="J146" s="702"/>
      <c r="K146" s="708"/>
      <c r="L146" s="961"/>
      <c r="M146" s="709"/>
      <c r="N146" s="3068"/>
      <c r="O146" s="3067"/>
      <c r="P146" s="3067"/>
      <c r="Q146" s="3067"/>
      <c r="R146" s="3067"/>
      <c r="S146" s="3069"/>
    </row>
    <row r="147" spans="1:24" s="325" customFormat="1" ht="24" customHeight="1">
      <c r="A147" s="3063" t="s">
        <v>2897</v>
      </c>
      <c r="B147" s="3064"/>
      <c r="C147" s="3064"/>
      <c r="D147" s="3065"/>
      <c r="E147" s="3066"/>
      <c r="F147" s="3067"/>
      <c r="G147" s="3067"/>
      <c r="H147" s="3067"/>
      <c r="I147" s="958"/>
      <c r="J147" s="702"/>
      <c r="K147" s="708"/>
      <c r="L147" s="961"/>
      <c r="M147" s="709"/>
      <c r="N147" s="3068"/>
      <c r="O147" s="3067"/>
      <c r="P147" s="3067"/>
      <c r="Q147" s="3067"/>
      <c r="R147" s="3067"/>
      <c r="S147" s="3069"/>
    </row>
    <row r="148" spans="1:24" s="325" customFormat="1" ht="24" customHeight="1">
      <c r="A148" s="3063" t="s">
        <v>2899</v>
      </c>
      <c r="B148" s="3064"/>
      <c r="C148" s="3064"/>
      <c r="D148" s="3065"/>
      <c r="E148" s="3066"/>
      <c r="F148" s="3067"/>
      <c r="G148" s="3067"/>
      <c r="H148" s="3067"/>
      <c r="I148" s="958"/>
      <c r="J148" s="702"/>
      <c r="K148" s="708"/>
      <c r="L148" s="961"/>
      <c r="M148" s="709"/>
      <c r="N148" s="3068"/>
      <c r="O148" s="3067"/>
      <c r="P148" s="3067"/>
      <c r="Q148" s="3067"/>
      <c r="R148" s="3067"/>
      <c r="S148" s="3069"/>
    </row>
    <row r="149" spans="1:24" s="325" customFormat="1" ht="24" customHeight="1">
      <c r="A149" s="3063" t="s">
        <v>2898</v>
      </c>
      <c r="B149" s="3064"/>
      <c r="C149" s="3064"/>
      <c r="D149" s="3065"/>
      <c r="E149" s="3066"/>
      <c r="F149" s="3067"/>
      <c r="G149" s="3067"/>
      <c r="H149" s="3067"/>
      <c r="I149" s="958"/>
      <c r="J149" s="702"/>
      <c r="K149" s="708"/>
      <c r="L149" s="961"/>
      <c r="M149" s="709"/>
      <c r="N149" s="3068"/>
      <c r="O149" s="3067"/>
      <c r="P149" s="3067"/>
      <c r="Q149" s="3067"/>
      <c r="R149" s="3067"/>
      <c r="S149" s="3069"/>
    </row>
    <row r="150" spans="1:24" s="325" customFormat="1" ht="24" customHeight="1">
      <c r="A150" s="3063" t="s">
        <v>1529</v>
      </c>
      <c r="B150" s="3064"/>
      <c r="C150" s="3064"/>
      <c r="D150" s="3065"/>
      <c r="E150" s="3066"/>
      <c r="F150" s="3067"/>
      <c r="G150" s="3067"/>
      <c r="H150" s="3067"/>
      <c r="I150" s="958" t="s">
        <v>2993</v>
      </c>
      <c r="J150" s="702" t="s">
        <v>2993</v>
      </c>
      <c r="K150" s="708" t="s">
        <v>5225</v>
      </c>
      <c r="L150" s="961">
        <v>0</v>
      </c>
      <c r="M150" s="709" t="s">
        <v>2990</v>
      </c>
      <c r="N150" s="3068" t="s">
        <v>5257</v>
      </c>
      <c r="O150" s="3067"/>
      <c r="P150" s="3067"/>
      <c r="Q150" s="3067"/>
      <c r="R150" s="3067"/>
      <c r="S150" s="3069"/>
    </row>
    <row r="151" spans="1:24" s="325" customFormat="1" ht="24" customHeight="1">
      <c r="A151" s="3070" t="s">
        <v>2900</v>
      </c>
      <c r="B151" s="3071"/>
      <c r="C151" s="3071"/>
      <c r="D151" s="3072"/>
      <c r="E151" s="3073"/>
      <c r="F151" s="3074"/>
      <c r="G151" s="3074"/>
      <c r="H151" s="3074"/>
      <c r="I151" s="959" t="s">
        <v>2993</v>
      </c>
      <c r="J151" s="703" t="s">
        <v>2993</v>
      </c>
      <c r="K151" s="710" t="s">
        <v>5225</v>
      </c>
      <c r="L151" s="962">
        <v>0</v>
      </c>
      <c r="M151" s="711" t="s">
        <v>2993</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t="s">
        <v>5258</v>
      </c>
      <c r="B154" s="3078"/>
      <c r="C154" s="3078"/>
      <c r="D154" s="3078"/>
      <c r="E154" s="3078"/>
      <c r="F154" s="3078"/>
      <c r="G154" s="3078"/>
      <c r="H154" s="3078"/>
      <c r="I154" s="3078"/>
      <c r="J154" s="3078"/>
      <c r="K154" s="3078"/>
      <c r="L154" s="3078"/>
      <c r="M154" s="3079"/>
      <c r="N154" s="3080"/>
      <c r="O154" s="3081"/>
      <c r="P154" s="3081"/>
      <c r="Q154" s="3081"/>
      <c r="R154" s="3081"/>
      <c r="S154" s="308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9" zoomScaleNormal="100" workbookViewId="0">
      <selection activeCell="P30" sqref="P30"/>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47" t="str">
        <f>CONCATENATE("PART THREE - SOURCES OF FUNDS","  -  ",'Part I-Project Information'!$O$6," ",'Part I-Project Information'!$F$34,", ",'Part I-Project Information'!$F$38,", ",'Part I-Project Information'!$J$39," County")</f>
        <v>PART THREE - SOURCES OF FUNDS  -  2019-5 Somersby, College Park, Fulton County</v>
      </c>
      <c r="B1" s="3148"/>
      <c r="C1" s="3148"/>
      <c r="D1" s="3148"/>
      <c r="E1" s="3148"/>
      <c r="F1" s="3148"/>
      <c r="G1" s="3148"/>
      <c r="H1" s="3148"/>
      <c r="I1" s="3148"/>
      <c r="J1" s="3148"/>
      <c r="K1" s="3148"/>
      <c r="L1" s="3148"/>
      <c r="M1" s="3148"/>
      <c r="N1" s="3148"/>
      <c r="O1" s="3148"/>
      <c r="P1" s="3148"/>
      <c r="Q1" s="3149"/>
      <c r="S1" s="3266" t="str">
        <f>$A$1</f>
        <v>PART THREE - SOURCES OF FUNDS  -  2019-5 Somersby, College Park, Fulton County</v>
      </c>
      <c r="T1" s="3266"/>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2683</v>
      </c>
      <c r="T4" s="3223"/>
    </row>
    <row r="5" spans="1:20" s="300" customFormat="1" ht="16.5" customHeight="1">
      <c r="A5" s="545"/>
      <c r="B5" s="2598" t="s">
        <v>2990</v>
      </c>
      <c r="C5" s="2572" t="s">
        <v>2410</v>
      </c>
      <c r="D5" s="325"/>
      <c r="E5" s="2598" t="s">
        <v>2993</v>
      </c>
      <c r="F5" s="2572" t="s">
        <v>3722</v>
      </c>
      <c r="G5" s="325"/>
      <c r="H5" s="3272"/>
      <c r="I5" s="3273"/>
      <c r="L5" s="2598" t="s">
        <v>2993</v>
      </c>
      <c r="M5" s="2572" t="s">
        <v>1537</v>
      </c>
      <c r="S5" s="3193"/>
      <c r="T5" s="3194"/>
    </row>
    <row r="6" spans="1:20" s="300" customFormat="1" ht="16.5" customHeight="1">
      <c r="A6" s="545"/>
      <c r="B6" s="2574" t="s">
        <v>2993</v>
      </c>
      <c r="C6" s="2572" t="s">
        <v>5007</v>
      </c>
      <c r="D6" s="325"/>
      <c r="E6" s="2573" t="s">
        <v>2993</v>
      </c>
      <c r="F6" s="2572" t="s">
        <v>3723</v>
      </c>
      <c r="H6" s="3274"/>
      <c r="I6" s="3275"/>
      <c r="L6" s="2574" t="s">
        <v>2993</v>
      </c>
      <c r="M6" s="2572" t="s">
        <v>549</v>
      </c>
      <c r="S6" s="3174"/>
      <c r="T6" s="3175"/>
    </row>
    <row r="7" spans="1:20" s="300" customFormat="1" ht="16.5" customHeight="1">
      <c r="A7" s="325"/>
      <c r="B7" s="2574" t="s">
        <v>2993</v>
      </c>
      <c r="C7" s="2572" t="s">
        <v>551</v>
      </c>
      <c r="F7" s="325" t="s">
        <v>5006</v>
      </c>
      <c r="H7" s="3280" t="s">
        <v>3450</v>
      </c>
      <c r="I7" s="3281"/>
      <c r="J7" s="3271"/>
      <c r="L7" s="2574" t="s">
        <v>2993</v>
      </c>
      <c r="M7" s="2571" t="s">
        <v>3619</v>
      </c>
      <c r="S7" s="3174"/>
      <c r="T7" s="3175"/>
    </row>
    <row r="8" spans="1:20" s="300" customFormat="1" ht="16.5" customHeight="1">
      <c r="A8" s="545"/>
      <c r="B8" s="2574" t="s">
        <v>2993</v>
      </c>
      <c r="C8" s="2572" t="s">
        <v>2601</v>
      </c>
      <c r="E8" s="2598" t="s">
        <v>2993</v>
      </c>
      <c r="F8" s="2571" t="s">
        <v>2609</v>
      </c>
      <c r="L8" s="2574" t="s">
        <v>2993</v>
      </c>
      <c r="M8" s="2571" t="s">
        <v>5008</v>
      </c>
      <c r="S8" s="3176"/>
      <c r="T8" s="3177"/>
    </row>
    <row r="9" spans="1:20" s="300" customFormat="1" ht="16.5" customHeight="1">
      <c r="A9" s="545"/>
      <c r="B9" s="2574" t="s">
        <v>2993</v>
      </c>
      <c r="C9" s="2572" t="s">
        <v>2602</v>
      </c>
      <c r="E9" s="2574" t="s">
        <v>2993</v>
      </c>
      <c r="F9" s="2571" t="s">
        <v>3721</v>
      </c>
      <c r="H9" s="3269" t="s">
        <v>3872</v>
      </c>
      <c r="I9" s="3270"/>
      <c r="J9" s="3271"/>
      <c r="L9" s="2574" t="s">
        <v>2993</v>
      </c>
      <c r="M9" s="2572" t="s">
        <v>3680</v>
      </c>
      <c r="S9" s="3193"/>
      <c r="T9" s="3194"/>
    </row>
    <row r="10" spans="1:20" s="300" customFormat="1" ht="16.5" customHeight="1">
      <c r="A10" s="545"/>
      <c r="B10" s="2574" t="s">
        <v>2993</v>
      </c>
      <c r="C10" s="2571" t="s">
        <v>3685</v>
      </c>
      <c r="E10" s="2605" t="s">
        <v>2993</v>
      </c>
      <c r="F10" s="3276" t="s">
        <v>4720</v>
      </c>
      <c r="G10" s="2951"/>
      <c r="H10" s="2951"/>
      <c r="I10" s="2951"/>
      <c r="J10" s="2952"/>
      <c r="L10" s="2574" t="s">
        <v>2993</v>
      </c>
      <c r="M10" s="325" t="s">
        <v>2610</v>
      </c>
      <c r="S10" s="3174"/>
      <c r="T10" s="3175"/>
    </row>
    <row r="11" spans="1:20" s="300" customFormat="1" ht="16.5" customHeight="1">
      <c r="A11" s="545"/>
      <c r="B11" s="2574" t="s">
        <v>2993</v>
      </c>
      <c r="C11" s="325" t="s">
        <v>3888</v>
      </c>
      <c r="F11" s="3261" t="s">
        <v>4722</v>
      </c>
      <c r="G11" s="3262"/>
      <c r="H11" s="3262"/>
      <c r="I11" s="3262"/>
      <c r="J11" s="3263"/>
      <c r="L11" s="2574" t="s">
        <v>2993</v>
      </c>
      <c r="M11" s="325" t="s">
        <v>3724</v>
      </c>
      <c r="S11" s="3174"/>
      <c r="T11" s="3175"/>
    </row>
    <row r="12" spans="1:20" s="300" customFormat="1" ht="16.5" customHeight="1">
      <c r="A12" s="545"/>
      <c r="B12" s="2574" t="s">
        <v>2993</v>
      </c>
      <c r="C12" s="325" t="s">
        <v>2608</v>
      </c>
      <c r="E12" s="2606" t="s">
        <v>2993</v>
      </c>
      <c r="F12" s="3276" t="s">
        <v>4721</v>
      </c>
      <c r="G12" s="2951"/>
      <c r="H12" s="2951"/>
      <c r="I12" s="2951"/>
      <c r="J12" s="2952"/>
      <c r="L12" s="2574" t="s">
        <v>2993</v>
      </c>
      <c r="M12" s="325" t="s">
        <v>2796</v>
      </c>
      <c r="S12" s="3174"/>
      <c r="T12" s="3175"/>
    </row>
    <row r="13" spans="1:20" s="300" customFormat="1" ht="16.5" customHeight="1">
      <c r="A13" s="545"/>
      <c r="B13" s="2574" t="s">
        <v>2993</v>
      </c>
      <c r="C13" s="325" t="s">
        <v>3719</v>
      </c>
      <c r="F13" s="3261" t="s">
        <v>4723</v>
      </c>
      <c r="G13" s="3262"/>
      <c r="H13" s="3262"/>
      <c r="I13" s="3262"/>
      <c r="J13" s="3263"/>
      <c r="L13" s="2574" t="s">
        <v>2993</v>
      </c>
      <c r="M13" s="2571" t="s">
        <v>3887</v>
      </c>
      <c r="S13" s="3176"/>
      <c r="T13" s="3177"/>
    </row>
    <row r="14" spans="1:20" s="300" customFormat="1" ht="16.5" customHeight="1">
      <c r="A14" s="545"/>
      <c r="B14" s="2573" t="s">
        <v>2993</v>
      </c>
      <c r="C14" s="2572" t="s">
        <v>1803</v>
      </c>
      <c r="E14" s="963" t="s">
        <v>2990</v>
      </c>
      <c r="F14" s="2572" t="s">
        <v>5005</v>
      </c>
      <c r="I14" s="3267">
        <v>30000000</v>
      </c>
      <c r="J14" s="3268"/>
      <c r="L14" s="2573" t="s">
        <v>2993</v>
      </c>
      <c r="M14" s="320" t="s">
        <v>5010</v>
      </c>
    </row>
    <row r="15" spans="1:20" s="300" customFormat="1" ht="17.100000000000001" customHeight="1">
      <c r="A15" s="545"/>
      <c r="B15" s="300" t="s">
        <v>5009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65" t="s">
        <v>1297</v>
      </c>
      <c r="I19" s="3265"/>
      <c r="J19" s="3265"/>
      <c r="K19" s="3265"/>
      <c r="L19" s="3062" t="s">
        <v>4961</v>
      </c>
      <c r="M19" s="3062"/>
      <c r="N19" s="3062" t="s">
        <v>1507</v>
      </c>
      <c r="O19" s="3062"/>
      <c r="P19" s="3062" t="s">
        <v>1630</v>
      </c>
      <c r="Q19" s="3062"/>
      <c r="S19" s="3223" t="s">
        <v>2683</v>
      </c>
      <c r="T19" s="3223"/>
    </row>
    <row r="20" spans="1:20" s="300" customFormat="1" ht="15.75" customHeight="1">
      <c r="A20" s="325"/>
      <c r="B20" s="3225" t="s">
        <v>1591</v>
      </c>
      <c r="C20" s="3226"/>
      <c r="D20" s="3226"/>
      <c r="E20" s="1239"/>
      <c r="F20" s="1239"/>
      <c r="G20" s="1239"/>
      <c r="H20" s="3188" t="s">
        <v>5291</v>
      </c>
      <c r="I20" s="3189"/>
      <c r="J20" s="3189"/>
      <c r="K20" s="3190"/>
      <c r="L20" s="3250">
        <v>35778595</v>
      </c>
      <c r="M20" s="3251"/>
      <c r="N20" s="3252">
        <v>0.04</v>
      </c>
      <c r="O20" s="3253"/>
      <c r="P20" s="3254">
        <v>30</v>
      </c>
      <c r="Q20" s="3255"/>
      <c r="S20" s="3193"/>
      <c r="T20" s="3194"/>
    </row>
    <row r="21" spans="1:20" s="300" customFormat="1" ht="15.75" customHeight="1">
      <c r="A21" s="325"/>
      <c r="B21" s="3195" t="s">
        <v>1592</v>
      </c>
      <c r="C21" s="3196"/>
      <c r="D21" s="3196"/>
      <c r="E21" s="1238"/>
      <c r="F21" s="1238"/>
      <c r="G21" s="1238"/>
      <c r="H21" s="3158"/>
      <c r="I21" s="3159"/>
      <c r="J21" s="3159"/>
      <c r="K21" s="3160"/>
      <c r="L21" s="3234"/>
      <c r="M21" s="3235"/>
      <c r="N21" s="3282"/>
      <c r="O21" s="3283"/>
      <c r="P21" s="3284"/>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2215</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641</v>
      </c>
      <c r="C25" s="3196"/>
      <c r="D25" s="3196"/>
      <c r="E25" s="1238"/>
      <c r="H25" s="3158"/>
      <c r="I25" s="3159"/>
      <c r="J25" s="3159"/>
      <c r="K25" s="3160"/>
      <c r="L25" s="3234"/>
      <c r="M25" s="3235"/>
      <c r="N25" s="3236"/>
      <c r="O25" s="3237"/>
      <c r="P25" s="3220"/>
      <c r="Q25" s="3220"/>
      <c r="S25" s="3174"/>
      <c r="T25" s="3175"/>
    </row>
    <row r="26" spans="1:20" s="300" customFormat="1" ht="15.75" customHeight="1">
      <c r="A26" s="325"/>
      <c r="B26" s="3195" t="s">
        <v>802</v>
      </c>
      <c r="C26" s="3196"/>
      <c r="D26" s="3196"/>
      <c r="E26" s="1238"/>
      <c r="H26" s="3158" t="s">
        <v>5277</v>
      </c>
      <c r="I26" s="3159"/>
      <c r="J26" s="3159"/>
      <c r="K26" s="3160"/>
      <c r="L26" s="3234">
        <v>9974556.3646079991</v>
      </c>
      <c r="M26" s="3235"/>
      <c r="N26" s="325"/>
      <c r="Q26" s="325"/>
      <c r="S26" s="3176"/>
      <c r="T26" s="3177"/>
    </row>
    <row r="27" spans="1:20" s="300" customFormat="1" ht="15.75" customHeight="1">
      <c r="A27" s="325"/>
      <c r="B27" s="3195" t="s">
        <v>803</v>
      </c>
      <c r="C27" s="3196"/>
      <c r="D27" s="3196"/>
      <c r="E27" s="1238"/>
      <c r="H27" s="3158" t="s">
        <v>5277</v>
      </c>
      <c r="I27" s="3159"/>
      <c r="J27" s="3159"/>
      <c r="K27" s="3160"/>
      <c r="L27" s="3234">
        <v>6442545.2400000002</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52195696.604607999</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44736038.819839999</v>
      </c>
      <c r="M32" s="3243"/>
      <c r="N32" s="968"/>
      <c r="S32" s="3174"/>
      <c r="T32" s="3175"/>
    </row>
    <row r="33" spans="1:20" s="300" customFormat="1" ht="16.5" customHeight="1">
      <c r="A33" s="325"/>
      <c r="B33" s="330" t="s">
        <v>2157</v>
      </c>
      <c r="C33" s="325"/>
      <c r="D33" s="325"/>
      <c r="E33" s="325"/>
      <c r="F33" s="325"/>
      <c r="G33" s="325"/>
      <c r="H33" s="325"/>
      <c r="I33" s="325"/>
      <c r="L33" s="3244">
        <f>L31-L32</f>
        <v>7459657.7847680002</v>
      </c>
      <c r="M33" s="3245"/>
      <c r="N33" s="968"/>
      <c r="S33" s="3176"/>
      <c r="T33" s="3177"/>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0"/>
      <c r="I36" s="3220"/>
      <c r="K36" s="423" t="s">
        <v>2099</v>
      </c>
      <c r="L36" s="1243" t="s">
        <v>1295</v>
      </c>
      <c r="M36" s="1243" t="s">
        <v>1300</v>
      </c>
      <c r="P36" s="3221" t="s">
        <v>34</v>
      </c>
      <c r="Q36" s="3221"/>
      <c r="S36" s="395"/>
    </row>
    <row r="37" spans="1:20" s="300" customFormat="1" ht="13.35" customHeight="1">
      <c r="A37" s="325"/>
      <c r="B37" s="1246" t="s">
        <v>1871</v>
      </c>
      <c r="C37" s="1245"/>
      <c r="D37" s="1245"/>
      <c r="E37" s="2919" t="s">
        <v>1297</v>
      </c>
      <c r="F37" s="2919"/>
      <c r="G37" s="2919"/>
      <c r="H37" s="2919"/>
      <c r="I37" s="3062" t="s">
        <v>4960</v>
      </c>
      <c r="J37" s="3062"/>
      <c r="K37" s="1230" t="s">
        <v>1806</v>
      </c>
      <c r="L37" s="1230" t="s">
        <v>2214</v>
      </c>
      <c r="M37" s="1230" t="s">
        <v>2214</v>
      </c>
      <c r="N37" s="3062" t="s">
        <v>74</v>
      </c>
      <c r="O37" s="3062"/>
      <c r="P37" s="3222"/>
      <c r="Q37" s="3222"/>
      <c r="S37" s="3223" t="s">
        <v>2683</v>
      </c>
      <c r="T37" s="3223"/>
    </row>
    <row r="38" spans="1:20" s="300" customFormat="1" ht="15.75" customHeight="1">
      <c r="A38" s="325"/>
      <c r="B38" s="3225" t="s">
        <v>2614</v>
      </c>
      <c r="C38" s="3226"/>
      <c r="D38" s="3226"/>
      <c r="E38" s="3188" t="s">
        <v>5292</v>
      </c>
      <c r="F38" s="3189"/>
      <c r="G38" s="3189"/>
      <c r="H38" s="3190"/>
      <c r="I38" s="3182">
        <v>21063604.093558483</v>
      </c>
      <c r="J38" s="3183"/>
      <c r="K38" s="965">
        <v>3.5999999999999997E-2</v>
      </c>
      <c r="L38" s="1240">
        <v>18</v>
      </c>
      <c r="M38" s="1240">
        <v>35</v>
      </c>
      <c r="N38" s="3227" t="s">
        <v>5293</v>
      </c>
      <c r="O38" s="3227"/>
      <c r="P38" s="3184">
        <f>IF(OR(I38&lt;=0,I38=""),"",IF(N38="Cash Flow",0,IF(N38="Amortizing",-PMT(K38/12,M38*12,I38,0,0)*12,"")))</f>
        <v>1059344.3643382434</v>
      </c>
      <c r="Q38" s="3184"/>
      <c r="S38" s="3193"/>
      <c r="T38" s="3194"/>
    </row>
    <row r="39" spans="1:20" s="300" customFormat="1" ht="15.75" customHeight="1">
      <c r="A39" s="325"/>
      <c r="B39" s="3195" t="s">
        <v>2615</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2616</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2749</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0.44943628571428573</v>
      </c>
      <c r="E43" s="3164" t="s">
        <v>5226</v>
      </c>
      <c r="F43" s="3165"/>
      <c r="G43" s="3165"/>
      <c r="H43" s="3166"/>
      <c r="I43" s="3228">
        <v>1573027</v>
      </c>
      <c r="J43" s="3229"/>
      <c r="K43" s="964">
        <v>0</v>
      </c>
      <c r="L43" s="963">
        <v>6</v>
      </c>
      <c r="M43" s="963">
        <v>0</v>
      </c>
      <c r="N43" s="3232" t="s">
        <v>1164</v>
      </c>
      <c r="O43" s="3233"/>
      <c r="P43" s="3230">
        <f>IF(OR(I43&lt;=0,I43=""),"",IF(N43="Cash Flow",0,IF(N43="Amortizing",-PMT(K43/12,M43*12,I43,0,0)*12,"")))</f>
        <v>0</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4184</v>
      </c>
      <c r="C45" s="1535"/>
      <c r="E45" s="300" t="s">
        <v>4086</v>
      </c>
      <c r="F45" s="3203">
        <f>IF(OR($I$43="",$I$43=0,'Part VII-Pro Forma'!$S$35=0,'Part VII-Pro Forma'!$S$35=""),"",VLOOKUP($L$43,'Part VII-Pro Forma'!$Q$20:$S$40,3))</f>
        <v>1756385.6056866103</v>
      </c>
      <c r="G45" s="3204"/>
      <c r="H45" s="712" t="s">
        <v>4183</v>
      </c>
      <c r="I45" s="3203">
        <f>IF(OR($I$43="",$I$43=0,'Part VII-Pro Forma'!$R$35=0,'Part VII-Pro Forma'!$R$35=""),"",VLOOKUP($L$43,'Part VII-Pro Forma'!$Q$20:$S$35,2))</f>
        <v>819714.55726175662</v>
      </c>
      <c r="J45" s="3204"/>
      <c r="K45" s="712" t="s">
        <v>4185</v>
      </c>
      <c r="L45" s="3213">
        <f>IF(OR($F$45 = 0,$F$45 =""),"",$I$45/$F$45)</f>
        <v>0.46670534910317252</v>
      </c>
      <c r="M45" s="3214"/>
      <c r="N45" s="3217" t="s">
        <v>4972</v>
      </c>
      <c r="O45" s="3218"/>
      <c r="P45" s="3215">
        <f>IF(OR($I$60=0,$I$58&gt;$I$59),0,ABS($I$58-$I$59))</f>
        <v>0</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2215</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c r="F48" s="3159"/>
      <c r="G48" s="3159"/>
      <c r="H48" s="3160"/>
      <c r="I48" s="3161"/>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5277</v>
      </c>
      <c r="F49" s="3159"/>
      <c r="G49" s="3159"/>
      <c r="H49" s="3160"/>
      <c r="I49" s="3161">
        <v>16624260.60768</v>
      </c>
      <c r="J49" s="3161"/>
      <c r="L49" s="3201">
        <f>'Part IV-A-Uses of Funds'!$J$175*10*'Part IV-A-Uses of Funds'!$N$168</f>
        <v>16625923.199999999</v>
      </c>
      <c r="M49" s="3201"/>
      <c r="N49" s="3202">
        <f>I49-L49</f>
        <v>-1662.5923199988902</v>
      </c>
      <c r="O49" s="3202"/>
      <c r="P49" s="459" t="s">
        <v>2560</v>
      </c>
      <c r="Q49" s="425"/>
      <c r="S49" s="3174"/>
      <c r="T49" s="3175"/>
    </row>
    <row r="50" spans="1:23" s="300" customFormat="1" ht="15.75" customHeight="1">
      <c r="A50" s="325"/>
      <c r="B50" s="3195" t="s">
        <v>803</v>
      </c>
      <c r="C50" s="3196"/>
      <c r="D50" s="3197"/>
      <c r="E50" s="3158" t="s">
        <v>5277</v>
      </c>
      <c r="F50" s="3159"/>
      <c r="G50" s="3159"/>
      <c r="H50" s="3160"/>
      <c r="I50" s="3161">
        <v>10737575.4</v>
      </c>
      <c r="J50" s="3161"/>
      <c r="L50" s="3201">
        <f>'Part IV-A-Uses of Funds'!$J$175*10*'Part IV-A-Uses of Funds'!$Q$168</f>
        <v>10737575.4</v>
      </c>
      <c r="M50" s="3201"/>
      <c r="N50" s="3202">
        <f>I50-L50</f>
        <v>0</v>
      </c>
      <c r="O50" s="3202"/>
      <c r="P50" s="460">
        <f>I49/I59</f>
        <v>0.33249540766084634</v>
      </c>
      <c r="Q50" s="425"/>
      <c r="S50" s="3174"/>
      <c r="T50" s="3175"/>
    </row>
    <row r="51" spans="1:23" s="300" customFormat="1" ht="15.75" customHeight="1">
      <c r="A51" s="325"/>
      <c r="B51" s="3195" t="s">
        <v>1410</v>
      </c>
      <c r="C51" s="3196"/>
      <c r="D51" s="3197"/>
      <c r="E51" s="3158"/>
      <c r="F51" s="3159"/>
      <c r="G51" s="3159"/>
      <c r="H51" s="3160"/>
      <c r="I51" s="3161"/>
      <c r="J51" s="3161"/>
      <c r="P51" s="460">
        <f>I50/I59</f>
        <v>0.21475809325695563</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0.547253500917802</v>
      </c>
      <c r="Q52" s="425"/>
      <c r="S52" s="3174"/>
      <c r="T52" s="3175"/>
    </row>
    <row r="53" spans="1:23" s="300" customFormat="1" ht="15.75" customHeight="1">
      <c r="A53" s="325"/>
      <c r="B53" s="1237" t="s">
        <v>1869</v>
      </c>
      <c r="C53" s="1238"/>
      <c r="D53" s="1242"/>
      <c r="E53" s="3158"/>
      <c r="F53" s="3159"/>
      <c r="G53" s="3159"/>
      <c r="H53" s="3160"/>
      <c r="I53" s="3161"/>
      <c r="J53" s="3161"/>
      <c r="N53" s="426"/>
      <c r="O53" s="426"/>
      <c r="P53" s="426"/>
      <c r="Q53" s="425"/>
      <c r="S53" s="3174"/>
      <c r="T53" s="3175"/>
    </row>
    <row r="54" spans="1:23" s="300" customFormat="1" ht="15.75" customHeight="1">
      <c r="A54" s="325"/>
      <c r="B54" s="1237" t="s">
        <v>1870</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c r="D55" s="3178"/>
      <c r="E55" s="3158"/>
      <c r="F55" s="3159"/>
      <c r="G55" s="3159"/>
      <c r="H55" s="3160"/>
      <c r="I55" s="3161"/>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2216</v>
      </c>
      <c r="C58" s="325"/>
      <c r="D58" s="325"/>
      <c r="E58" s="325"/>
      <c r="F58" s="325"/>
      <c r="G58" s="325"/>
      <c r="I58" s="3168">
        <f>SUM(I38:J43)+SUM(I47:J57)</f>
        <v>49998467.101238482</v>
      </c>
      <c r="J58" s="3169"/>
      <c r="K58" s="325"/>
      <c r="L58" s="427"/>
      <c r="M58" s="426"/>
      <c r="N58" s="426"/>
      <c r="O58" s="426"/>
      <c r="P58" s="426"/>
      <c r="Q58" s="425"/>
      <c r="S58" s="3174"/>
      <c r="T58" s="3175"/>
    </row>
    <row r="59" spans="1:23" s="300" customFormat="1" ht="14.25" customHeight="1" thickBot="1">
      <c r="A59" s="325"/>
      <c r="B59" s="1228" t="s">
        <v>2217</v>
      </c>
      <c r="C59" s="325"/>
      <c r="D59" s="325"/>
      <c r="E59" s="325"/>
      <c r="F59" s="325"/>
      <c r="G59" s="325"/>
      <c r="I59" s="3170">
        <f>'Part IV-A-Uses of Funds'!$G$132</f>
        <v>49998466.819839999</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0.28139848262071609</v>
      </c>
      <c r="J60" s="3173"/>
      <c r="K60" s="325"/>
      <c r="L60" s="427"/>
      <c r="M60" s="426"/>
      <c r="N60" s="426"/>
      <c r="O60" s="426"/>
      <c r="P60" s="426"/>
      <c r="Q60" s="425"/>
      <c r="S60" s="3176"/>
      <c r="T60" s="3177"/>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t="s">
        <v>5294</v>
      </c>
      <c r="B64" s="3181"/>
      <c r="C64" s="3181"/>
      <c r="D64" s="3181"/>
      <c r="E64" s="3181"/>
      <c r="F64" s="3181"/>
      <c r="G64" s="3181"/>
      <c r="H64" s="3181"/>
      <c r="I64" s="3181"/>
      <c r="J64" s="3181"/>
      <c r="K64" s="3181"/>
      <c r="L64" s="3181"/>
      <c r="M64" s="3180"/>
      <c r="N64" s="3180"/>
      <c r="O64" s="3180"/>
      <c r="P64" s="3180"/>
      <c r="Q64" s="3180"/>
      <c r="S64" s="3162" t="s">
        <v>2693</v>
      </c>
      <c r="T64" s="3162"/>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disablePrompts="1"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7" t="s">
        <v>218</v>
      </c>
      <c r="B3" s="3297"/>
      <c r="C3" s="3297"/>
      <c r="D3" s="3297"/>
      <c r="E3" s="3297"/>
      <c r="F3" s="3297"/>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8" t="s">
        <v>128</v>
      </c>
      <c r="B14" s="3298"/>
      <c r="C14" s="3298"/>
      <c r="D14" s="3298"/>
      <c r="E14" s="3298"/>
      <c r="F14" s="3298"/>
      <c r="G14" s="214"/>
      <c r="H14" s="214"/>
    </row>
    <row r="15" spans="1:17" ht="5.45" customHeight="1">
      <c r="A15" s="28"/>
      <c r="E15" s="225"/>
      <c r="F15" s="214"/>
      <c r="G15" s="214"/>
      <c r="H15" s="214"/>
    </row>
    <row r="16" spans="1:17" ht="13.35" customHeight="1">
      <c r="A16" s="227" t="s">
        <v>2480</v>
      </c>
      <c r="B16" s="228" t="s">
        <v>2477</v>
      </c>
      <c r="C16" s="228" t="s">
        <v>2478</v>
      </c>
      <c r="D16" s="3294" t="s">
        <v>2254</v>
      </c>
      <c r="E16" s="3294"/>
      <c r="F16" s="214"/>
      <c r="G16" s="214"/>
      <c r="H16" s="214"/>
    </row>
    <row r="17" spans="1:8" ht="12.6" customHeight="1">
      <c r="A17" s="82">
        <v>1</v>
      </c>
      <c r="B17" s="203">
        <f>IF(A17&gt;$C$9,0,SUM(C64:C75)*($C$6/$C$7))</f>
        <v>0</v>
      </c>
      <c r="C17" s="226">
        <f>IF(A17&gt;C9,0,(E63+K63)*$C$8)</f>
        <v>0</v>
      </c>
      <c r="D17" s="3299">
        <f t="shared" ref="D17:D56" si="0">IF(A17&gt;$C$9,0,$C$11+C17)</f>
        <v>0</v>
      </c>
      <c r="E17" s="3299"/>
      <c r="F17" s="214"/>
      <c r="G17" s="214"/>
      <c r="H17" s="214"/>
    </row>
    <row r="18" spans="1:8" ht="12.6" customHeight="1">
      <c r="A18" s="82">
        <v>2</v>
      </c>
      <c r="B18" s="203">
        <f>IF(A18&gt;C9,0,SUM(C76:C87)*($C$6/$C$7))</f>
        <v>0</v>
      </c>
      <c r="C18" s="233">
        <f>IF(A18&gt;C9,0,(E75+K75)*$C$8)</f>
        <v>0</v>
      </c>
      <c r="D18" s="3291">
        <f t="shared" si="0"/>
        <v>0</v>
      </c>
      <c r="E18" s="3291"/>
      <c r="F18" s="214"/>
      <c r="G18" s="214"/>
      <c r="H18" s="214"/>
    </row>
    <row r="19" spans="1:8" ht="12.6" customHeight="1">
      <c r="A19" s="82">
        <v>3</v>
      </c>
      <c r="B19" s="203">
        <f>IF(A19&gt;C9,0,SUM(C88:C99)*($C$6/$C$7))</f>
        <v>0</v>
      </c>
      <c r="C19" s="226">
        <f>IF(A19&gt;C9,0,(E87+K87)*$C$8)</f>
        <v>0</v>
      </c>
      <c r="D19" s="3291">
        <f t="shared" si="0"/>
        <v>0</v>
      </c>
      <c r="E19" s="3291"/>
      <c r="F19" s="214"/>
      <c r="G19" s="214"/>
      <c r="H19" s="214"/>
    </row>
    <row r="20" spans="1:8" ht="12.6" customHeight="1">
      <c r="A20" s="82">
        <v>4</v>
      </c>
      <c r="B20" s="203">
        <f>IF(A20&gt;C9,0,SUM(C100:C111)*($C$6/$C$7))</f>
        <v>0</v>
      </c>
      <c r="C20" s="226">
        <f>IF(A20&gt;C9,0,(E99+K99)*$C$8)</f>
        <v>0</v>
      </c>
      <c r="D20" s="3291">
        <f t="shared" si="0"/>
        <v>0</v>
      </c>
      <c r="E20" s="3291"/>
      <c r="F20" s="214"/>
      <c r="G20" s="214"/>
      <c r="H20" s="214"/>
    </row>
    <row r="21" spans="1:8" ht="12.6" customHeight="1">
      <c r="A21" s="82">
        <v>5</v>
      </c>
      <c r="B21" s="203">
        <f>IF(A21&gt;C9,0,SUM(C112:C123)*($C$6/$C$7))</f>
        <v>0</v>
      </c>
      <c r="C21" s="226">
        <f>IF(A21&gt;C9,0,(E111+K111)*$C$8)</f>
        <v>0</v>
      </c>
      <c r="D21" s="3292">
        <f t="shared" si="0"/>
        <v>0</v>
      </c>
      <c r="E21" s="3292"/>
      <c r="F21" s="214"/>
      <c r="G21" s="214"/>
      <c r="H21" s="214"/>
    </row>
    <row r="22" spans="1:8" ht="12.6" customHeight="1">
      <c r="A22" s="204">
        <v>6</v>
      </c>
      <c r="B22" s="205">
        <f>IF(A22&gt;C9,0,SUM(C124:C135)*($C$6/$C$7))</f>
        <v>0</v>
      </c>
      <c r="C22" s="230">
        <f>IF(A22&gt;C9,0,(E123+K123)*$C$8)</f>
        <v>0</v>
      </c>
      <c r="D22" s="3291">
        <f t="shared" si="0"/>
        <v>0</v>
      </c>
      <c r="E22" s="3291"/>
      <c r="F22" s="214"/>
      <c r="G22" s="214"/>
      <c r="H22" s="214"/>
    </row>
    <row r="23" spans="1:8" ht="12.6" customHeight="1">
      <c r="A23" s="206">
        <v>7</v>
      </c>
      <c r="B23" s="207">
        <f>IF(A23&gt;C9,0,SUM(C136:C147)*($C$6/$C$7))</f>
        <v>0</v>
      </c>
      <c r="C23" s="208">
        <f>IF(A23&gt;C9,0,(E135+K135)*$C$8)</f>
        <v>0</v>
      </c>
      <c r="D23" s="3291">
        <f t="shared" si="0"/>
        <v>0</v>
      </c>
      <c r="E23" s="3291"/>
      <c r="F23" s="214"/>
      <c r="G23" s="214"/>
      <c r="H23" s="214"/>
    </row>
    <row r="24" spans="1:8" ht="12.6" customHeight="1">
      <c r="A24" s="206">
        <v>8</v>
      </c>
      <c r="B24" s="207">
        <f>IF(A24&gt;C9,0,SUM(C148:C159)*($C$6/$C$7))</f>
        <v>0</v>
      </c>
      <c r="C24" s="208">
        <f>IF(A24&gt;C9,0,(E147+K147)*$C$8)</f>
        <v>0</v>
      </c>
      <c r="D24" s="3291">
        <f t="shared" si="0"/>
        <v>0</v>
      </c>
      <c r="E24" s="3291"/>
      <c r="F24" s="214"/>
      <c r="G24" s="214"/>
      <c r="H24" s="214"/>
    </row>
    <row r="25" spans="1:8" ht="12.6" customHeight="1">
      <c r="A25" s="206">
        <v>9</v>
      </c>
      <c r="B25" s="207">
        <f>IF(A25&gt;C9,0,SUM(C160:C171)*($C$6/$C$7))</f>
        <v>0</v>
      </c>
      <c r="C25" s="208">
        <f>IF(A25&gt;C9,0,(E159+K159)*$C$8)</f>
        <v>0</v>
      </c>
      <c r="D25" s="3291">
        <f t="shared" si="0"/>
        <v>0</v>
      </c>
      <c r="E25" s="3291"/>
      <c r="F25" s="214"/>
      <c r="G25" s="214"/>
      <c r="H25" s="214"/>
    </row>
    <row r="26" spans="1:8" ht="12.6" customHeight="1">
      <c r="A26" s="209">
        <v>10</v>
      </c>
      <c r="B26" s="210">
        <f>IF(A26&gt;C9,0,SUM(C172:C183)*($C$6/$C$7))</f>
        <v>0</v>
      </c>
      <c r="C26" s="229">
        <f>IF(A26&gt;C9,0,(E171+K171)*$C$8)</f>
        <v>0</v>
      </c>
      <c r="D26" s="3292">
        <f t="shared" si="0"/>
        <v>0</v>
      </c>
      <c r="E26" s="3292"/>
      <c r="F26" s="214"/>
      <c r="G26" s="214"/>
      <c r="H26" s="214"/>
    </row>
    <row r="27" spans="1:8" ht="12.6" customHeight="1">
      <c r="A27" s="211">
        <v>11</v>
      </c>
      <c r="B27" s="203">
        <f>IF(A27&gt;C9,0,SUM(C184:C195)*($C$6/$C$7))</f>
        <v>0</v>
      </c>
      <c r="C27" s="226">
        <f>IF(A27&gt;C9,0,(E183+K183)*$C$8)</f>
        <v>0</v>
      </c>
      <c r="D27" s="3291">
        <f t="shared" si="0"/>
        <v>0</v>
      </c>
      <c r="E27" s="3291"/>
      <c r="F27" s="214"/>
      <c r="G27" s="214"/>
      <c r="H27" s="214"/>
    </row>
    <row r="28" spans="1:8" ht="12.6" customHeight="1">
      <c r="A28" s="211">
        <v>12</v>
      </c>
      <c r="B28" s="203">
        <f>IF(A28&gt;C9,0,SUM(C196:C207)*($C$6/$C$7))</f>
        <v>0</v>
      </c>
      <c r="C28" s="226">
        <f>IF(A28&gt;C9,0,(E195+K195)*$C$8)</f>
        <v>0</v>
      </c>
      <c r="D28" s="3291">
        <f t="shared" si="0"/>
        <v>0</v>
      </c>
      <c r="E28" s="3291"/>
      <c r="F28" s="214"/>
      <c r="G28" s="214"/>
      <c r="H28" s="214"/>
    </row>
    <row r="29" spans="1:8" ht="12.6" customHeight="1">
      <c r="A29" s="211">
        <v>13</v>
      </c>
      <c r="B29" s="203">
        <f>IF(A29&gt;C9,0,SUM(C208:C219)*($C$6/$C$7))</f>
        <v>0</v>
      </c>
      <c r="C29" s="226">
        <f>IF(A29&gt;C9,0,(E207+K207)*$C$8)</f>
        <v>0</v>
      </c>
      <c r="D29" s="3291">
        <f t="shared" si="0"/>
        <v>0</v>
      </c>
      <c r="E29" s="3291"/>
      <c r="F29" s="214"/>
      <c r="G29" s="214"/>
      <c r="H29" s="214"/>
    </row>
    <row r="30" spans="1:8" ht="12.6" customHeight="1">
      <c r="A30" s="211">
        <v>14</v>
      </c>
      <c r="B30" s="203">
        <f>IF(A30&gt;C9,0,SUM(C220:C231)*($C$6/$C$7))</f>
        <v>0</v>
      </c>
      <c r="C30" s="226">
        <f>IF(A30&gt;C9,0,(E219+K219)*$C$8)</f>
        <v>0</v>
      </c>
      <c r="D30" s="3291">
        <f t="shared" si="0"/>
        <v>0</v>
      </c>
      <c r="E30" s="3291"/>
      <c r="F30" s="214"/>
      <c r="G30" s="214"/>
      <c r="H30" s="214"/>
    </row>
    <row r="31" spans="1:8" ht="12.6" customHeight="1">
      <c r="A31" s="211">
        <v>15</v>
      </c>
      <c r="B31" s="203">
        <f>IF(A31&gt;C9,0,SUM(C232:C243)*($C$6/$C$7))</f>
        <v>0</v>
      </c>
      <c r="C31" s="226">
        <f>IF(A31&gt;C9,0,(E231+K231)*$C$8)</f>
        <v>0</v>
      </c>
      <c r="D31" s="3292">
        <f t="shared" si="0"/>
        <v>0</v>
      </c>
      <c r="E31" s="3292"/>
      <c r="F31" s="214"/>
      <c r="G31" s="214"/>
      <c r="H31" s="214"/>
    </row>
    <row r="32" spans="1:8" ht="12.6" customHeight="1">
      <c r="A32" s="213">
        <v>16</v>
      </c>
      <c r="B32" s="205">
        <f>IF(A32&gt;C9,0,SUM(C244:C255)*($C$6/$C$7))</f>
        <v>0</v>
      </c>
      <c r="C32" s="230">
        <f>IF(A32&gt;C9,0,(E243+K243)*$C$8)</f>
        <v>0</v>
      </c>
      <c r="D32" s="3291">
        <f t="shared" si="0"/>
        <v>0</v>
      </c>
      <c r="E32" s="3291"/>
      <c r="F32" s="214"/>
      <c r="G32" s="214"/>
      <c r="H32" s="214"/>
    </row>
    <row r="33" spans="1:8" ht="12.6" customHeight="1">
      <c r="A33" s="206">
        <v>17</v>
      </c>
      <c r="B33" s="207">
        <f>IF(A33&gt;C9,0,SUM(C256:C267)*($C$6/$C$7))</f>
        <v>0</v>
      </c>
      <c r="C33" s="208">
        <f>IF(A33&gt;C9,0,(E255+K255)*$C$8)</f>
        <v>0</v>
      </c>
      <c r="D33" s="3291">
        <f t="shared" si="0"/>
        <v>0</v>
      </c>
      <c r="E33" s="3291"/>
      <c r="F33" s="214"/>
      <c r="G33" s="214"/>
      <c r="H33" s="214"/>
    </row>
    <row r="34" spans="1:8" ht="12.6" customHeight="1">
      <c r="A34" s="206">
        <v>18</v>
      </c>
      <c r="B34" s="207">
        <f>IF(A34&gt;C9,0,SUM(C268:C279)*($C$6/$C$7))</f>
        <v>0</v>
      </c>
      <c r="C34" s="208">
        <f>IF(A34&gt;C9,0,(E267+K267)*$C$8)</f>
        <v>0</v>
      </c>
      <c r="D34" s="3291">
        <f t="shared" si="0"/>
        <v>0</v>
      </c>
      <c r="E34" s="3291"/>
      <c r="F34" s="214"/>
      <c r="G34" s="214"/>
      <c r="H34" s="214"/>
    </row>
    <row r="35" spans="1:8" ht="12.6" customHeight="1">
      <c r="A35" s="206">
        <v>19</v>
      </c>
      <c r="B35" s="207">
        <f>IF(A35&gt;C9,0,SUM(C280:C291)*($C$6/$C$7))</f>
        <v>0</v>
      </c>
      <c r="C35" s="208">
        <f>IF(A35&gt;C9,0,(E279+K279)*$C$8)</f>
        <v>0</v>
      </c>
      <c r="D35" s="3291">
        <f t="shared" si="0"/>
        <v>0</v>
      </c>
      <c r="E35" s="3291"/>
      <c r="F35" s="214"/>
      <c r="G35" s="214"/>
      <c r="H35" s="214"/>
    </row>
    <row r="36" spans="1:8" ht="12.6" customHeight="1">
      <c r="A36" s="209">
        <v>20</v>
      </c>
      <c r="B36" s="210">
        <f>IF(A36&gt;C9,0,SUM(C292:C303)*($C$6/$C$7))</f>
        <v>0</v>
      </c>
      <c r="C36" s="229">
        <f>IF(A36&gt;C9,0,(E291+K291)*$C$8)</f>
        <v>0</v>
      </c>
      <c r="D36" s="3292">
        <f t="shared" si="0"/>
        <v>0</v>
      </c>
      <c r="E36" s="3292"/>
      <c r="F36" s="214"/>
      <c r="G36" s="214"/>
      <c r="H36" s="214"/>
    </row>
    <row r="37" spans="1:8" ht="12.6" customHeight="1">
      <c r="A37" s="82">
        <v>21</v>
      </c>
      <c r="B37" s="205">
        <f>IF(A37&gt;C9,0,SUM(C293:C304)*($C$6/$C$7))</f>
        <v>0</v>
      </c>
      <c r="C37" s="230">
        <f>IF(A37&gt;C9,0,(E303+K303)*$C$8)</f>
        <v>0</v>
      </c>
      <c r="D37" s="3293">
        <f t="shared" si="0"/>
        <v>0</v>
      </c>
      <c r="E37" s="3293"/>
      <c r="F37" s="214"/>
      <c r="G37" s="214"/>
      <c r="H37" s="214"/>
    </row>
    <row r="38" spans="1:8" ht="12.6" customHeight="1">
      <c r="A38" s="82">
        <v>22</v>
      </c>
      <c r="B38" s="207">
        <f>IF(A38&gt;C9,0,SUM(C294:C305)*($C$6/$C$7))</f>
        <v>0</v>
      </c>
      <c r="C38" s="208">
        <f>IF(A38&gt;C9,0,(E315+K315)*$C$8)</f>
        <v>0</v>
      </c>
      <c r="D38" s="3291">
        <f t="shared" si="0"/>
        <v>0</v>
      </c>
      <c r="E38" s="3291"/>
      <c r="F38" s="214"/>
      <c r="G38" s="214"/>
      <c r="H38" s="214"/>
    </row>
    <row r="39" spans="1:8" ht="12.6" customHeight="1">
      <c r="A39" s="82">
        <v>23</v>
      </c>
      <c r="B39" s="207">
        <f>IF(A39&gt;C9,0,SUM(C295:C306)*($C$6/$C$7))</f>
        <v>0</v>
      </c>
      <c r="C39" s="208">
        <f>IF(A39&gt;C9,0,(E327+K327)*$C$8)</f>
        <v>0</v>
      </c>
      <c r="D39" s="3291">
        <f t="shared" si="0"/>
        <v>0</v>
      </c>
      <c r="E39" s="3291"/>
      <c r="F39" s="214"/>
      <c r="G39" s="214"/>
      <c r="H39" s="214"/>
    </row>
    <row r="40" spans="1:8" ht="12.6" customHeight="1">
      <c r="A40" s="82">
        <v>24</v>
      </c>
      <c r="B40" s="207">
        <f>IF(A40&gt;C9,0,SUM(C296:C307)*($C$6/$C$7))</f>
        <v>0</v>
      </c>
      <c r="C40" s="208">
        <f>IF(A40&gt;C9,0,(E339+K339)*$C$8)</f>
        <v>0</v>
      </c>
      <c r="D40" s="3291">
        <f t="shared" si="0"/>
        <v>0</v>
      </c>
      <c r="E40" s="3291"/>
      <c r="F40" s="214"/>
      <c r="G40" s="214"/>
      <c r="H40" s="214"/>
    </row>
    <row r="41" spans="1:8" ht="12.6" customHeight="1">
      <c r="A41" s="82">
        <v>25</v>
      </c>
      <c r="B41" s="210">
        <f>IF(A41&gt;C9,0,SUM(C297:C308)*($C$6/$C$7))</f>
        <v>0</v>
      </c>
      <c r="C41" s="229">
        <f>IF(A41&gt;C9,0,(E351+K351)*$C$8)</f>
        <v>0</v>
      </c>
      <c r="D41" s="3292">
        <f t="shared" si="0"/>
        <v>0</v>
      </c>
      <c r="E41" s="3292"/>
      <c r="F41" s="214"/>
      <c r="G41" s="214"/>
      <c r="H41" s="214"/>
    </row>
    <row r="42" spans="1:8" ht="12.6" customHeight="1">
      <c r="A42" s="204">
        <v>26</v>
      </c>
      <c r="B42" s="205">
        <f>IF(A42&gt;C9,0,SUM(C298:C309)*($C$6/$C$7))</f>
        <v>0</v>
      </c>
      <c r="C42" s="230">
        <f>IF(A42&gt;C9,0,(E363+K363)*$C$8)</f>
        <v>0</v>
      </c>
      <c r="D42" s="3293">
        <f t="shared" si="0"/>
        <v>0</v>
      </c>
      <c r="E42" s="3293"/>
      <c r="F42" s="214"/>
      <c r="G42" s="214"/>
      <c r="H42" s="214"/>
    </row>
    <row r="43" spans="1:8" ht="12.6" customHeight="1">
      <c r="A43" s="206">
        <v>27</v>
      </c>
      <c r="B43" s="207">
        <f>IF(A43&gt;C9,0,SUM(C299:C310)*($C$6/$C$7))</f>
        <v>0</v>
      </c>
      <c r="C43" s="208">
        <f>IF(A43&gt;C9,0,(E375+K375)*$C$8)</f>
        <v>0</v>
      </c>
      <c r="D43" s="3291">
        <f t="shared" si="0"/>
        <v>0</v>
      </c>
      <c r="E43" s="3291"/>
      <c r="F43" s="214"/>
      <c r="G43" s="214"/>
      <c r="H43" s="214"/>
    </row>
    <row r="44" spans="1:8" ht="12.6" customHeight="1">
      <c r="A44" s="206">
        <v>28</v>
      </c>
      <c r="B44" s="207">
        <f>IF(A44&gt;C9,0,SUM(C300:C311)*($C$6/$C$7))</f>
        <v>0</v>
      </c>
      <c r="C44" s="208">
        <f>IF(A44&gt;C9,0,(E387+K387)*$C$8)</f>
        <v>0</v>
      </c>
      <c r="D44" s="3291">
        <f t="shared" si="0"/>
        <v>0</v>
      </c>
      <c r="E44" s="3291"/>
      <c r="F44" s="214"/>
      <c r="G44" s="214"/>
      <c r="H44" s="214"/>
    </row>
    <row r="45" spans="1:8" ht="12.6" customHeight="1">
      <c r="A45" s="206">
        <v>29</v>
      </c>
      <c r="B45" s="207">
        <f>IF(A45&gt;C9,0,SUM(C301:C312)*($C$6/$C$7))</f>
        <v>0</v>
      </c>
      <c r="C45" s="208">
        <f>IF(A45&gt;C9,0,(E411+K411)*$C$8)</f>
        <v>0</v>
      </c>
      <c r="D45" s="3291">
        <f t="shared" si="0"/>
        <v>0</v>
      </c>
      <c r="E45" s="3291"/>
      <c r="F45" s="214"/>
      <c r="G45" s="214"/>
      <c r="H45" s="214"/>
    </row>
    <row r="46" spans="1:8" ht="12.6" customHeight="1">
      <c r="A46" s="209">
        <v>30</v>
      </c>
      <c r="B46" s="210">
        <f>IF(A46&gt;C9,0,SUM(C302:C313)*($C$6/$C$7))</f>
        <v>0</v>
      </c>
      <c r="C46" s="229">
        <f>IF(A46&gt;C9,0,(E423+K423)*$C$8)</f>
        <v>0</v>
      </c>
      <c r="D46" s="3292">
        <f t="shared" si="0"/>
        <v>0</v>
      </c>
      <c r="E46" s="3292"/>
      <c r="F46" s="214"/>
      <c r="G46" s="214"/>
      <c r="H46" s="214"/>
    </row>
    <row r="47" spans="1:8" ht="12.6" customHeight="1">
      <c r="A47" s="213">
        <v>31</v>
      </c>
      <c r="B47" s="205">
        <f>IF(A47&gt;C9,0,SUM(C303:C314)*($C$6/$C$7))</f>
        <v>0</v>
      </c>
      <c r="C47" s="230">
        <f>IF(A47&gt;C9,0,(E435+K435)*$C$8)</f>
        <v>0</v>
      </c>
      <c r="D47" s="3293">
        <f t="shared" si="0"/>
        <v>0</v>
      </c>
      <c r="E47" s="3293"/>
      <c r="F47" s="214"/>
      <c r="G47" s="214"/>
      <c r="H47" s="214"/>
    </row>
    <row r="48" spans="1:8" ht="12.6" customHeight="1">
      <c r="A48" s="206">
        <v>32</v>
      </c>
      <c r="B48" s="207">
        <f>IF(A48&gt;C9,0,SUM(C304:C315)*($C$6/$C$7))</f>
        <v>0</v>
      </c>
      <c r="C48" s="208">
        <f>IF(A48&gt;C9,0,(E447+K447)*$C$8)</f>
        <v>0</v>
      </c>
      <c r="D48" s="3291">
        <f t="shared" si="0"/>
        <v>0</v>
      </c>
      <c r="E48" s="3291"/>
      <c r="F48" s="214"/>
      <c r="G48" s="214"/>
      <c r="H48" s="214"/>
    </row>
    <row r="49" spans="1:12" ht="12.6" customHeight="1">
      <c r="A49" s="206">
        <v>33</v>
      </c>
      <c r="B49" s="207">
        <f>IF(A49&gt;C9,0,SUM(C305:C316)*($C$6/$C$7))</f>
        <v>0</v>
      </c>
      <c r="C49" s="208">
        <f>IF(A49&gt;C9,0,(E459+K459)*$C$8)</f>
        <v>0</v>
      </c>
      <c r="D49" s="3291">
        <f t="shared" si="0"/>
        <v>0</v>
      </c>
      <c r="E49" s="3291"/>
      <c r="F49" s="214"/>
      <c r="G49" s="214"/>
      <c r="H49" s="214"/>
    </row>
    <row r="50" spans="1:12" ht="12.6" customHeight="1">
      <c r="A50" s="206">
        <v>34</v>
      </c>
      <c r="B50" s="207">
        <f>IF(A50&gt;C9,0,SUM(C306:C317)*($C$6/$C$7))</f>
        <v>0</v>
      </c>
      <c r="C50" s="208">
        <f>IF(A50&gt;C9,0,(E471+K471)*$C$8)</f>
        <v>0</v>
      </c>
      <c r="D50" s="3291">
        <f t="shared" si="0"/>
        <v>0</v>
      </c>
      <c r="E50" s="3291"/>
      <c r="F50" s="214"/>
      <c r="G50" s="214"/>
      <c r="H50" s="214"/>
    </row>
    <row r="51" spans="1:12" ht="12.6" customHeight="1">
      <c r="A51" s="209">
        <v>35</v>
      </c>
      <c r="B51" s="210">
        <f>IF(A51&gt;C9,0,SUM(C307:C318)*($C$6/$C$7))</f>
        <v>0</v>
      </c>
      <c r="C51" s="229">
        <f>IF(A51&gt;C9,0,(E483+K483)*$C$8)</f>
        <v>0</v>
      </c>
      <c r="D51" s="3292">
        <f t="shared" si="0"/>
        <v>0</v>
      </c>
      <c r="E51" s="3292"/>
      <c r="F51" s="214"/>
      <c r="G51" s="214"/>
      <c r="H51" s="214"/>
    </row>
    <row r="52" spans="1:12" ht="12.6" customHeight="1">
      <c r="A52" s="213">
        <v>36</v>
      </c>
      <c r="B52" s="205">
        <f>IF(A52&gt;C9,0,SUM(C308:C319)*($C$6/$C$7))</f>
        <v>0</v>
      </c>
      <c r="C52" s="230">
        <f>IF(A52&gt;C9,0,(E495+K495)*$C$8)</f>
        <v>0</v>
      </c>
      <c r="D52" s="3293">
        <f t="shared" si="0"/>
        <v>0</v>
      </c>
      <c r="E52" s="3293"/>
      <c r="F52" s="214"/>
      <c r="G52" s="214"/>
      <c r="H52" s="214"/>
    </row>
    <row r="53" spans="1:12" ht="12.6" customHeight="1">
      <c r="A53" s="206">
        <v>37</v>
      </c>
      <c r="B53" s="207">
        <f>IF(A53&gt;C9,0,SUM(C309:C320)*($C$6/$C$7))</f>
        <v>0</v>
      </c>
      <c r="C53" s="208">
        <f>IF(A53&gt;C9,0,(E507+K507)*$C$8)</f>
        <v>0</v>
      </c>
      <c r="D53" s="3291">
        <f t="shared" si="0"/>
        <v>0</v>
      </c>
      <c r="E53" s="3291"/>
      <c r="F53" s="214"/>
      <c r="G53" s="214"/>
      <c r="H53" s="214"/>
    </row>
    <row r="54" spans="1:12" ht="12.6" customHeight="1">
      <c r="A54" s="206">
        <v>38</v>
      </c>
      <c r="B54" s="207">
        <f>IF(A54&gt;C9,0,SUM(C310:C321)*($C$6/$C$7))</f>
        <v>0</v>
      </c>
      <c r="C54" s="208">
        <f>IF(A54&gt;C9,0,(E519+K519)*$C$8)</f>
        <v>0</v>
      </c>
      <c r="D54" s="3291">
        <f t="shared" si="0"/>
        <v>0</v>
      </c>
      <c r="E54" s="3291"/>
      <c r="F54" s="214"/>
      <c r="G54" s="214"/>
      <c r="H54" s="214"/>
    </row>
    <row r="55" spans="1:12" ht="12.6" customHeight="1">
      <c r="A55" s="206">
        <v>39</v>
      </c>
      <c r="B55" s="207">
        <f>IF(A55&gt;C9,0,SUM(C311:C322)*($C$6/$C$7))</f>
        <v>0</v>
      </c>
      <c r="C55" s="208">
        <f>IF(A55&gt;C9,0,(E531+K531)*$C$8)</f>
        <v>0</v>
      </c>
      <c r="D55" s="3291">
        <f t="shared" si="0"/>
        <v>0</v>
      </c>
      <c r="E55" s="3291"/>
      <c r="F55" s="214"/>
      <c r="G55" s="214"/>
      <c r="H55" s="214"/>
    </row>
    <row r="56" spans="1:12" ht="12.6"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3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5">
      <c r="A59" s="3296" t="s">
        <v>2471</v>
      </c>
      <c r="B59" s="3296"/>
      <c r="C59" s="3296"/>
      <c r="D59" s="3296"/>
      <c r="E59" s="3296"/>
      <c r="F59" s="3296"/>
      <c r="G59" s="3296" t="s">
        <v>2471</v>
      </c>
      <c r="H59" s="3296"/>
      <c r="I59" s="3296"/>
      <c r="J59" s="3296"/>
      <c r="K59" s="3296"/>
      <c r="L59" s="3296"/>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6" customHeight="1">
      <c r="A3" s="3297" t="s">
        <v>218</v>
      </c>
      <c r="B3" s="3297"/>
      <c r="C3" s="3297"/>
      <c r="D3" s="3297"/>
      <c r="E3" s="3297"/>
      <c r="F3" s="3297"/>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5" t="e">
        <f>CONCATENATE(#REF!," ",#REF!,", ",#REF!,", ",#REF!," County")</f>
        <v>#REF!</v>
      </c>
      <c r="B50" s="3295"/>
      <c r="C50" s="3295"/>
      <c r="D50" s="3295"/>
      <c r="E50" s="3295"/>
      <c r="F50" s="3295"/>
      <c r="G50" s="236"/>
      <c r="H50" s="236"/>
    </row>
    <row r="51" spans="1:10" ht="15">
      <c r="A51" s="3296" t="s">
        <v>2471</v>
      </c>
      <c r="B51" s="3296"/>
      <c r="C51" s="3296"/>
      <c r="D51" s="3296"/>
      <c r="E51" s="3296"/>
      <c r="F51" s="3296"/>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49" zoomScaleNormal="100" workbookViewId="0">
      <selection activeCell="Q173" sqref="Q173"/>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2019-5 Somersby, College Park, Fulton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2019-5 Somersby, College Park, Fulton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1"/>
      <c r="E6" s="2591"/>
      <c r="F6" s="2591"/>
      <c r="G6" s="3413" t="s">
        <v>101</v>
      </c>
      <c r="H6" s="3414"/>
      <c r="J6" s="3380"/>
      <c r="K6" s="3381"/>
      <c r="L6" s="400"/>
      <c r="M6" s="3411"/>
      <c r="N6" s="3412"/>
      <c r="P6" s="3380"/>
      <c r="Q6" s="3381"/>
      <c r="S6" s="3380"/>
      <c r="T6" s="338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0">
        <v>22000</v>
      </c>
      <c r="H8" s="3251"/>
      <c r="J8" s="3250">
        <v>22000</v>
      </c>
      <c r="K8" s="3251"/>
      <c r="L8" s="1247"/>
      <c r="M8" s="3250"/>
      <c r="N8" s="3251"/>
      <c r="P8" s="3250"/>
      <c r="Q8" s="3251"/>
      <c r="S8" s="3250"/>
      <c r="T8" s="3251"/>
      <c r="V8" s="1295"/>
      <c r="W8" s="3304"/>
      <c r="X8" s="3305"/>
    </row>
    <row r="9" spans="1:24" s="325" customFormat="1" ht="12.6" customHeight="1">
      <c r="B9" s="325" t="s">
        <v>457</v>
      </c>
      <c r="G9" s="3234">
        <v>10000</v>
      </c>
      <c r="H9" s="3235"/>
      <c r="J9" s="3234">
        <v>10000</v>
      </c>
      <c r="K9" s="3235"/>
      <c r="L9" s="1247"/>
      <c r="M9" s="3234"/>
      <c r="N9" s="3235"/>
      <c r="P9" s="3234"/>
      <c r="Q9" s="3235"/>
      <c r="S9" s="3234"/>
      <c r="T9" s="3235"/>
      <c r="V9" s="1295"/>
      <c r="W9" s="3304"/>
      <c r="X9" s="3305"/>
    </row>
    <row r="10" spans="1:24" s="325" customFormat="1" ht="12.6" customHeight="1">
      <c r="B10" s="325" t="s">
        <v>486</v>
      </c>
      <c r="G10" s="3234">
        <v>43000</v>
      </c>
      <c r="H10" s="3235"/>
      <c r="J10" s="3234">
        <v>43000</v>
      </c>
      <c r="K10" s="3235"/>
      <c r="L10" s="1247"/>
      <c r="M10" s="3234"/>
      <c r="N10" s="3235"/>
      <c r="P10" s="3234"/>
      <c r="Q10" s="3235"/>
      <c r="S10" s="3234"/>
      <c r="T10" s="3235"/>
      <c r="V10" s="1295"/>
      <c r="W10" s="3304"/>
      <c r="X10" s="3305"/>
    </row>
    <row r="11" spans="1:24" s="325" customFormat="1" ht="12.6" customHeight="1">
      <c r="B11" s="325" t="s">
        <v>487</v>
      </c>
      <c r="G11" s="3234">
        <v>11500</v>
      </c>
      <c r="H11" s="3235"/>
      <c r="J11" s="3234">
        <v>11500</v>
      </c>
      <c r="K11" s="3235"/>
      <c r="L11" s="1247"/>
      <c r="M11" s="3234"/>
      <c r="N11" s="3235"/>
      <c r="P11" s="3234"/>
      <c r="Q11" s="3235"/>
      <c r="S11" s="3234"/>
      <c r="T11" s="3235"/>
      <c r="V11" s="1295"/>
      <c r="W11" s="3304"/>
      <c r="X11" s="3305"/>
    </row>
    <row r="12" spans="1:24" s="325" customFormat="1" ht="12.6" customHeight="1">
      <c r="B12" s="325" t="s">
        <v>2500</v>
      </c>
      <c r="G12" s="3234">
        <v>7000</v>
      </c>
      <c r="H12" s="3235"/>
      <c r="J12" s="3234">
        <v>7000</v>
      </c>
      <c r="K12" s="3235"/>
      <c r="L12" s="1247"/>
      <c r="M12" s="3234"/>
      <c r="N12" s="3235"/>
      <c r="P12" s="3234"/>
      <c r="Q12" s="3235"/>
      <c r="S12" s="3234"/>
      <c r="T12" s="3235"/>
      <c r="V12" s="1295"/>
      <c r="W12" s="3304"/>
      <c r="X12" s="3305"/>
    </row>
    <row r="13" spans="1:24" s="325" customFormat="1" ht="12.6" customHeight="1">
      <c r="B13" s="325" t="s">
        <v>190</v>
      </c>
      <c r="G13" s="3234"/>
      <c r="H13" s="3235"/>
      <c r="J13" s="3234"/>
      <c r="K13" s="3235"/>
      <c r="L13" s="1247"/>
      <c r="M13" s="3234"/>
      <c r="N13" s="3235"/>
      <c r="P13" s="3234"/>
      <c r="Q13" s="3235"/>
      <c r="S13" s="3234"/>
      <c r="T13" s="3235"/>
      <c r="V13" s="1295"/>
      <c r="W13" s="3304"/>
      <c r="X13" s="3305"/>
    </row>
    <row r="14" spans="1:24" s="325" customFormat="1" ht="12.6" customHeight="1">
      <c r="A14" s="429" t="str">
        <f>IF(AND(G14&gt;0,OR(C14="",C14="&lt;Enter detailed description here; use Comments section if needed&gt;")),"X","")</f>
        <v/>
      </c>
      <c r="B14" s="325" t="s">
        <v>741</v>
      </c>
      <c r="C14" s="3390" t="s">
        <v>3711</v>
      </c>
      <c r="D14" s="3390"/>
      <c r="E14" s="3390"/>
      <c r="F14" s="3391"/>
      <c r="G14" s="3234"/>
      <c r="H14" s="3235"/>
      <c r="J14" s="3234"/>
      <c r="K14" s="3235"/>
      <c r="L14" s="1247"/>
      <c r="M14" s="3234"/>
      <c r="N14" s="3235"/>
      <c r="P14" s="3234"/>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 customHeight="1">
      <c r="A15" s="429" t="str">
        <f>IF(AND(G15&gt;0,OR(C15="",C15="&lt;Enter detailed description here; use Comments section if needed&gt;")),"X","")</f>
        <v/>
      </c>
      <c r="B15" s="325" t="s">
        <v>741</v>
      </c>
      <c r="C15" s="3390" t="s">
        <v>3711</v>
      </c>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 customHeight="1" thickBot="1">
      <c r="A16" s="429" t="str">
        <f>IF(AND(G16&gt;0,OR(C16="",C16="&lt;Enter detailed description here; use Comments section if needed&gt;")),"X","")</f>
        <v/>
      </c>
      <c r="B16" s="325" t="s">
        <v>741</v>
      </c>
      <c r="C16" s="3390" t="s">
        <v>3711</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 customHeight="1" thickTop="1">
      <c r="F17" s="401" t="s">
        <v>191</v>
      </c>
      <c r="G17" s="3392">
        <f>SUM(G8:H16)</f>
        <v>93500</v>
      </c>
      <c r="H17" s="3393"/>
      <c r="J17" s="3392">
        <f>SUM(J8:K16)</f>
        <v>93500</v>
      </c>
      <c r="K17" s="3442"/>
      <c r="L17" s="1247"/>
      <c r="M17" s="3392">
        <f>SUM(M8:N16)</f>
        <v>0</v>
      </c>
      <c r="N17" s="3393"/>
      <c r="P17" s="3392">
        <f>SUM(P8:Q16)</f>
        <v>0</v>
      </c>
      <c r="Q17" s="3393"/>
      <c r="S17" s="3392">
        <f>SUM(S8:T16)</f>
        <v>0</v>
      </c>
      <c r="T17" s="3393"/>
      <c r="V17" s="1297">
        <f>SUM(V8:V16)</f>
        <v>0</v>
      </c>
      <c r="W17" s="3322"/>
      <c r="X17" s="332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3726</v>
      </c>
      <c r="F19" s="524">
        <f>IF('Part I-Project Information'!$O$37="","",G19/'Part I-Project Information'!$O$37)</f>
        <v>412371.13402061857</v>
      </c>
      <c r="G19" s="3250">
        <v>3200000</v>
      </c>
      <c r="H19" s="3251"/>
      <c r="J19" s="403"/>
      <c r="K19" s="400"/>
      <c r="L19" s="403"/>
      <c r="M19" s="403"/>
      <c r="N19" s="400"/>
      <c r="P19" s="403"/>
      <c r="Q19" s="400"/>
      <c r="S19" s="3250">
        <v>3200000</v>
      </c>
      <c r="T19" s="3251"/>
      <c r="V19" s="1295"/>
      <c r="W19" s="3304"/>
      <c r="X19" s="3305"/>
    </row>
    <row r="20" spans="2:24" s="325" customFormat="1" ht="12.6" customHeight="1">
      <c r="B20" s="325" t="s">
        <v>1119</v>
      </c>
      <c r="G20" s="3234"/>
      <c r="H20" s="3235"/>
      <c r="J20" s="403"/>
      <c r="K20" s="400"/>
      <c r="L20" s="403"/>
      <c r="M20" s="403"/>
      <c r="N20" s="400"/>
      <c r="P20" s="403"/>
      <c r="Q20" s="400"/>
      <c r="S20" s="3234"/>
      <c r="T20" s="3235"/>
      <c r="V20" s="1295"/>
      <c r="W20" s="3304"/>
      <c r="X20" s="3305"/>
    </row>
    <row r="21" spans="2:24" s="325" customFormat="1" ht="12.6" customHeight="1">
      <c r="B21" s="325" t="s">
        <v>458</v>
      </c>
      <c r="G21" s="3234"/>
      <c r="H21" s="3235"/>
      <c r="J21" s="403"/>
      <c r="K21" s="400"/>
      <c r="L21" s="403"/>
      <c r="M21" s="3250"/>
      <c r="N21" s="3251"/>
      <c r="P21" s="403"/>
      <c r="Q21" s="400"/>
      <c r="S21" s="3234"/>
      <c r="T21" s="3235"/>
      <c r="V21" s="1295"/>
      <c r="W21" s="3304"/>
      <c r="X21" s="3305"/>
    </row>
    <row r="22" spans="2:24" s="325" customFormat="1" ht="12.6" customHeight="1" thickBot="1">
      <c r="B22" s="325" t="s">
        <v>430</v>
      </c>
      <c r="G22" s="3399"/>
      <c r="H22" s="3400"/>
      <c r="J22" s="403"/>
      <c r="K22" s="400"/>
      <c r="L22" s="403"/>
      <c r="M22" s="3399"/>
      <c r="N22" s="3400"/>
      <c r="P22" s="403"/>
      <c r="Q22" s="400"/>
      <c r="S22" s="3399"/>
      <c r="T22" s="3400"/>
      <c r="V22" s="1295"/>
      <c r="W22" s="3306"/>
      <c r="X22" s="3307"/>
    </row>
    <row r="23" spans="2:24" s="325" customFormat="1" ht="12.6" customHeight="1" thickTop="1">
      <c r="F23" s="401" t="s">
        <v>191</v>
      </c>
      <c r="G23" s="3392">
        <f>SUM(G19:H22)</f>
        <v>3200000</v>
      </c>
      <c r="H23" s="3393"/>
      <c r="J23" s="403"/>
      <c r="K23" s="400"/>
      <c r="L23" s="403"/>
      <c r="M23" s="3392">
        <f>SUM(M21:N22)</f>
        <v>0</v>
      </c>
      <c r="N23" s="3393"/>
      <c r="P23" s="403"/>
      <c r="Q23" s="400"/>
      <c r="S23" s="3392">
        <f>SUM(S19:T22)</f>
        <v>3200000</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3726</v>
      </c>
      <c r="F25" s="524">
        <f>IF('Part I-Project Information'!$O$37="","",G25/'Part I-Project Information'!$O$37)</f>
        <v>48324.742268041242</v>
      </c>
      <c r="G25" s="3250">
        <v>375000</v>
      </c>
      <c r="H25" s="3251"/>
      <c r="J25" s="3250">
        <v>225000</v>
      </c>
      <c r="K25" s="3251"/>
      <c r="L25" s="1247"/>
      <c r="M25" s="3440"/>
      <c r="N25" s="3441"/>
      <c r="P25" s="3440"/>
      <c r="Q25" s="3441"/>
      <c r="S25" s="3250">
        <v>150000</v>
      </c>
      <c r="T25" s="3251"/>
      <c r="V25" s="1295"/>
      <c r="W25" s="3304"/>
      <c r="X25" s="3305"/>
    </row>
    <row r="26" spans="2:24" s="325" customFormat="1" ht="12.6" customHeight="1" thickBot="1">
      <c r="B26" s="325" t="s">
        <v>1122</v>
      </c>
      <c r="G26" s="3399">
        <v>50000</v>
      </c>
      <c r="H26" s="3400"/>
      <c r="J26" s="3399"/>
      <c r="K26" s="3400"/>
      <c r="L26" s="404"/>
      <c r="M26" s="3439"/>
      <c r="N26" s="3439"/>
      <c r="P26" s="3439"/>
      <c r="Q26" s="3439"/>
      <c r="S26" s="3399">
        <v>50000</v>
      </c>
      <c r="T26" s="3400"/>
      <c r="V26" s="1295"/>
      <c r="W26" s="3306"/>
      <c r="X26" s="3307"/>
    </row>
    <row r="27" spans="2:24" s="325" customFormat="1" ht="12.6" customHeight="1" thickTop="1">
      <c r="F27" s="401" t="s">
        <v>191</v>
      </c>
      <c r="G27" s="3392">
        <f>SUM(G25:H26)</f>
        <v>425000</v>
      </c>
      <c r="H27" s="3393"/>
      <c r="J27" s="3392">
        <f>SUM(J25:K26)</f>
        <v>225000</v>
      </c>
      <c r="K27" s="3393"/>
      <c r="L27" s="403"/>
      <c r="M27" s="3392">
        <f>M25</f>
        <v>0</v>
      </c>
      <c r="N27" s="3393"/>
      <c r="P27" s="3392">
        <f>P25</f>
        <v>0</v>
      </c>
      <c r="Q27" s="3393"/>
      <c r="S27" s="3392">
        <f>SUM(S25:T26)</f>
        <v>200000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0">
        <v>30277614.720000003</v>
      </c>
      <c r="H29" s="3251"/>
      <c r="J29" s="3250">
        <v>30262614.720000003</v>
      </c>
      <c r="K29" s="3251"/>
      <c r="L29" s="1247"/>
      <c r="M29" s="3250"/>
      <c r="N29" s="3251"/>
      <c r="P29" s="3250"/>
      <c r="Q29" s="3251"/>
      <c r="S29" s="3250">
        <v>15000</v>
      </c>
      <c r="T29" s="3251"/>
      <c r="V29" s="1295"/>
      <c r="W29" s="3304"/>
      <c r="X29" s="3305"/>
    </row>
    <row r="30" spans="2:24" s="325" customFormat="1" ht="12.6" customHeight="1">
      <c r="B30" s="325" t="s">
        <v>1125</v>
      </c>
      <c r="G30" s="3234"/>
      <c r="H30" s="3235"/>
      <c r="J30" s="3234"/>
      <c r="K30" s="3235"/>
      <c r="L30" s="1247"/>
      <c r="M30" s="3234"/>
      <c r="N30" s="3235"/>
      <c r="P30" s="3234"/>
      <c r="Q30" s="3235"/>
      <c r="S30" s="3234"/>
      <c r="T30" s="3235"/>
      <c r="V30" s="1295"/>
      <c r="W30" s="3304"/>
      <c r="X30" s="3305"/>
    </row>
    <row r="31" spans="2:24" s="325" customFormat="1" ht="12.6" customHeight="1">
      <c r="B31" s="325" t="s">
        <v>2780</v>
      </c>
      <c r="G31" s="3234"/>
      <c r="H31" s="3235"/>
      <c r="J31" s="3234"/>
      <c r="K31" s="3235"/>
      <c r="L31" s="1247"/>
      <c r="M31" s="3234"/>
      <c r="N31" s="3235"/>
      <c r="P31" s="3234"/>
      <c r="Q31" s="3235"/>
      <c r="S31" s="3234"/>
      <c r="T31" s="3235"/>
      <c r="V31" s="1295"/>
      <c r="W31" s="3304"/>
      <c r="X31" s="3305"/>
    </row>
    <row r="32" spans="2:24" ht="12.6" customHeight="1" thickBot="1">
      <c r="B32" s="325" t="s">
        <v>2779</v>
      </c>
      <c r="G32" s="3399"/>
      <c r="H32" s="3400"/>
      <c r="I32" s="325"/>
      <c r="J32" s="3399"/>
      <c r="K32" s="3400"/>
      <c r="L32" s="1247"/>
      <c r="M32" s="3399"/>
      <c r="N32" s="3400"/>
      <c r="O32" s="325"/>
      <c r="P32" s="3399"/>
      <c r="Q32" s="3400"/>
      <c r="R32" s="325"/>
      <c r="S32" s="3399"/>
      <c r="T32" s="3400"/>
      <c r="V32" s="1295"/>
      <c r="W32" s="3306"/>
      <c r="X32" s="3307"/>
    </row>
    <row r="33" spans="1:24" s="325" customFormat="1" ht="12.6" customHeight="1" thickTop="1">
      <c r="C33" s="3438"/>
      <c r="D33" s="3438"/>
      <c r="E33" s="1252"/>
      <c r="F33" s="401" t="s">
        <v>191</v>
      </c>
      <c r="G33" s="3392">
        <f>SUM(G29:H32)</f>
        <v>30277614.720000003</v>
      </c>
      <c r="H33" s="3393"/>
      <c r="J33" s="3392">
        <f>SUM(J29:K32)</f>
        <v>30262614.720000003</v>
      </c>
      <c r="K33" s="3393"/>
      <c r="L33" s="1247"/>
      <c r="M33" s="3392">
        <f>SUM(M29:N32)</f>
        <v>0</v>
      </c>
      <c r="N33" s="3393"/>
      <c r="P33" s="3392">
        <f>SUM(P29:Q32)</f>
        <v>0</v>
      </c>
      <c r="Q33" s="3393"/>
      <c r="S33" s="3392">
        <f>SUM(S29:T32)</f>
        <v>15000</v>
      </c>
      <c r="T33" s="3393"/>
      <c r="V33" s="1297">
        <f>SUM(V29:V32)</f>
        <v>0</v>
      </c>
      <c r="W33" s="3322"/>
      <c r="X33" s="3323"/>
    </row>
    <row r="34" spans="1:24" s="325" customFormat="1" ht="12" customHeight="1">
      <c r="B34" s="327" t="s">
        <v>2343</v>
      </c>
      <c r="D34" s="3437" t="s">
        <v>3730</v>
      </c>
      <c r="E34" s="3437"/>
      <c r="F34" s="1132">
        <f>SUM(F35:F37)</f>
        <v>0.13999999999999999</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1842156.8832</v>
      </c>
      <c r="F35" s="1133">
        <f>IF(($G$27+$G$33)=0,0,G35/($G$27+$G$33))</f>
        <v>5.9999999999999991E-2</v>
      </c>
      <c r="G35" s="3250">
        <v>1842156.8831999998</v>
      </c>
      <c r="H35" s="3251"/>
      <c r="I35" s="346"/>
      <c r="J35" s="3250">
        <v>1842156.8831999998</v>
      </c>
      <c r="K35" s="3251"/>
      <c r="L35" s="1247"/>
      <c r="M35" s="3250"/>
      <c r="N35" s="3251"/>
      <c r="P35" s="3250"/>
      <c r="Q35" s="3251"/>
      <c r="S35" s="3250"/>
      <c r="T35" s="3251"/>
      <c r="V35" s="1295"/>
      <c r="W35" s="3304"/>
      <c r="X35" s="3305"/>
    </row>
    <row r="36" spans="1:24" s="325" customFormat="1" ht="12.6" customHeight="1">
      <c r="B36" s="325" t="s">
        <v>2736</v>
      </c>
      <c r="D36" s="1135">
        <f>'DCA Underwriting Assumptions'!$R$74</f>
        <v>0.02</v>
      </c>
      <c r="E36" s="1136">
        <f>D36*(G27+G33)</f>
        <v>614052.29440000001</v>
      </c>
      <c r="F36" s="1133">
        <f>IF(($G$27+$G$33)=0,0,G36/($G$27+$G$33))</f>
        <v>0.02</v>
      </c>
      <c r="G36" s="3234">
        <v>614052.29440000001</v>
      </c>
      <c r="H36" s="3235"/>
      <c r="I36" s="346"/>
      <c r="J36" s="3234">
        <v>614052.29440000001</v>
      </c>
      <c r="K36" s="3235"/>
      <c r="L36" s="1247"/>
      <c r="M36" s="3234"/>
      <c r="N36" s="3235"/>
      <c r="P36" s="3234"/>
      <c r="Q36" s="3235"/>
      <c r="S36" s="3234"/>
      <c r="T36" s="3235"/>
      <c r="V36" s="1295"/>
      <c r="W36" s="3304"/>
      <c r="X36" s="3305"/>
    </row>
    <row r="37" spans="1:24" s="325" customFormat="1" ht="12.6" customHeight="1" thickBot="1">
      <c r="B37" s="325" t="s">
        <v>2737</v>
      </c>
      <c r="D37" s="1139">
        <f>'DCA Underwriting Assumptions'!$R$75</f>
        <v>0.06</v>
      </c>
      <c r="E37" s="1140">
        <f>D37*(G27+G33)</f>
        <v>1842156.8832</v>
      </c>
      <c r="F37" s="1531">
        <f>IF(($G$27+$G$33)=0,0,G37/($G$27+$G$33))</f>
        <v>5.9999999999999991E-2</v>
      </c>
      <c r="G37" s="3399">
        <v>1842156.8831999998</v>
      </c>
      <c r="H37" s="3400"/>
      <c r="I37" s="346"/>
      <c r="J37" s="3399">
        <v>1842156.8831999998</v>
      </c>
      <c r="K37" s="3400"/>
      <c r="L37" s="1247"/>
      <c r="M37" s="3399"/>
      <c r="N37" s="3400"/>
      <c r="P37" s="3399"/>
      <c r="Q37" s="3400"/>
      <c r="S37" s="3399"/>
      <c r="T37" s="3400"/>
      <c r="V37" s="1295"/>
      <c r="W37" s="3306"/>
      <c r="X37" s="3307"/>
    </row>
    <row r="38" spans="1:24" s="325" customFormat="1" ht="12.6" customHeight="1" thickTop="1">
      <c r="B38" s="192" t="s">
        <v>3731</v>
      </c>
      <c r="D38" s="1137">
        <f>SUM(D35:D37)</f>
        <v>0.14000000000000001</v>
      </c>
      <c r="E38" s="1138">
        <f>SUM(E35:E37)</f>
        <v>4298366.0608000001</v>
      </c>
      <c r="F38" s="1117" t="s">
        <v>191</v>
      </c>
      <c r="G38" s="3392">
        <f>SUM(G35:H37)</f>
        <v>4298366.0608000001</v>
      </c>
      <c r="H38" s="3393"/>
      <c r="J38" s="3392">
        <f>SUM(J35:K37)</f>
        <v>4298366.0608000001</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0" t="s">
        <v>5295</v>
      </c>
      <c r="D41" s="3435"/>
      <c r="E41" s="3435"/>
      <c r="F41" s="3436"/>
      <c r="G41" s="3417">
        <v>90000</v>
      </c>
      <c r="H41" s="3418"/>
      <c r="I41" s="325"/>
      <c r="J41" s="3417">
        <v>90000</v>
      </c>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 customHeight="1">
      <c r="B43" s="578" t="s">
        <v>2745</v>
      </c>
      <c r="C43" s="579"/>
      <c r="E43" s="3429" t="s">
        <v>2744</v>
      </c>
      <c r="F43" s="1248">
        <f>B44/'Part VI-Revenues &amp; Expenses'!$O$65</f>
        <v>143815.49500327869</v>
      </c>
      <c r="G43" s="1250" t="s">
        <v>2771</v>
      </c>
      <c r="H43" s="546"/>
      <c r="I43" s="546"/>
      <c r="J43" s="3431">
        <f>B44/'Part VI-Revenues &amp; Expenses'!$O$67</f>
        <v>143815.49500327869</v>
      </c>
      <c r="K43" s="3431"/>
      <c r="L43" s="546"/>
      <c r="M43" s="3432" t="s">
        <v>1402</v>
      </c>
      <c r="N43" s="3432"/>
      <c r="O43" s="546"/>
      <c r="P43" s="3431">
        <f>B44/'Part I-Project Information'!$P$75</f>
        <v>153.40185345177309</v>
      </c>
      <c r="Q43" s="3431"/>
      <c r="R43" s="546"/>
      <c r="S43" s="3433" t="s">
        <v>2778</v>
      </c>
      <c r="T43" s="3434"/>
      <c r="V43" s="1298"/>
      <c r="W43" s="3425"/>
      <c r="X43" s="3426"/>
    </row>
    <row r="44" spans="1:24" s="325" customFormat="1" ht="12.6" customHeight="1">
      <c r="B44" s="3419">
        <f>G27+G33+G38+G41</f>
        <v>35090980.7808</v>
      </c>
      <c r="C44" s="3420"/>
      <c r="E44" s="3430"/>
      <c r="F44" s="1249">
        <f>B44/'Part VI-Revenues &amp; Expenses'!$O$154</f>
        <v>156.48012406043202</v>
      </c>
      <c r="G44" s="577" t="s">
        <v>2772</v>
      </c>
      <c r="H44" s="1245"/>
      <c r="I44" s="1245"/>
      <c r="J44" s="3421">
        <f>B44/'Part VI-Revenues &amp; Expenses'!$O$156</f>
        <v>156.48012406043202</v>
      </c>
      <c r="K44" s="3421"/>
      <c r="L44" s="1245"/>
      <c r="M44" s="3422" t="s">
        <v>2777</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4189</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4188</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1754549.0390400002</v>
      </c>
      <c r="F47" s="405">
        <f>G47/B44</f>
        <v>4.9871761920018437E-2</v>
      </c>
      <c r="G47" s="3417">
        <v>1750049.0390400002</v>
      </c>
      <c r="H47" s="3418"/>
      <c r="I47" s="325"/>
      <c r="J47" s="3417">
        <v>1750049.0390400002</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2683</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0"/>
      <c r="H52" s="3251"/>
      <c r="J52" s="3250"/>
      <c r="K52" s="3251"/>
      <c r="L52" s="1247"/>
      <c r="M52" s="3250"/>
      <c r="N52" s="3251"/>
      <c r="P52" s="3250"/>
      <c r="Q52" s="3251"/>
      <c r="S52" s="3250"/>
      <c r="T52" s="3251"/>
      <c r="V52" s="1299"/>
      <c r="W52" s="3304"/>
      <c r="X52" s="3305"/>
    </row>
    <row r="53" spans="1:24" s="325" customFormat="1" ht="12" customHeight="1">
      <c r="B53" s="325" t="s">
        <v>3733</v>
      </c>
      <c r="G53" s="3234"/>
      <c r="H53" s="3235"/>
      <c r="J53" s="3234"/>
      <c r="K53" s="3235"/>
      <c r="L53" s="1247"/>
      <c r="M53" s="3234"/>
      <c r="N53" s="3235"/>
      <c r="P53" s="3234"/>
      <c r="Q53" s="3235"/>
      <c r="S53" s="3234"/>
      <c r="T53" s="3235"/>
      <c r="V53" s="1299"/>
      <c r="W53" s="3304"/>
      <c r="X53" s="3305"/>
    </row>
    <row r="54" spans="1:24" s="325" customFormat="1" ht="12" customHeight="1">
      <c r="B54" s="325" t="s">
        <v>2346</v>
      </c>
      <c r="G54" s="3234">
        <v>178036</v>
      </c>
      <c r="H54" s="3235"/>
      <c r="J54" s="3234">
        <v>178036</v>
      </c>
      <c r="K54" s="3235"/>
      <c r="L54" s="1247"/>
      <c r="M54" s="3234"/>
      <c r="N54" s="3235"/>
      <c r="P54" s="3234"/>
      <c r="Q54" s="3235"/>
      <c r="S54" s="3234"/>
      <c r="T54" s="3235"/>
      <c r="V54" s="1299"/>
      <c r="W54" s="3304"/>
      <c r="X54" s="3305"/>
    </row>
    <row r="55" spans="1:24" s="325" customFormat="1" ht="12" customHeight="1">
      <c r="B55" s="325" t="s">
        <v>2347</v>
      </c>
      <c r="G55" s="3234">
        <v>1453505</v>
      </c>
      <c r="H55" s="3235"/>
      <c r="J55" s="3234">
        <v>1235479</v>
      </c>
      <c r="K55" s="3235"/>
      <c r="L55" s="1247"/>
      <c r="M55" s="3234"/>
      <c r="N55" s="3235"/>
      <c r="P55" s="3234"/>
      <c r="Q55" s="3235"/>
      <c r="S55" s="3234">
        <v>218026</v>
      </c>
      <c r="T55" s="3235"/>
      <c r="V55" s="1299"/>
      <c r="W55" s="3304"/>
      <c r="X55" s="3305"/>
    </row>
    <row r="56" spans="1:24" s="325" customFormat="1" ht="12" customHeight="1">
      <c r="B56" s="325" t="s">
        <v>2348</v>
      </c>
      <c r="G56" s="3234">
        <v>35000</v>
      </c>
      <c r="H56" s="3235"/>
      <c r="J56" s="3234">
        <v>35000</v>
      </c>
      <c r="K56" s="3235"/>
      <c r="L56" s="1247"/>
      <c r="M56" s="3234"/>
      <c r="N56" s="3235"/>
      <c r="P56" s="3234"/>
      <c r="Q56" s="3235"/>
      <c r="S56" s="3234"/>
      <c r="T56" s="3235"/>
      <c r="V56" s="1299"/>
      <c r="W56" s="3304"/>
      <c r="X56" s="3305"/>
    </row>
    <row r="57" spans="1:24" s="325" customFormat="1" ht="12" customHeight="1">
      <c r="B57" s="325" t="s">
        <v>2687</v>
      </c>
      <c r="G57" s="3234">
        <v>20000</v>
      </c>
      <c r="H57" s="3235"/>
      <c r="J57" s="3234">
        <v>20000</v>
      </c>
      <c r="K57" s="3235"/>
      <c r="L57" s="1247"/>
      <c r="M57" s="3234"/>
      <c r="N57" s="3235"/>
      <c r="P57" s="3234"/>
      <c r="Q57" s="3235"/>
      <c r="S57" s="3234"/>
      <c r="T57" s="3235"/>
      <c r="V57" s="1299"/>
      <c r="W57" s="3304"/>
      <c r="X57" s="3305"/>
    </row>
    <row r="58" spans="1:24" s="325" customFormat="1" ht="12" customHeight="1">
      <c r="B58" s="325" t="s">
        <v>723</v>
      </c>
      <c r="G58" s="3234">
        <v>25000</v>
      </c>
      <c r="H58" s="3235"/>
      <c r="J58" s="3234">
        <v>25000</v>
      </c>
      <c r="K58" s="3235"/>
      <c r="L58" s="1247"/>
      <c r="M58" s="3234"/>
      <c r="N58" s="3235"/>
      <c r="P58" s="3234"/>
      <c r="Q58" s="3235"/>
      <c r="S58" s="3234"/>
      <c r="T58" s="3235"/>
      <c r="V58" s="1299"/>
      <c r="W58" s="3304"/>
      <c r="X58" s="3305"/>
    </row>
    <row r="59" spans="1:24" s="325" customFormat="1" ht="12" customHeight="1">
      <c r="B59" s="325" t="s">
        <v>2349</v>
      </c>
      <c r="G59" s="3234">
        <v>100000</v>
      </c>
      <c r="H59" s="3235"/>
      <c r="J59" s="3234">
        <v>100000</v>
      </c>
      <c r="K59" s="3235"/>
      <c r="L59" s="1247"/>
      <c r="M59" s="3234"/>
      <c r="N59" s="3235"/>
      <c r="P59" s="3234"/>
      <c r="Q59" s="3235"/>
      <c r="S59" s="3234"/>
      <c r="T59" s="3235"/>
      <c r="V59" s="1299"/>
      <c r="W59" s="3304"/>
      <c r="X59" s="3305"/>
    </row>
    <row r="60" spans="1:24" s="325" customFormat="1" ht="12" customHeight="1">
      <c r="B60" s="325" t="s">
        <v>1276</v>
      </c>
      <c r="G60" s="3234">
        <v>75000</v>
      </c>
      <c r="H60" s="3235"/>
      <c r="J60" s="3234">
        <v>37500</v>
      </c>
      <c r="K60" s="3235"/>
      <c r="L60" s="1247"/>
      <c r="M60" s="3234"/>
      <c r="N60" s="3235"/>
      <c r="P60" s="3234"/>
      <c r="Q60" s="3235"/>
      <c r="S60" s="3234">
        <v>37500</v>
      </c>
      <c r="T60" s="3235"/>
      <c r="V60" s="1299"/>
      <c r="W60" s="3304"/>
      <c r="X60" s="3305"/>
    </row>
    <row r="61" spans="1:24" s="325" customFormat="1" ht="12" customHeight="1">
      <c r="B61" s="407" t="s">
        <v>1153</v>
      </c>
      <c r="D61" s="405"/>
      <c r="E61" s="405"/>
      <c r="F61" s="406"/>
      <c r="G61" s="3234"/>
      <c r="H61" s="3235"/>
      <c r="I61" s="346"/>
      <c r="J61" s="3234"/>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t="s">
        <v>3711</v>
      </c>
      <c r="D62" s="3405"/>
      <c r="E62" s="3405"/>
      <c r="F62" s="3406"/>
      <c r="G62" s="3234"/>
      <c r="H62" s="3235"/>
      <c r="J62" s="3234"/>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3711</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1886541</v>
      </c>
      <c r="H64" s="3393"/>
      <c r="J64" s="3392">
        <f>SUM(J52:K63)</f>
        <v>1631015</v>
      </c>
      <c r="K64" s="3393"/>
      <c r="L64" s="403"/>
      <c r="M64" s="3392">
        <f>SUM(M52:N63)</f>
        <v>0</v>
      </c>
      <c r="N64" s="3393"/>
      <c r="P64" s="3392">
        <f>SUM(P52:Q63)</f>
        <v>0</v>
      </c>
      <c r="Q64" s="3393"/>
      <c r="S64" s="3392">
        <f>SUM(S52:T63)</f>
        <v>255526</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250000</v>
      </c>
      <c r="H66" s="3251"/>
      <c r="J66" s="3250">
        <v>250000</v>
      </c>
      <c r="K66" s="3251"/>
      <c r="L66" s="1247"/>
      <c r="M66" s="3250"/>
      <c r="N66" s="3251"/>
      <c r="P66" s="3250"/>
      <c r="Q66" s="3251"/>
      <c r="S66" s="3250"/>
      <c r="T66" s="3251"/>
      <c r="V66" s="1295"/>
      <c r="W66" s="3304"/>
      <c r="X66" s="3305"/>
    </row>
    <row r="67" spans="1:24" s="325" customFormat="1" ht="12" customHeight="1">
      <c r="B67" s="325" t="s">
        <v>478</v>
      </c>
      <c r="G67" s="3234"/>
      <c r="H67" s="3235"/>
      <c r="J67" s="3234"/>
      <c r="K67" s="3235"/>
      <c r="L67" s="1247"/>
      <c r="M67" s="3234"/>
      <c r="N67" s="3235"/>
      <c r="P67" s="3234"/>
      <c r="Q67" s="3235"/>
      <c r="S67" s="3234"/>
      <c r="T67" s="3235"/>
      <c r="V67" s="1295"/>
      <c r="W67" s="3304"/>
      <c r="X67" s="3305"/>
    </row>
    <row r="68" spans="1:24" s="325" customFormat="1" ht="12" customHeight="1">
      <c r="B68" s="325" t="s">
        <v>1127</v>
      </c>
      <c r="D68" s="339" t="s">
        <v>3847</v>
      </c>
      <c r="E68" s="1283">
        <f>'DCA Underwriting Assumptions'!R76</f>
        <v>20000</v>
      </c>
      <c r="F68" s="1284" t="str">
        <f>IF(G68&gt;E68,"CHECK!!!","")</f>
        <v/>
      </c>
      <c r="G68" s="3234">
        <v>13368</v>
      </c>
      <c r="H68" s="3235"/>
      <c r="J68" s="3234">
        <v>13368</v>
      </c>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15000</v>
      </c>
      <c r="H70" s="3235"/>
      <c r="J70" s="3234">
        <v>15000</v>
      </c>
      <c r="K70" s="3235"/>
      <c r="L70" s="1247"/>
      <c r="M70" s="3234"/>
      <c r="N70" s="3235"/>
      <c r="P70" s="3234"/>
      <c r="Q70" s="3235"/>
      <c r="S70" s="3234"/>
      <c r="T70" s="3235"/>
      <c r="V70" s="1295"/>
      <c r="W70" s="3304"/>
      <c r="X70" s="3305"/>
    </row>
    <row r="71" spans="1:24" s="325" customFormat="1" ht="12" customHeight="1">
      <c r="B71" s="325" t="s">
        <v>1130</v>
      </c>
      <c r="G71" s="3234"/>
      <c r="H71" s="3235"/>
      <c r="J71" s="3234"/>
      <c r="K71" s="3235"/>
      <c r="L71" s="1247"/>
      <c r="M71" s="3234"/>
      <c r="N71" s="3235"/>
      <c r="P71" s="3234"/>
      <c r="Q71" s="3235"/>
      <c r="S71" s="3234"/>
      <c r="T71" s="3235"/>
      <c r="V71" s="1295"/>
      <c r="W71" s="3304"/>
      <c r="X71" s="3305"/>
    </row>
    <row r="72" spans="1:24" s="325" customFormat="1" ht="12" customHeight="1">
      <c r="B72" s="325" t="s">
        <v>479</v>
      </c>
      <c r="G72" s="3234">
        <v>150000</v>
      </c>
      <c r="H72" s="3235"/>
      <c r="J72" s="3234">
        <v>150000</v>
      </c>
      <c r="K72" s="3235"/>
      <c r="L72" s="1247"/>
      <c r="M72" s="3234"/>
      <c r="N72" s="3235"/>
      <c r="P72" s="3234"/>
      <c r="Q72" s="3235"/>
      <c r="S72" s="3234"/>
      <c r="T72" s="3235"/>
      <c r="V72" s="1295"/>
      <c r="W72" s="3304"/>
      <c r="X72" s="3305"/>
    </row>
    <row r="73" spans="1:24" s="325" customFormat="1" ht="12" customHeight="1">
      <c r="B73" s="325" t="s">
        <v>480</v>
      </c>
      <c r="G73" s="3234">
        <v>185000</v>
      </c>
      <c r="H73" s="3235"/>
      <c r="J73" s="3234">
        <v>92500</v>
      </c>
      <c r="K73" s="3235"/>
      <c r="L73" s="1247"/>
      <c r="M73" s="3234"/>
      <c r="N73" s="3235"/>
      <c r="P73" s="3234"/>
      <c r="Q73" s="3235"/>
      <c r="S73" s="3234">
        <v>92500</v>
      </c>
      <c r="T73" s="3235"/>
      <c r="V73" s="1295"/>
      <c r="W73" s="3304"/>
      <c r="X73" s="3305"/>
    </row>
    <row r="74" spans="1:24" s="325" customFormat="1" ht="12" customHeight="1">
      <c r="B74" s="325" t="s">
        <v>2049</v>
      </c>
      <c r="G74" s="3234">
        <v>40000</v>
      </c>
      <c r="H74" s="3235"/>
      <c r="J74" s="3234">
        <v>40000</v>
      </c>
      <c r="K74" s="3235"/>
      <c r="L74" s="1247"/>
      <c r="M74" s="3234"/>
      <c r="N74" s="3235"/>
      <c r="P74" s="3234"/>
      <c r="Q74" s="3235"/>
      <c r="S74" s="3234"/>
      <c r="T74" s="3235"/>
      <c r="V74" s="1295"/>
      <c r="W74" s="3304"/>
      <c r="X74" s="3305"/>
    </row>
    <row r="75" spans="1:24" s="325" customFormat="1" ht="12" customHeight="1">
      <c r="B75" s="325" t="s">
        <v>1277</v>
      </c>
      <c r="G75" s="3234">
        <v>10000</v>
      </c>
      <c r="H75" s="3235"/>
      <c r="J75" s="3234">
        <v>10000</v>
      </c>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5297</v>
      </c>
      <c r="D76" s="3390"/>
      <c r="E76" s="3390"/>
      <c r="F76" s="3391"/>
      <c r="G76" s="3238">
        <v>3500</v>
      </c>
      <c r="H76" s="3239"/>
      <c r="J76" s="3238">
        <v>3500</v>
      </c>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666868</v>
      </c>
      <c r="H77" s="3393"/>
      <c r="J77" s="3392">
        <f>SUM(J66:K76)</f>
        <v>574368</v>
      </c>
      <c r="K77" s="3393"/>
      <c r="L77" s="403"/>
      <c r="M77" s="3392">
        <f>SUM(M66:N76)</f>
        <v>0</v>
      </c>
      <c r="N77" s="3393"/>
      <c r="P77" s="3392">
        <f>SUM(P66:Q76)</f>
        <v>0</v>
      </c>
      <c r="Q77" s="3393"/>
      <c r="S77" s="3392">
        <f>SUM(S66:T76)</f>
        <v>92500</v>
      </c>
      <c r="T77" s="3393"/>
      <c r="V77" s="1297">
        <f>SUM(V66:V76)</f>
        <v>0</v>
      </c>
      <c r="W77" s="3322"/>
      <c r="X77" s="3323"/>
    </row>
    <row r="78" spans="1:24" ht="12" customHeight="1">
      <c r="A78" s="325"/>
      <c r="B78" s="327" t="s">
        <v>1269</v>
      </c>
      <c r="C78" s="325"/>
      <c r="D78" s="1039" t="s">
        <v>3734</v>
      </c>
      <c r="E78" s="1142">
        <f>G83/'Part VI-Revenues &amp; Expenses'!$O$67</f>
        <v>2100.6147540983607</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v>173255</v>
      </c>
      <c r="H79" s="3251"/>
      <c r="J79" s="3250">
        <v>173255</v>
      </c>
      <c r="K79" s="3251"/>
      <c r="L79" s="1247"/>
      <c r="M79" s="3250"/>
      <c r="N79" s="3251"/>
      <c r="P79" s="3250"/>
      <c r="Q79" s="3251"/>
      <c r="S79" s="3250"/>
      <c r="T79" s="3251"/>
      <c r="V79" s="1295"/>
      <c r="W79" s="3304"/>
      <c r="X79" s="3305"/>
    </row>
    <row r="80" spans="1:24" s="325" customFormat="1" ht="12" customHeight="1">
      <c r="B80" s="325" t="s">
        <v>1271</v>
      </c>
      <c r="G80" s="3234">
        <v>31275</v>
      </c>
      <c r="H80" s="3235"/>
      <c r="J80" s="3234">
        <v>31275</v>
      </c>
      <c r="K80" s="3235"/>
      <c r="L80" s="1247"/>
      <c r="M80" s="3234"/>
      <c r="N80" s="3235"/>
      <c r="P80" s="3234"/>
      <c r="Q80" s="3235"/>
      <c r="S80" s="3234"/>
      <c r="T80" s="3235"/>
      <c r="V80" s="1295"/>
      <c r="W80" s="3304"/>
      <c r="X80" s="3305"/>
    </row>
    <row r="81" spans="1:24" s="325" customFormat="1" ht="12" customHeight="1">
      <c r="B81" s="325" t="s">
        <v>1272</v>
      </c>
      <c r="D81" s="409" t="s">
        <v>1403</v>
      </c>
      <c r="E81" s="1321" t="s">
        <v>2993</v>
      </c>
      <c r="G81" s="3234">
        <v>138052</v>
      </c>
      <c r="H81" s="3235"/>
      <c r="I81" s="346"/>
      <c r="J81" s="3234">
        <v>138052</v>
      </c>
      <c r="K81" s="3235"/>
      <c r="L81" s="1247"/>
      <c r="M81" s="3234"/>
      <c r="N81" s="3235"/>
      <c r="P81" s="3234"/>
      <c r="Q81" s="3235"/>
      <c r="S81" s="3234"/>
      <c r="T81" s="3235"/>
      <c r="V81" s="1295"/>
      <c r="W81" s="3304"/>
      <c r="X81" s="3305"/>
    </row>
    <row r="82" spans="1:24" s="325" customFormat="1" ht="12" customHeight="1" thickBot="1">
      <c r="B82" s="325" t="s">
        <v>1273</v>
      </c>
      <c r="D82" s="409" t="s">
        <v>1403</v>
      </c>
      <c r="E82" s="1322" t="s">
        <v>2993</v>
      </c>
      <c r="G82" s="3238">
        <v>169968</v>
      </c>
      <c r="H82" s="3239"/>
      <c r="I82" s="346"/>
      <c r="J82" s="3238">
        <v>169968</v>
      </c>
      <c r="K82" s="3239"/>
      <c r="L82" s="1247"/>
      <c r="M82" s="3238"/>
      <c r="N82" s="3239"/>
      <c r="P82" s="3238"/>
      <c r="Q82" s="3239"/>
      <c r="S82" s="3238"/>
      <c r="T82" s="3239"/>
      <c r="V82" s="1295"/>
      <c r="W82" s="3306"/>
      <c r="X82" s="3307"/>
    </row>
    <row r="83" spans="1:24" s="325" customFormat="1" ht="12" customHeight="1" thickTop="1">
      <c r="F83" s="401" t="s">
        <v>191</v>
      </c>
      <c r="G83" s="3392">
        <f>SUM(G79:H82)</f>
        <v>512550</v>
      </c>
      <c r="H83" s="3393"/>
      <c r="J83" s="3392">
        <f>SUM(J79:K82)</f>
        <v>512550</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v>263295</v>
      </c>
      <c r="H85" s="3251"/>
      <c r="J85" s="3404"/>
      <c r="K85" s="3404"/>
      <c r="L85" s="1247"/>
      <c r="M85" s="3404"/>
      <c r="N85" s="3404"/>
      <c r="P85" s="3404"/>
      <c r="Q85" s="3404"/>
      <c r="S85" s="3250">
        <v>263295</v>
      </c>
      <c r="T85" s="3251"/>
      <c r="V85" s="1295"/>
      <c r="W85" s="3304"/>
      <c r="X85" s="3305"/>
    </row>
    <row r="86" spans="1:24" s="325" customFormat="1" ht="12" customHeight="1">
      <c r="B86" s="325" t="s">
        <v>1275</v>
      </c>
      <c r="G86" s="3234">
        <v>125000</v>
      </c>
      <c r="H86" s="3235"/>
      <c r="J86" s="3404"/>
      <c r="K86" s="3404"/>
      <c r="L86" s="1247"/>
      <c r="M86" s="3404"/>
      <c r="N86" s="3404"/>
      <c r="P86" s="3404"/>
      <c r="Q86" s="3404"/>
      <c r="S86" s="3234">
        <v>125000</v>
      </c>
      <c r="T86" s="3235"/>
      <c r="V86" s="1295"/>
      <c r="W86" s="3304"/>
      <c r="X86" s="3305"/>
    </row>
    <row r="87" spans="1:24" s="325" customFormat="1" ht="12" customHeight="1">
      <c r="B87" s="325" t="s">
        <v>1276</v>
      </c>
      <c r="G87" s="3234"/>
      <c r="H87" s="3235"/>
      <c r="J87" s="3404"/>
      <c r="K87" s="3404"/>
      <c r="L87" s="1247"/>
      <c r="M87" s="3404"/>
      <c r="N87" s="3404"/>
      <c r="P87" s="3404"/>
      <c r="Q87" s="3404"/>
      <c r="S87" s="3234"/>
      <c r="T87" s="3235"/>
      <c r="V87" s="1295"/>
      <c r="W87" s="3304"/>
      <c r="X87" s="3305"/>
    </row>
    <row r="88" spans="1:24" s="325" customFormat="1" ht="12" customHeight="1">
      <c r="B88" s="325" t="s">
        <v>1278</v>
      </c>
      <c r="G88" s="3234"/>
      <c r="H88" s="3235"/>
      <c r="J88" s="3404"/>
      <c r="K88" s="3404"/>
      <c r="L88" s="1247"/>
      <c r="M88" s="3404"/>
      <c r="N88" s="3404"/>
      <c r="P88" s="3404"/>
      <c r="Q88" s="3404"/>
      <c r="S88" s="3234"/>
      <c r="T88" s="3235"/>
      <c r="V88" s="1295"/>
      <c r="W88" s="3304"/>
      <c r="X88" s="3305"/>
    </row>
    <row r="89" spans="1:24" s="325" customFormat="1" ht="12" customHeight="1">
      <c r="B89" s="325" t="s">
        <v>2298</v>
      </c>
      <c r="G89" s="3234">
        <v>237715</v>
      </c>
      <c r="H89" s="3235"/>
      <c r="J89" s="3404"/>
      <c r="K89" s="3404"/>
      <c r="L89" s="1247"/>
      <c r="M89" s="3404"/>
      <c r="N89" s="3404"/>
      <c r="P89" s="3404"/>
      <c r="Q89" s="3404"/>
      <c r="S89" s="3234">
        <v>237715</v>
      </c>
      <c r="T89" s="3235"/>
      <c r="V89" s="1295"/>
      <c r="W89" s="3304"/>
      <c r="X89" s="3305"/>
    </row>
    <row r="90" spans="1:24" s="325" customFormat="1" ht="12" customHeight="1" thickBot="1">
      <c r="A90" s="429" t="str">
        <f>IF(AND(G90&gt;0,OR(C90="",C90="&lt;Enter detailed description here; use Comments section if needed&gt;")),"X","")</f>
        <v/>
      </c>
      <c r="B90" s="325" t="s">
        <v>741</v>
      </c>
      <c r="C90" s="3390" t="s">
        <v>5296</v>
      </c>
      <c r="D90" s="3390"/>
      <c r="E90" s="3390"/>
      <c r="F90" s="3391"/>
      <c r="G90" s="3238">
        <v>452867</v>
      </c>
      <c r="H90" s="3239"/>
      <c r="J90" s="3404"/>
      <c r="K90" s="3404"/>
      <c r="L90" s="1247"/>
      <c r="M90" s="3404"/>
      <c r="N90" s="3404"/>
      <c r="P90" s="3404"/>
      <c r="Q90" s="3404"/>
      <c r="S90" s="3238">
        <v>452867</v>
      </c>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1078877</v>
      </c>
      <c r="H91" s="3393"/>
      <c r="J91" s="3404"/>
      <c r="K91" s="3404"/>
      <c r="L91" s="403"/>
      <c r="M91" s="3404"/>
      <c r="N91" s="3404"/>
      <c r="P91" s="3404"/>
      <c r="Q91" s="3404"/>
      <c r="S91" s="3392">
        <f>SUM(S85:T90)</f>
        <v>1078877</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0"/>
      <c r="H96" s="3251"/>
      <c r="J96" s="403"/>
      <c r="K96" s="403"/>
      <c r="L96" s="1247"/>
      <c r="M96" s="403"/>
      <c r="N96" s="403"/>
      <c r="P96" s="403"/>
      <c r="Q96" s="403"/>
      <c r="S96" s="3250"/>
      <c r="T96" s="3251"/>
      <c r="V96" s="1295"/>
      <c r="W96" s="3304"/>
      <c r="X96" s="3305"/>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6" customHeight="1">
      <c r="B98" s="325" t="s">
        <v>3950</v>
      </c>
      <c r="G98" s="3234">
        <v>1000</v>
      </c>
      <c r="H98" s="3235"/>
      <c r="J98" s="403"/>
      <c r="K98" s="403"/>
      <c r="L98" s="410"/>
      <c r="M98" s="403"/>
      <c r="N98" s="403"/>
      <c r="O98" s="1238"/>
      <c r="P98" s="403"/>
      <c r="Q98" s="403"/>
      <c r="S98" s="3234">
        <v>1000</v>
      </c>
      <c r="T98" s="3235"/>
      <c r="V98" s="1295"/>
      <c r="W98" s="3304"/>
      <c r="X98" s="3305"/>
    </row>
    <row r="99" spans="1:24" s="325" customFormat="1" ht="12.6" customHeight="1">
      <c r="B99" s="325" t="s">
        <v>519</v>
      </c>
      <c r="E99" s="3415">
        <f>ROUNDUP('DCA Underwriting Assumptions'!$Q$88*J175,0)</f>
        <v>138550</v>
      </c>
      <c r="F99" s="3416"/>
      <c r="G99" s="3234">
        <v>138550</v>
      </c>
      <c r="H99" s="3235"/>
      <c r="J99" s="1143" t="str">
        <f>IF(E99&gt;G99,"WARNING!  LIHTC Allocation Fee proposed is below minimum required.","")</f>
        <v/>
      </c>
      <c r="K99" s="403"/>
      <c r="L99" s="1247"/>
      <c r="M99" s="403"/>
      <c r="N99" s="403"/>
      <c r="O99" s="1238"/>
      <c r="P99" s="403"/>
      <c r="Q99" s="403"/>
      <c r="S99" s="3234">
        <v>138550</v>
      </c>
      <c r="T99" s="3235"/>
      <c r="V99" s="1295"/>
      <c r="W99" s="3304"/>
      <c r="X99" s="3305"/>
    </row>
    <row r="100" spans="1:24" s="325" customFormat="1" ht="12.6"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244000</v>
      </c>
      <c r="F100" s="3416"/>
      <c r="G100" s="3234">
        <v>244000</v>
      </c>
      <c r="H100" s="3235"/>
      <c r="J100" s="1143" t="str">
        <f>IF(E100&gt;G100,"WARNING!  LIHTC Compliance Fee proposed is below minimum required.","")</f>
        <v/>
      </c>
      <c r="K100" s="188"/>
      <c r="L100" s="188"/>
      <c r="M100" s="188"/>
      <c r="N100" s="188"/>
      <c r="O100" s="188"/>
      <c r="P100" s="188"/>
      <c r="Q100" s="188"/>
      <c r="S100" s="3234">
        <v>244000</v>
      </c>
      <c r="T100" s="3235"/>
      <c r="V100" s="1295"/>
      <c r="W100" s="3304"/>
      <c r="X100" s="3305"/>
    </row>
    <row r="101" spans="1:24" s="325" customFormat="1" ht="12.6" customHeight="1">
      <c r="B101" s="325" t="s">
        <v>4241</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6" customHeight="1">
      <c r="B102" s="325" t="s">
        <v>4242</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 customHeight="1">
      <c r="A103" s="429" t="str">
        <f>IF(AND(G103&gt;0,OR(C103="",C103="&lt;Enter detailed description here; use Comments section if needed&gt;")),"X","")</f>
        <v/>
      </c>
      <c r="B103" s="325" t="s">
        <v>741</v>
      </c>
      <c r="C103" s="3405" t="s">
        <v>3711</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 customHeight="1" thickBot="1">
      <c r="A104" s="429" t="str">
        <f>IF(AND(G104&gt;0,OR(C104="",C104="&lt;Enter detailed description here; use Comments section if needed&gt;")),"X","")</f>
        <v/>
      </c>
      <c r="B104" s="325" t="s">
        <v>741</v>
      </c>
      <c r="C104" s="3407" t="s">
        <v>3711</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 customHeight="1" thickTop="1">
      <c r="F105" s="401" t="s">
        <v>191</v>
      </c>
      <c r="G105" s="3392">
        <f>SUM(G96:H104)</f>
        <v>394550</v>
      </c>
      <c r="H105" s="3393"/>
      <c r="J105" s="403"/>
      <c r="K105" s="403"/>
      <c r="L105" s="1247"/>
      <c r="M105" s="403"/>
      <c r="N105" s="403"/>
      <c r="P105" s="403"/>
      <c r="Q105" s="403"/>
      <c r="S105" s="3392">
        <f>SUM(S96:T104)</f>
        <v>394550</v>
      </c>
      <c r="T105" s="3393"/>
      <c r="V105" s="1297">
        <f>SUM(V96:V104)</f>
        <v>0</v>
      </c>
      <c r="W105" s="3308"/>
      <c r="X105" s="3309"/>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0">
        <v>25000</v>
      </c>
      <c r="H107" s="3251"/>
      <c r="J107" s="3404"/>
      <c r="K107" s="3404"/>
      <c r="L107" s="1247"/>
      <c r="M107" s="3404"/>
      <c r="N107" s="3404"/>
      <c r="O107" s="1238"/>
      <c r="P107" s="3404"/>
      <c r="Q107" s="3404"/>
      <c r="S107" s="3250">
        <v>25000</v>
      </c>
      <c r="T107" s="3251"/>
      <c r="V107" s="1295"/>
      <c r="W107" s="3304"/>
      <c r="X107" s="3305"/>
    </row>
    <row r="108" spans="1:24" s="325" customFormat="1" ht="12.6" customHeight="1">
      <c r="B108" s="325" t="s">
        <v>280</v>
      </c>
      <c r="G108" s="3234"/>
      <c r="H108" s="3235"/>
      <c r="J108" s="3404"/>
      <c r="K108" s="3404"/>
      <c r="L108" s="1247"/>
      <c r="M108" s="3404"/>
      <c r="N108" s="3404"/>
      <c r="O108" s="1238"/>
      <c r="P108" s="3404"/>
      <c r="Q108" s="3404"/>
      <c r="S108" s="3234"/>
      <c r="T108" s="3235"/>
      <c r="V108" s="1295"/>
      <c r="W108" s="3304"/>
      <c r="X108" s="3305"/>
    </row>
    <row r="109" spans="1:24" s="325" customFormat="1" ht="12.6" customHeight="1">
      <c r="B109" s="325" t="s">
        <v>2386</v>
      </c>
      <c r="G109" s="3234">
        <v>25000</v>
      </c>
      <c r="H109" s="3235"/>
      <c r="J109" s="3404"/>
      <c r="K109" s="3404"/>
      <c r="L109" s="1247"/>
      <c r="M109" s="3404"/>
      <c r="N109" s="3404"/>
      <c r="O109" s="1238"/>
      <c r="P109" s="3404"/>
      <c r="Q109" s="3404"/>
      <c r="S109" s="3234">
        <v>25000</v>
      </c>
      <c r="T109" s="3235"/>
      <c r="V109" s="1295"/>
      <c r="W109" s="3304"/>
      <c r="X109" s="3305"/>
    </row>
    <row r="110" spans="1:24" s="325" customFormat="1" ht="12.6" customHeight="1" thickBot="1">
      <c r="A110" s="429" t="str">
        <f>IF(AND(G110&gt;0,OR(C110="",C110="&lt;Enter detailed description here; use Comments section if needed&gt;")),"X","")</f>
        <v/>
      </c>
      <c r="B110" s="325" t="s">
        <v>741</v>
      </c>
      <c r="C110" s="3390" t="s">
        <v>3711</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 customHeight="1" thickTop="1">
      <c r="F111" s="401" t="s">
        <v>191</v>
      </c>
      <c r="G111" s="3392">
        <f>SUM(G107:H110)</f>
        <v>50000</v>
      </c>
      <c r="H111" s="3393"/>
      <c r="J111" s="3404"/>
      <c r="K111" s="3404"/>
      <c r="L111" s="1247"/>
      <c r="M111" s="3404"/>
      <c r="N111" s="3404"/>
      <c r="O111" s="1238"/>
      <c r="P111" s="3404"/>
      <c r="Q111" s="3404"/>
      <c r="S111" s="3392">
        <f>SUM(S107:T110)</f>
        <v>50000</v>
      </c>
      <c r="T111" s="3393"/>
      <c r="V111" s="1297">
        <f>SUM(V107:V110)</f>
        <v>0</v>
      </c>
      <c r="W111" s="3322"/>
      <c r="X111" s="332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0.5</v>
      </c>
      <c r="G113" s="3401">
        <v>1750000</v>
      </c>
      <c r="H113" s="3401"/>
      <c r="J113" s="3402">
        <v>1750000</v>
      </c>
      <c r="K113" s="3403"/>
      <c r="L113" s="402"/>
      <c r="M113" s="3402"/>
      <c r="N113" s="3403"/>
      <c r="P113" s="3402"/>
      <c r="Q113" s="3403"/>
      <c r="S113" s="3402"/>
      <c r="T113" s="3403"/>
      <c r="V113" s="1295"/>
      <c r="W113" s="3304"/>
      <c r="X113" s="3305"/>
    </row>
    <row r="114" spans="1:24" s="325" customFormat="1" ht="12.6" customHeight="1">
      <c r="B114" s="325" t="s">
        <v>4197</v>
      </c>
      <c r="F114" s="1533">
        <v>1400000</v>
      </c>
      <c r="V114" s="1295"/>
      <c r="W114" s="3304"/>
      <c r="X114" s="3305"/>
    </row>
    <row r="115" spans="1:24" s="325" customFormat="1" ht="12.6" customHeight="1">
      <c r="B115" s="325" t="s">
        <v>1861</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6" customHeight="1">
      <c r="B116" s="325" t="s">
        <v>3633</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 customHeight="1" thickBot="1">
      <c r="B117" s="325" t="s">
        <v>1853</v>
      </c>
      <c r="F117" s="457">
        <f>IF($G$118=0,0,G117/$G$118)</f>
        <v>0.5</v>
      </c>
      <c r="G117" s="3238">
        <v>1750000</v>
      </c>
      <c r="H117" s="3239"/>
      <c r="J117" s="3238">
        <v>1750000</v>
      </c>
      <c r="K117" s="3239"/>
      <c r="L117" s="1247"/>
      <c r="M117" s="3238"/>
      <c r="N117" s="3239"/>
      <c r="P117" s="3238"/>
      <c r="Q117" s="3239"/>
      <c r="S117" s="3238"/>
      <c r="T117" s="3239"/>
      <c r="V117" s="1295"/>
      <c r="W117" s="3306"/>
      <c r="X117" s="3307"/>
    </row>
    <row r="118" spans="1:24" s="325" customFormat="1" ht="12.6" customHeight="1" thickTop="1">
      <c r="C118" s="428"/>
      <c r="F118" s="401" t="s">
        <v>191</v>
      </c>
      <c r="G118" s="3397">
        <f>SUM(G113:H117)</f>
        <v>3500000</v>
      </c>
      <c r="H118" s="3398"/>
      <c r="J118" s="3392">
        <f>SUM(J113:K117)</f>
        <v>3500000</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0">
        <v>75000</v>
      </c>
      <c r="H120" s="3251"/>
      <c r="J120" s="411"/>
      <c r="K120" s="411"/>
      <c r="L120" s="411"/>
      <c r="M120" s="411"/>
      <c r="N120" s="411"/>
      <c r="P120" s="411"/>
      <c r="Q120" s="411"/>
      <c r="S120" s="3250">
        <v>75000</v>
      </c>
      <c r="T120" s="3251"/>
      <c r="V120" s="1295"/>
      <c r="W120" s="3304"/>
      <c r="X120" s="3305"/>
    </row>
    <row r="121" spans="1:24" s="325" customFormat="1" ht="12.6" customHeight="1">
      <c r="B121" s="325" t="s">
        <v>1536</v>
      </c>
      <c r="F121" s="524">
        <f>+'Part VI-Revenues &amp; Expenses'!$P$226*('DCA Underwriting Assumptions'!$Q$112/12)</f>
        <v>311292.75</v>
      </c>
      <c r="G121" s="3234">
        <v>311293</v>
      </c>
      <c r="H121" s="3235"/>
      <c r="J121" s="1145" t="str">
        <f>IF(E121&gt;G121,"WARNING! Rent-Up Reserves proposed is below minimum - add comment.","")</f>
        <v/>
      </c>
      <c r="K121" s="1145"/>
      <c r="L121" s="1247"/>
      <c r="M121" s="1116"/>
      <c r="N121" s="1116"/>
      <c r="O121" s="1238"/>
      <c r="P121" s="1116"/>
      <c r="Q121" s="1116"/>
      <c r="R121" s="1238"/>
      <c r="S121" s="3234">
        <v>311293</v>
      </c>
      <c r="T121" s="3235"/>
      <c r="V121" s="1295"/>
      <c r="W121" s="3304"/>
      <c r="X121" s="3305"/>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1152257.6821691217</v>
      </c>
      <c r="G122" s="3234">
        <v>1152258</v>
      </c>
      <c r="H122" s="3235"/>
      <c r="J122" s="1145" t="str">
        <f>IF(E122&gt;G122,"WARNING! ODR proposed is below minimum - add comment.","")</f>
        <v/>
      </c>
      <c r="K122" s="410"/>
      <c r="L122" s="410"/>
      <c r="M122" s="410"/>
      <c r="N122" s="410"/>
      <c r="O122" s="1238"/>
      <c r="P122" s="410"/>
      <c r="Q122" s="410"/>
      <c r="R122" s="1238"/>
      <c r="S122" s="3234">
        <v>1152258</v>
      </c>
      <c r="T122" s="3235"/>
      <c r="V122" s="1295"/>
      <c r="W122" s="3304"/>
      <c r="X122" s="3305"/>
    </row>
    <row r="123" spans="1:24" s="325" customFormat="1" ht="12.6" customHeight="1">
      <c r="B123" s="325" t="s">
        <v>1244</v>
      </c>
      <c r="G123" s="3234"/>
      <c r="H123" s="3235"/>
      <c r="J123" s="411"/>
      <c r="K123" s="411"/>
      <c r="L123" s="411"/>
      <c r="M123" s="411"/>
      <c r="N123" s="411"/>
      <c r="P123" s="411"/>
      <c r="Q123" s="411"/>
      <c r="S123" s="3234"/>
      <c r="T123" s="3235"/>
      <c r="V123" s="1295"/>
      <c r="W123" s="3304"/>
      <c r="X123" s="3305"/>
    </row>
    <row r="124" spans="1:24" s="325" customFormat="1" ht="12.6" customHeight="1">
      <c r="B124" s="325" t="s">
        <v>1245</v>
      </c>
      <c r="E124" s="969" t="s">
        <v>3566</v>
      </c>
      <c r="F124" s="524">
        <f>IF('Part VI-Revenues &amp; Expenses'!$O$67=0,0,G124/'Part VI-Revenues &amp; Expenses'!$O$67)</f>
        <v>721.31147540983602</v>
      </c>
      <c r="G124" s="3234">
        <v>176000</v>
      </c>
      <c r="H124" s="3235"/>
      <c r="J124" s="3250">
        <v>176000</v>
      </c>
      <c r="K124" s="3251"/>
      <c r="L124" s="1247"/>
      <c r="M124" s="3250"/>
      <c r="N124" s="3251"/>
      <c r="P124" s="3250"/>
      <c r="Q124" s="3251"/>
      <c r="S124" s="3234"/>
      <c r="T124" s="3235"/>
      <c r="V124" s="1295"/>
      <c r="W124" s="3304"/>
      <c r="X124" s="3305"/>
    </row>
    <row r="125" spans="1:24" s="325" customFormat="1" ht="12.6" customHeight="1" thickBot="1">
      <c r="A125" s="429" t="str">
        <f>IF(AND(G125&gt;0,OR(C125="",C125="&lt;Enter detailed description here; use Comments section if needed&gt;")),"X","")</f>
        <v/>
      </c>
      <c r="B125" s="325" t="s">
        <v>741</v>
      </c>
      <c r="C125" s="3390" t="s">
        <v>3130</v>
      </c>
      <c r="D125" s="3390"/>
      <c r="E125" s="3390"/>
      <c r="F125" s="3391"/>
      <c r="G125" s="3238">
        <v>60000</v>
      </c>
      <c r="H125" s="3239"/>
      <c r="J125" s="3399"/>
      <c r="K125" s="3400"/>
      <c r="L125" s="1247"/>
      <c r="M125" s="3238"/>
      <c r="N125" s="3239"/>
      <c r="P125" s="3238"/>
      <c r="Q125" s="3239"/>
      <c r="S125" s="3238">
        <v>60000</v>
      </c>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 customHeight="1" thickTop="1">
      <c r="B126" s="412"/>
      <c r="F126" s="401" t="s">
        <v>191</v>
      </c>
      <c r="G126" s="3392">
        <f>SUM(G120:H125)</f>
        <v>1774551</v>
      </c>
      <c r="H126" s="3393"/>
      <c r="J126" s="3392">
        <f>SUM(J124:K125)</f>
        <v>176000</v>
      </c>
      <c r="K126" s="3393"/>
      <c r="L126" s="1247"/>
      <c r="M126" s="3392">
        <f>SUM(M124:N125)</f>
        <v>0</v>
      </c>
      <c r="N126" s="3393"/>
      <c r="P126" s="3392">
        <f>SUM(P124:Q125)</f>
        <v>0</v>
      </c>
      <c r="Q126" s="3393"/>
      <c r="S126" s="3392">
        <f>SUM(S120:T125)</f>
        <v>1598551</v>
      </c>
      <c r="T126" s="3393"/>
      <c r="V126" s="1297">
        <f>SUM(V120:V125)</f>
        <v>0</v>
      </c>
      <c r="W126" s="3322"/>
      <c r="X126" s="332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0"/>
      <c r="H128" s="3251"/>
      <c r="J128" s="3250"/>
      <c r="K128" s="3251"/>
      <c r="L128" s="402"/>
      <c r="M128" s="3250"/>
      <c r="N128" s="3251"/>
      <c r="P128" s="3250"/>
      <c r="Q128" s="3251"/>
      <c r="S128" s="3250"/>
      <c r="T128" s="3251"/>
      <c r="V128" s="1295"/>
      <c r="W128" s="3304"/>
      <c r="X128" s="3305"/>
    </row>
    <row r="129" spans="1:24" s="325" customFormat="1" ht="12.6" customHeight="1" thickBot="1">
      <c r="A129" s="429" t="str">
        <f>IF(AND(G129&gt;0,OR(C129="",C129="&lt;Enter detailed description here; use Comments section if needed&gt;")),"X","")</f>
        <v/>
      </c>
      <c r="B129" s="325" t="s">
        <v>741</v>
      </c>
      <c r="C129" s="3390" t="s">
        <v>3711</v>
      </c>
      <c r="D129" s="3390"/>
      <c r="E129" s="3390"/>
      <c r="F129" s="3391"/>
      <c r="G129" s="3238"/>
      <c r="H129" s="3239"/>
      <c r="J129" s="3238"/>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 customHeight="1" thickTop="1">
      <c r="C130" s="1228"/>
      <c r="F130" s="401" t="s">
        <v>191</v>
      </c>
      <c r="G130" s="3392">
        <f>SUM(G128:H129)</f>
        <v>0</v>
      </c>
      <c r="H130" s="3393"/>
      <c r="J130" s="3392">
        <f>SUM(J128:K129)</f>
        <v>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 customHeight="1" thickBot="1">
      <c r="B132" s="331" t="s">
        <v>2768</v>
      </c>
      <c r="G132" s="3394">
        <f>G17+G23+G27+G33+G38+G41+G47+G64+G77+G83+G91+G105+G111+G118+G126+G130</f>
        <v>49998466.819839999</v>
      </c>
      <c r="H132" s="3395"/>
      <c r="J132" s="3394">
        <f>J17+J23+J27+J33+J38+J41+J47+J64+J77+J83+J91+J105+J111+J118+J126+J130</f>
        <v>43113462.819839999</v>
      </c>
      <c r="K132" s="3395"/>
      <c r="M132" s="3394">
        <f>M17+M23+M27+M33+M38+M41+M47+M64+M77+M83+M91+M105+M111+M118+M126+M130</f>
        <v>0</v>
      </c>
      <c r="N132" s="3395"/>
      <c r="P132" s="3394">
        <f>P17+P23+P27+P33+P38+P41+P47+P64+P77+P83+P91+P105+P111+P118+P126+P130</f>
        <v>0</v>
      </c>
      <c r="Q132" s="3395"/>
      <c r="S132" s="3394">
        <f>S17+S23+S27+S33+S38+S41+S47+S64+S77+S83+S91+S105+S111+S118+S126+S130</f>
        <v>6885004</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 customHeight="1">
      <c r="B134" s="571" t="s">
        <v>2764</v>
      </c>
      <c r="C134" s="569"/>
      <c r="D134" s="3375">
        <f>IF('Part VI-Revenues &amp; Expenses'!$O$67=0,0,G132/'Part VI-Revenues &amp; Expenses'!$O$67)</f>
        <v>204911.74926163934</v>
      </c>
      <c r="E134" s="3375"/>
      <c r="F134" s="570" t="s">
        <v>2763</v>
      </c>
      <c r="G134" s="3376">
        <f>IF('Part I-Project Information'!$P$75=0,0,G132/'Part I-Project Information'!$P$75)</f>
        <v>218.57062154577883</v>
      </c>
      <c r="H134" s="3377"/>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2044</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c r="K140" s="3383"/>
      <c r="P140" s="3382"/>
      <c r="Q140" s="3383"/>
      <c r="V140" s="1295"/>
      <c r="W140" s="3304"/>
      <c r="X140" s="3305"/>
    </row>
    <row r="141" spans="1:24" s="325" customFormat="1" ht="14.1" customHeight="1">
      <c r="B141" s="1238" t="s">
        <v>2152</v>
      </c>
      <c r="D141" s="1238"/>
      <c r="E141" s="1238"/>
      <c r="F141" s="1238"/>
      <c r="G141" s="1238"/>
      <c r="H141" s="1238"/>
      <c r="I141" s="415"/>
      <c r="J141" s="3384"/>
      <c r="K141" s="3385"/>
      <c r="P141" s="3384"/>
      <c r="Q141" s="3385"/>
      <c r="V141" s="1295"/>
      <c r="W141" s="3304"/>
      <c r="X141" s="3305"/>
    </row>
    <row r="142" spans="1:24" s="325" customFormat="1" ht="14.1" customHeight="1">
      <c r="B142" s="1238" t="s">
        <v>1863</v>
      </c>
      <c r="D142" s="1238"/>
      <c r="E142" s="1238"/>
      <c r="I142" s="415"/>
      <c r="J142" s="3384"/>
      <c r="K142" s="3385"/>
      <c r="P142" s="3384"/>
      <c r="Q142" s="3385"/>
      <c r="V142" s="1295"/>
      <c r="W142" s="3304"/>
      <c r="X142" s="3305"/>
    </row>
    <row r="143" spans="1:24" s="325" customFormat="1" ht="14.1" customHeight="1">
      <c r="B143" s="1238" t="s">
        <v>1864</v>
      </c>
      <c r="D143" s="1238"/>
      <c r="E143" s="1238"/>
      <c r="I143" s="415"/>
      <c r="J143" s="3384"/>
      <c r="K143" s="3385"/>
      <c r="P143" s="3384"/>
      <c r="Q143" s="3385"/>
      <c r="V143" s="1295"/>
      <c r="W143" s="3304"/>
      <c r="X143" s="3305"/>
    </row>
    <row r="144" spans="1:24" s="325" customFormat="1" ht="14.1" customHeight="1">
      <c r="B144" s="1238" t="s">
        <v>254</v>
      </c>
      <c r="D144" s="1238"/>
      <c r="E144" s="1238"/>
      <c r="I144" s="415"/>
      <c r="J144" s="3384"/>
      <c r="K144" s="3385"/>
      <c r="P144" s="3384"/>
      <c r="Q144" s="3385"/>
      <c r="V144" s="1295"/>
      <c r="W144" s="3304"/>
      <c r="X144" s="3305"/>
    </row>
    <row r="145" spans="1:24" s="325" customFormat="1" ht="14.1" customHeight="1" thickBot="1">
      <c r="B145" s="1238" t="s">
        <v>1601</v>
      </c>
      <c r="C145" s="3386" t="s">
        <v>2415</v>
      </c>
      <c r="D145" s="3386"/>
      <c r="E145" s="3386"/>
      <c r="F145" s="3386"/>
      <c r="G145" s="3386"/>
      <c r="H145" s="3386"/>
      <c r="I145" s="3387"/>
      <c r="J145" s="3388"/>
      <c r="K145" s="3389"/>
      <c r="P145" s="3388"/>
      <c r="Q145" s="3389"/>
      <c r="V145" s="1295"/>
      <c r="W145" s="3306"/>
      <c r="X145" s="3307"/>
    </row>
    <row r="146" spans="1:24" s="325" customFormat="1" ht="14.1" customHeight="1" thickBot="1">
      <c r="B146" s="337" t="s">
        <v>1865</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1">
        <f>J132</f>
        <v>43113462.819839999</v>
      </c>
      <c r="K149" s="3372"/>
      <c r="M149" s="3373">
        <f>M132</f>
        <v>0</v>
      </c>
      <c r="N149" s="3374"/>
      <c r="P149" s="3371">
        <f>P132</f>
        <v>0</v>
      </c>
      <c r="Q149" s="3372"/>
      <c r="R149" s="3311" t="s">
        <v>4731</v>
      </c>
      <c r="S149" s="3312"/>
      <c r="T149" s="3312"/>
      <c r="V149" s="1295"/>
      <c r="W149" s="3304"/>
      <c r="X149" s="3305"/>
    </row>
    <row r="150" spans="1:24" s="325" customFormat="1" ht="14.1" customHeight="1">
      <c r="B150" s="325" t="s">
        <v>2220</v>
      </c>
      <c r="J150" s="3333">
        <f>J146</f>
        <v>0</v>
      </c>
      <c r="K150" s="3334"/>
      <c r="M150" s="3347"/>
      <c r="N150" s="3347"/>
      <c r="P150" s="3333">
        <f>P146</f>
        <v>0</v>
      </c>
      <c r="Q150" s="3334"/>
      <c r="R150" s="3311"/>
      <c r="S150" s="3312"/>
      <c r="T150" s="3312"/>
      <c r="U150" s="2401"/>
      <c r="V150" s="1295"/>
      <c r="W150" s="3304"/>
      <c r="X150" s="3305"/>
    </row>
    <row r="151" spans="1:24" s="325" customFormat="1" ht="14.1" customHeight="1">
      <c r="B151" s="325" t="s">
        <v>2221</v>
      </c>
      <c r="J151" s="3333">
        <f>J149-J150</f>
        <v>43113462.819839999</v>
      </c>
      <c r="K151" s="3334"/>
      <c r="M151" s="3333">
        <f>M149</f>
        <v>0</v>
      </c>
      <c r="N151" s="3334"/>
      <c r="P151" s="3333">
        <f>P149-P150</f>
        <v>0</v>
      </c>
      <c r="Q151" s="3334"/>
      <c r="R151" s="3311"/>
      <c r="S151" s="3312"/>
      <c r="T151" s="3312"/>
      <c r="U151" s="2401"/>
      <c r="V151" s="1295"/>
      <c r="W151" s="3304"/>
      <c r="X151" s="3305"/>
    </row>
    <row r="152" spans="1:24" s="325" customFormat="1" ht="14.1" customHeight="1">
      <c r="B152" s="325" t="s">
        <v>1485</v>
      </c>
      <c r="G152" s="1231" t="s">
        <v>1714</v>
      </c>
      <c r="H152" s="3040" t="s">
        <v>5298</v>
      </c>
      <c r="I152" s="3041"/>
      <c r="J152" s="3364">
        <v>1.3</v>
      </c>
      <c r="K152" s="3365"/>
      <c r="M152" s="3366"/>
      <c r="N152" s="3366"/>
      <c r="P152" s="3364"/>
      <c r="Q152" s="3365"/>
      <c r="R152" s="3313" t="s">
        <v>3700</v>
      </c>
      <c r="S152" s="3314"/>
      <c r="T152" s="3315"/>
      <c r="U152" s="2402"/>
      <c r="V152" s="1295"/>
      <c r="W152" s="3304"/>
      <c r="X152" s="3305"/>
    </row>
    <row r="153" spans="1:24" s="325" customFormat="1" ht="14.1" customHeight="1">
      <c r="B153" s="325" t="s">
        <v>2054</v>
      </c>
      <c r="J153" s="3333">
        <f>J151*J152</f>
        <v>56047501.665792003</v>
      </c>
      <c r="K153" s="3334"/>
      <c r="M153" s="3333">
        <f>+M151</f>
        <v>0</v>
      </c>
      <c r="N153" s="3334"/>
      <c r="P153" s="3333">
        <f>P151*P152</f>
        <v>0</v>
      </c>
      <c r="Q153" s="3334"/>
      <c r="R153" s="3316"/>
      <c r="S153" s="3317"/>
      <c r="T153" s="3318"/>
      <c r="U153" s="2402"/>
      <c r="V153" s="1295"/>
      <c r="W153" s="3304"/>
      <c r="X153" s="3305"/>
    </row>
    <row r="154" spans="1:24" s="325" customFormat="1" ht="14.1" customHeight="1">
      <c r="B154" s="325" t="s">
        <v>2541</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 customHeight="1">
      <c r="B155" s="325" t="s">
        <v>2045</v>
      </c>
      <c r="J155" s="3333">
        <f>J153*J154</f>
        <v>56047501.665792003</v>
      </c>
      <c r="K155" s="3334"/>
      <c r="M155" s="3333">
        <f>M153*M154</f>
        <v>0</v>
      </c>
      <c r="N155" s="3334"/>
      <c r="P155" s="3333">
        <f>P153*P154</f>
        <v>0</v>
      </c>
      <c r="Q155" s="3334"/>
      <c r="V155" s="1295"/>
      <c r="W155" s="3304"/>
      <c r="X155" s="3305"/>
    </row>
    <row r="156" spans="1:24" s="325" customFormat="1" ht="14.1" customHeight="1">
      <c r="B156" s="325" t="s">
        <v>2046</v>
      </c>
      <c r="J156" s="3364">
        <v>3.09E-2</v>
      </c>
      <c r="K156" s="3365"/>
      <c r="M156" s="3364"/>
      <c r="N156" s="3365"/>
      <c r="P156" s="3364"/>
      <c r="Q156" s="3365"/>
      <c r="V156" s="1295"/>
      <c r="W156" s="3304"/>
      <c r="X156" s="3305"/>
    </row>
    <row r="157" spans="1:24" s="325" customFormat="1" ht="14.1" customHeight="1" thickBot="1">
      <c r="B157" s="325" t="s">
        <v>2542</v>
      </c>
      <c r="J157" s="3369">
        <f>J155*J156</f>
        <v>1731867.8014729728</v>
      </c>
      <c r="K157" s="3370"/>
      <c r="M157" s="3369">
        <f>M155*M156</f>
        <v>0</v>
      </c>
      <c r="N157" s="3370"/>
      <c r="P157" s="3369">
        <f>P155*P156</f>
        <v>0</v>
      </c>
      <c r="Q157" s="3370"/>
      <c r="V157" s="1302"/>
      <c r="W157" s="3306"/>
      <c r="X157" s="3307"/>
    </row>
    <row r="158" spans="1:24" s="325" customFormat="1" ht="14.1" customHeight="1" thickBot="1">
      <c r="B158" s="327" t="s">
        <v>1424</v>
      </c>
      <c r="J158" s="3172">
        <f>ROUNDDOWN(J157+M157+P157,0)</f>
        <v>1731867</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5" t="str">
        <f>IF(J163&gt;J162,"TDC exceeds QAP PUCL!","")</f>
        <v/>
      </c>
      <c r="H162" s="3325"/>
      <c r="I162" s="3326"/>
      <c r="J162" s="3360">
        <f>'Part VIII-Threshold Criteria'!$P$63</f>
        <v>51930500</v>
      </c>
      <c r="K162" s="3361"/>
      <c r="L162" s="3362"/>
      <c r="M162" s="3327" t="s">
        <v>2746</v>
      </c>
      <c r="N162" s="3328"/>
      <c r="O162" s="3328"/>
      <c r="P162" s="3328"/>
      <c r="Q162" s="3328"/>
      <c r="R162" s="3329"/>
      <c r="S162" s="3327" t="s">
        <v>3674</v>
      </c>
      <c r="T162" s="3329"/>
      <c r="V162" s="1295"/>
      <c r="W162" s="3304"/>
      <c r="X162" s="3305"/>
    </row>
    <row r="163" spans="1:24" s="325" customFormat="1" ht="14.1" customHeight="1">
      <c r="B163" s="325" t="s">
        <v>2748</v>
      </c>
      <c r="J163" s="3344">
        <f>MIN(G132,J162,(G132-O165))</f>
        <v>49998466.819839999</v>
      </c>
      <c r="K163" s="3345"/>
      <c r="L163" s="3346"/>
      <c r="M163" s="3330"/>
      <c r="N163" s="3331"/>
      <c r="O163" s="3331"/>
      <c r="P163" s="3331"/>
      <c r="Q163" s="3331"/>
      <c r="R163" s="3332"/>
      <c r="S163" s="3330"/>
      <c r="T163" s="3332"/>
      <c r="V163" s="1295"/>
      <c r="W163" s="3304"/>
      <c r="X163" s="3305"/>
    </row>
    <row r="164" spans="1:24" s="325" customFormat="1" ht="14.1" customHeight="1">
      <c r="B164" s="325" t="s">
        <v>263</v>
      </c>
      <c r="J164" s="3333">
        <f>'Part III-Sources of Funds'!$I$58-'Part III-Sources of Funds'!$I$42-'Part III-Sources of Funds'!$I$43-'Part III-Sources of Funds'!$I$49-'Part III-Sources of Funds'!$I$50</f>
        <v>21063604.093558483</v>
      </c>
      <c r="K164" s="3347"/>
      <c r="L164" s="3348"/>
      <c r="M164" s="3330"/>
      <c r="N164" s="3331"/>
      <c r="O164" s="3331"/>
      <c r="P164" s="3331"/>
      <c r="Q164" s="3331"/>
      <c r="R164" s="3332"/>
      <c r="S164" s="3330"/>
      <c r="T164" s="3332"/>
      <c r="V164" s="1295"/>
      <c r="W164" s="3304"/>
      <c r="X164" s="3305"/>
    </row>
    <row r="165" spans="1:24" s="325" customFormat="1" ht="14.1" customHeight="1" thickBot="1">
      <c r="B165" s="325" t="s">
        <v>2232</v>
      </c>
      <c r="J165" s="3333">
        <f>+J163-J164</f>
        <v>28934862.726281516</v>
      </c>
      <c r="K165" s="3347"/>
      <c r="L165" s="3348"/>
      <c r="M165" s="3349" t="s">
        <v>2747</v>
      </c>
      <c r="N165" s="3350"/>
      <c r="O165" s="3351">
        <f>'Part III-Sources of Funds'!$I$42</f>
        <v>0</v>
      </c>
      <c r="P165" s="3351"/>
      <c r="Q165" s="3351"/>
      <c r="R165" s="3352"/>
      <c r="S165" s="468" t="s">
        <v>1662</v>
      </c>
      <c r="T165" s="469"/>
      <c r="V165" s="1295"/>
      <c r="W165" s="3304"/>
      <c r="X165" s="3305"/>
    </row>
    <row r="166" spans="1:24" s="325" customFormat="1" ht="14.1" customHeight="1">
      <c r="B166" s="325" t="s">
        <v>1286</v>
      </c>
      <c r="J166" s="3353" t="str">
        <f>"/ 10"</f>
        <v>/ 10</v>
      </c>
      <c r="K166" s="3353"/>
      <c r="L166" s="3353"/>
      <c r="M166" s="1238"/>
      <c r="N166" s="537"/>
      <c r="O166" s="537"/>
      <c r="P166" s="537"/>
      <c r="Q166" s="537"/>
      <c r="R166" s="537"/>
      <c r="V166" s="1298"/>
      <c r="W166" s="3304"/>
      <c r="X166" s="3305"/>
    </row>
    <row r="167" spans="1:24" s="325" customFormat="1" ht="14.1" customHeight="1">
      <c r="B167" s="325" t="s">
        <v>1287</v>
      </c>
      <c r="J167" s="3333">
        <f>J165/10</f>
        <v>2893486.2726281518</v>
      </c>
      <c r="K167" s="3347"/>
      <c r="L167" s="3334"/>
      <c r="M167" s="346"/>
      <c r="N167" s="3062" t="s">
        <v>1288</v>
      </c>
      <c r="O167" s="3062"/>
      <c r="Q167" s="3062" t="s">
        <v>1799</v>
      </c>
      <c r="R167" s="3062"/>
      <c r="V167" s="1295"/>
      <c r="W167" s="3304"/>
      <c r="X167" s="3305"/>
    </row>
    <row r="168" spans="1:24" s="325" customFormat="1" ht="14.1" customHeight="1" thickBot="1">
      <c r="B168" s="325" t="s">
        <v>1484</v>
      </c>
      <c r="J168" s="3335">
        <f>N168+Q168</f>
        <v>1.58</v>
      </c>
      <c r="K168" s="3336"/>
      <c r="L168" s="3337"/>
      <c r="M168" s="1231" t="s">
        <v>1289</v>
      </c>
      <c r="N168" s="3338">
        <v>0.96</v>
      </c>
      <c r="O168" s="3339"/>
      <c r="P168" s="1231" t="s">
        <v>612</v>
      </c>
      <c r="Q168" s="3338">
        <v>0.62</v>
      </c>
      <c r="R168" s="3339"/>
      <c r="V168" s="1295"/>
      <c r="W168" s="3304"/>
      <c r="X168" s="3305"/>
    </row>
    <row r="169" spans="1:24" s="325" customFormat="1" ht="14.1" customHeight="1" thickBot="1">
      <c r="B169" s="327" t="s">
        <v>1425</v>
      </c>
      <c r="J169" s="3172">
        <f>ROUNDDOWN(IF(J168=0,"",J167/J168),0)</f>
        <v>1831320</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50000000000001" customHeight="1">
      <c r="B171" s="327" t="s">
        <v>2901</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1731867</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4">
        <v>1731867</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357">
        <f>IF(J173="",0,+MIN(J171,J173))</f>
        <v>1731867</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5307</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2693</v>
      </c>
      <c r="X179" s="3162"/>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4" zoomScaleNormal="100" workbookViewId="0">
      <selection activeCell="H66" sqref="H66"/>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61" t="str">
        <f>CONCATENATE("PART FOUR (b) -  OTHER COSTS","  -  ",'Part I-Project Information'!$O$6," - ",'Part I-Project Information'!$F$34,"  -  ",'Part I-Project Information'!$F$38,"  -  ",'Part I-Project Information'!$J$39,",  ","County")</f>
        <v>PART FOUR (b) -  OTHER COSTS  -  2019-5 - Somersby  -  College Park  -  Fulton,  County</v>
      </c>
      <c r="B1" s="3462"/>
      <c r="C1" s="3462"/>
      <c r="D1" s="3462"/>
      <c r="E1" s="3462"/>
      <c r="F1" s="3462"/>
      <c r="G1" s="3462"/>
      <c r="H1" s="3462"/>
      <c r="I1" s="1086"/>
      <c r="J1" s="1086"/>
      <c r="K1" s="1086"/>
      <c r="L1" s="1086"/>
      <c r="M1" s="1086"/>
      <c r="N1" s="1086"/>
    </row>
    <row r="2" spans="1:14" ht="9" customHeight="1"/>
    <row r="3" spans="1:14" ht="57" customHeight="1">
      <c r="A3" s="3463" t="s">
        <v>3713</v>
      </c>
      <c r="B3" s="3464"/>
      <c r="C3" s="3464"/>
      <c r="D3" s="3464"/>
      <c r="E3" s="3464"/>
      <c r="F3" s="3464"/>
      <c r="G3" s="3464"/>
      <c r="H3" s="3465"/>
    </row>
    <row r="4" spans="1:14" ht="6" customHeight="1"/>
    <row r="5" spans="1:14" ht="38.25" customHeight="1">
      <c r="A5" s="3466" t="s">
        <v>3830</v>
      </c>
      <c r="B5" s="3466"/>
      <c r="C5" s="3466"/>
      <c r="D5" s="3466"/>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t="str">
        <f>'Part IV-A-Uses of Funds'!$C$14</f>
        <v>&lt;&lt; Enter description here; provide detail &amp; justification in tab Part IV-b &gt;&gt;</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3707</v>
      </c>
      <c r="B12" s="1098">
        <f>'Part IV-A-Uses of Funds'!$G$14</f>
        <v>0</v>
      </c>
      <c r="C12" s="1099" t="s">
        <v>1790</v>
      </c>
      <c r="D12" s="1098">
        <f>'Part IV-A-Uses of Funds'!$J$14+'Part IV-A-Uses of Funds'!$M$14+'Part IV-A-Uses of Funds'!$P$14</f>
        <v>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&lt;&lt; Enter description here; provide detail &amp; justification in tab Part IV-b &gt;&gt;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3707</v>
      </c>
      <c r="B17" s="1098">
        <f>'Part IV-A-Uses of Funds'!$G$15</f>
        <v>0</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3707</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3706</v>
      </c>
      <c r="B24" s="1090"/>
      <c r="C24" s="1090"/>
      <c r="D24" s="1090"/>
      <c r="E24" s="1090"/>
      <c r="F24" s="1090"/>
      <c r="G24" s="1090"/>
    </row>
    <row r="25" spans="1:8" s="1089" customFormat="1" ht="41.25" customHeight="1">
      <c r="A25" s="3458" t="str">
        <f>'Part IV-A-Uses of Funds'!$C$41</f>
        <v>Site Lighting</v>
      </c>
      <c r="B25" s="3459"/>
      <c r="C25" s="3459"/>
      <c r="D25" s="3460"/>
      <c r="E25" s="1090"/>
      <c r="F25" s="3452" t="s">
        <v>5308</v>
      </c>
      <c r="G25" s="1090"/>
      <c r="H25" s="3452" t="s">
        <v>5309</v>
      </c>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25.5">
      <c r="A28" s="1099" t="s">
        <v>3707</v>
      </c>
      <c r="B28" s="1098">
        <f>'Part IV-A-Uses of Funds'!$G$41</f>
        <v>90000</v>
      </c>
      <c r="C28" s="1099" t="s">
        <v>1790</v>
      </c>
      <c r="D28" s="1098">
        <f>'Part IV-A-Uses of Funds'!$J$41+'Part IV-A-Uses of Funds'!$M$41+'Part IV-A-Uses of Funds'!$P$41</f>
        <v>90000</v>
      </c>
      <c r="E28" s="1090"/>
      <c r="F28" s="3453"/>
      <c r="G28" s="1090"/>
      <c r="H28" s="3453"/>
    </row>
    <row r="29" spans="1:8" s="1089" customFormat="1" ht="6" customHeight="1">
      <c r="A29" s="1090"/>
      <c r="B29" s="1091"/>
      <c r="C29" s="1090"/>
      <c r="D29" s="1090"/>
      <c r="E29" s="1090"/>
      <c r="F29" s="3454"/>
      <c r="G29" s="1092"/>
      <c r="H29" s="3454"/>
    </row>
    <row r="30" spans="1:8" s="1089" customFormat="1">
      <c r="A30" s="1100" t="s">
        <v>722</v>
      </c>
      <c r="B30" s="1090"/>
      <c r="C30" s="1090"/>
      <c r="D30" s="1090"/>
      <c r="E30" s="1090"/>
      <c r="F30" s="1090"/>
      <c r="G30" s="1090"/>
    </row>
    <row r="31" spans="1:8" s="1089" customFormat="1" ht="41.25" customHeight="1">
      <c r="A31" s="3446" t="str">
        <f>'Part IV-A-Uses of Funds'!$C$62</f>
        <v>&lt;&lt; Enter description here; provide detail &amp; justification in tab Part IV-b &gt;&gt;</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3707</v>
      </c>
      <c r="B34" s="1098">
        <f>'Part IV-A-Uses of Funds'!$G$62</f>
        <v>0</v>
      </c>
      <c r="C34" s="1099" t="s">
        <v>1790</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3707</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Radon Testing</v>
      </c>
      <c r="B42" s="3447"/>
      <c r="C42" s="3447"/>
      <c r="D42" s="3448"/>
      <c r="F42" s="3452" t="s">
        <v>5310</v>
      </c>
      <c r="G42" s="1090"/>
      <c r="H42" s="3452" t="s">
        <v>5311</v>
      </c>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3707</v>
      </c>
      <c r="B45" s="1098">
        <f>'Part IV-A-Uses of Funds'!$G$76</f>
        <v>3500</v>
      </c>
      <c r="C45" s="1099" t="s">
        <v>1790</v>
      </c>
      <c r="D45" s="1098">
        <f>'Part IV-A-Uses of Funds'!$J$76+'Part IV-A-Uses of Funds'!$M$76+'Part IV-A-Uses of Funds'!$P$76</f>
        <v>3500</v>
      </c>
      <c r="E45" s="1090"/>
      <c r="F45" s="3453"/>
      <c r="G45" s="1090"/>
      <c r="H45" s="3453"/>
    </row>
    <row r="46" spans="1:8" s="1089" customFormat="1" ht="6" customHeight="1">
      <c r="A46" s="1090"/>
      <c r="B46" s="1091"/>
      <c r="C46" s="1090"/>
      <c r="D46" s="1090"/>
      <c r="E46" s="1090"/>
      <c r="F46" s="3454"/>
      <c r="G46" s="1092"/>
      <c r="H46" s="3454"/>
    </row>
    <row r="47" spans="1:8" s="1089" customFormat="1">
      <c r="A47" s="1100" t="s">
        <v>724</v>
      </c>
      <c r="B47" s="1090"/>
      <c r="C47" s="1090"/>
      <c r="D47" s="1090"/>
      <c r="E47" s="1090"/>
      <c r="F47" s="1090"/>
      <c r="G47" s="1090"/>
    </row>
    <row r="48" spans="1:8" s="1089" customFormat="1" ht="41.25" customHeight="1">
      <c r="A48" s="3446" t="str">
        <f>'Part IV-A-Uses of Funds'!$C$90</f>
        <v>Commitment and Standby Fee</v>
      </c>
      <c r="B48" s="3447"/>
      <c r="C48" s="3447"/>
      <c r="D48" s="3448"/>
      <c r="F48" s="3452" t="s">
        <v>5312</v>
      </c>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3707</v>
      </c>
      <c r="B51" s="1098">
        <f>'Part IV-A-Uses of Funds'!$G$90</f>
        <v>452867</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3708</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25.5">
      <c r="A57" s="1099" t="s">
        <v>3707</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25.5">
      <c r="A62" s="1099" t="s">
        <v>3707</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3709</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25.5">
      <c r="A68" s="1099" t="s">
        <v>3707</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1309</v>
      </c>
      <c r="B70" s="1090"/>
      <c r="C70" s="1090"/>
      <c r="D70" s="1090"/>
      <c r="E70" s="1090"/>
      <c r="F70" s="1090"/>
      <c r="G70" s="1090"/>
    </row>
    <row r="71" spans="1:8" s="1089" customFormat="1" ht="41.25" customHeight="1">
      <c r="A71" s="3446" t="str">
        <f>'Part IV-A-Uses of Funds'!$C$125</f>
        <v>Tax and Insurance Escrow</v>
      </c>
      <c r="B71" s="3447"/>
      <c r="C71" s="3447"/>
      <c r="D71" s="3448"/>
      <c r="F71" s="3452" t="s">
        <v>5313</v>
      </c>
      <c r="G71" s="1090"/>
      <c r="H71" s="3452" t="s">
        <v>5314</v>
      </c>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3707</v>
      </c>
      <c r="B74" s="1098">
        <f>'Part IV-A-Uses of Funds'!$G$125</f>
        <v>60000</v>
      </c>
      <c r="C74" s="1099" t="s">
        <v>1790</v>
      </c>
      <c r="D74" s="1098">
        <f>'Part IV-A-Uses of Funds'!$J$125+'Part IV-A-Uses of Funds'!$M$125+'Part IV-A-Uses of Funds'!$P$125</f>
        <v>0</v>
      </c>
      <c r="E74" s="1090"/>
      <c r="F74" s="3453"/>
      <c r="G74" s="1090"/>
      <c r="H74" s="3453"/>
    </row>
    <row r="75" spans="1:8" s="1089" customFormat="1" ht="6" customHeight="1">
      <c r="A75" s="1090"/>
      <c r="B75" s="1091"/>
      <c r="C75" s="1090"/>
      <c r="D75" s="1090"/>
      <c r="E75" s="1090"/>
      <c r="F75" s="3454"/>
      <c r="G75" s="1092"/>
      <c r="H75" s="3454"/>
    </row>
    <row r="76" spans="1:8" s="1089" customFormat="1">
      <c r="A76" s="1100" t="s">
        <v>3710</v>
      </c>
      <c r="B76" s="1091"/>
      <c r="C76" s="1090"/>
      <c r="D76" s="1090"/>
      <c r="E76" s="1090"/>
      <c r="F76" s="1090"/>
      <c r="G76" s="1092"/>
    </row>
    <row r="77" spans="1:8" s="1089" customFormat="1" ht="41.25" customHeight="1">
      <c r="A77" s="3446" t="str">
        <f>'Part IV-A-Uses of Funds'!$C$129</f>
        <v>&lt;&lt; Enter description here; provide detail &amp; justification in tab Part IV-b &gt;&gt;</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3707</v>
      </c>
      <c r="B80" s="1098">
        <f>'Part IV-A-Uses of Funds'!$G$129</f>
        <v>0</v>
      </c>
      <c r="C80" s="1099" t="s">
        <v>1790</v>
      </c>
      <c r="D80" s="1098">
        <f>'Part IV-A-Uses of Funds'!$J$129+'Part IV-A-Uses of Funds'!$M$129+'Part IV-A-Uses of Funds'!$P$129</f>
        <v>0</v>
      </c>
      <c r="E80" s="1095"/>
      <c r="F80" s="3453"/>
      <c r="G80" s="1090"/>
      <c r="H80" s="3453"/>
    </row>
    <row r="81" spans="4:8" s="1089" customFormat="1" ht="6" customHeight="1">
      <c r="D81" s="1096"/>
      <c r="E81" s="1097"/>
      <c r="F81" s="3454"/>
      <c r="G81" s="1092"/>
      <c r="H81" s="3454"/>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Q33" sqref="Q3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0" t="str">
        <f>CONCATENATE("PART FIVE - UTILITY ALLOWANCES","  -  ",'Part I-Project Information'!$O$6," ",'Part I-Project Information'!$F$34,", ",'Part I-Project Information'!F38,", ",'Part I-Project Information'!J39," County")</f>
        <v>PART FIVE - UTILITY ALLOWANCES  -  2019-5 Somersby, College Park, Fulton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2" t="str">
        <f>'Part I-Project Information'!$B$6</f>
        <v>May 2019 Final</v>
      </c>
      <c r="C3" s="3492"/>
      <c r="D3" s="3492"/>
      <c r="E3" s="3492"/>
      <c r="F3" s="4" t="s">
        <v>4610</v>
      </c>
      <c r="I3" s="1260"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616</v>
      </c>
      <c r="B7" s="13" t="s">
        <v>2227</v>
      </c>
      <c r="F7" s="1" t="s">
        <v>2519</v>
      </c>
      <c r="G7" s="1"/>
      <c r="H7" s="1"/>
      <c r="I7" s="3470" t="s">
        <v>5299</v>
      </c>
      <c r="J7" s="3471"/>
      <c r="K7" s="3471"/>
      <c r="L7" s="3471"/>
      <c r="M7" s="3472"/>
    </row>
    <row r="8" spans="1:20" s="8" customFormat="1" ht="13.35" customHeight="1">
      <c r="A8" s="13"/>
      <c r="F8" s="1" t="s">
        <v>636</v>
      </c>
      <c r="G8" s="1"/>
      <c r="H8" s="33"/>
      <c r="I8" s="3483">
        <v>44124</v>
      </c>
      <c r="J8" s="3484"/>
      <c r="K8" s="6" t="s">
        <v>540</v>
      </c>
      <c r="L8" s="3485" t="s">
        <v>5300</v>
      </c>
      <c r="M8" s="3486"/>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81" t="s">
        <v>5301</v>
      </c>
      <c r="E12" s="3482"/>
      <c r="F12" s="280" t="s">
        <v>441</v>
      </c>
      <c r="G12" s="280"/>
      <c r="H12" s="1195"/>
      <c r="I12" s="2684"/>
      <c r="J12" s="2684">
        <v>10</v>
      </c>
      <c r="K12" s="2684">
        <v>11</v>
      </c>
      <c r="L12" s="2684">
        <v>13</v>
      </c>
      <c r="M12" s="2684"/>
      <c r="O12" s="3467" t="s">
        <v>3829</v>
      </c>
      <c r="P12" s="3467"/>
    </row>
    <row r="13" spans="1:20" s="8" customFormat="1" ht="12" customHeight="1">
      <c r="B13" s="2691" t="s">
        <v>1597</v>
      </c>
      <c r="C13" s="2692"/>
      <c r="D13" s="3468" t="s">
        <v>1596</v>
      </c>
      <c r="E13" s="3469"/>
      <c r="F13" s="281" t="s">
        <v>441</v>
      </c>
      <c r="G13" s="281"/>
      <c r="H13" s="1194"/>
      <c r="I13" s="2685"/>
      <c r="J13" s="2685">
        <v>5</v>
      </c>
      <c r="K13" s="2685">
        <v>7</v>
      </c>
      <c r="L13" s="2686">
        <v>9</v>
      </c>
      <c r="M13" s="2686"/>
      <c r="O13" s="3467"/>
      <c r="P13" s="3467"/>
    </row>
    <row r="14" spans="1:20" s="8" customFormat="1" ht="12" customHeight="1">
      <c r="B14" s="2693" t="s">
        <v>1598</v>
      </c>
      <c r="C14" s="2694"/>
      <c r="D14" s="3468" t="s">
        <v>1596</v>
      </c>
      <c r="E14" s="3469"/>
      <c r="F14" s="281" t="s">
        <v>441</v>
      </c>
      <c r="G14" s="281"/>
      <c r="H14" s="276"/>
      <c r="I14" s="2685"/>
      <c r="J14" s="2685">
        <v>11</v>
      </c>
      <c r="K14" s="2685">
        <v>15</v>
      </c>
      <c r="L14" s="2686">
        <v>19</v>
      </c>
      <c r="M14" s="2686"/>
      <c r="O14" s="3467"/>
      <c r="P14" s="3467"/>
    </row>
    <row r="15" spans="1:20" s="8" customFormat="1" ht="12" customHeight="1">
      <c r="B15" s="2695" t="s">
        <v>467</v>
      </c>
      <c r="C15" s="2696"/>
      <c r="D15" s="2695" t="s">
        <v>1596</v>
      </c>
      <c r="E15" s="277"/>
      <c r="F15" s="281" t="s">
        <v>441</v>
      </c>
      <c r="G15" s="281"/>
      <c r="H15" s="1193"/>
      <c r="I15" s="2685"/>
      <c r="J15" s="2685">
        <v>10</v>
      </c>
      <c r="K15" s="2685">
        <v>17</v>
      </c>
      <c r="L15" s="2686">
        <v>22</v>
      </c>
      <c r="M15" s="2686"/>
      <c r="O15" s="3467"/>
      <c r="P15" s="3467"/>
    </row>
    <row r="16" spans="1:20" s="8" customFormat="1" ht="12" customHeight="1">
      <c r="B16" s="2697" t="s">
        <v>3801</v>
      </c>
      <c r="C16" s="2692"/>
      <c r="D16" s="2691" t="s">
        <v>1596</v>
      </c>
      <c r="E16" s="1192"/>
      <c r="F16" s="281"/>
      <c r="G16" s="281"/>
      <c r="H16" s="1194"/>
      <c r="I16" s="2685"/>
      <c r="J16" s="2685"/>
      <c r="K16" s="2685"/>
      <c r="L16" s="2686"/>
      <c r="M16" s="2686"/>
      <c r="O16" s="3467"/>
      <c r="P16" s="3467"/>
    </row>
    <row r="17" spans="1:19" s="8" customFormat="1" ht="12" customHeight="1">
      <c r="B17" s="2697" t="s">
        <v>3802</v>
      </c>
      <c r="C17" s="2692"/>
      <c r="D17" s="2691" t="s">
        <v>1596</v>
      </c>
      <c r="E17" s="1192"/>
      <c r="F17" s="281"/>
      <c r="G17" s="281"/>
      <c r="H17" s="1194"/>
      <c r="I17" s="2685"/>
      <c r="J17" s="2685"/>
      <c r="K17" s="2685"/>
      <c r="L17" s="2686"/>
      <c r="M17" s="2686"/>
      <c r="O17" s="3467"/>
      <c r="P17" s="3467"/>
    </row>
    <row r="18" spans="1:19" s="8" customFormat="1" ht="12" customHeight="1">
      <c r="B18" s="2698" t="s">
        <v>3803</v>
      </c>
      <c r="C18" s="2694"/>
      <c r="D18" s="2693" t="s">
        <v>1596</v>
      </c>
      <c r="E18" s="1192"/>
      <c r="F18" s="281" t="s">
        <v>441</v>
      </c>
      <c r="G18" s="281"/>
      <c r="H18" s="276"/>
      <c r="I18" s="2685"/>
      <c r="J18" s="2685">
        <v>28</v>
      </c>
      <c r="K18" s="2685">
        <v>36</v>
      </c>
      <c r="L18" s="2686">
        <v>43</v>
      </c>
      <c r="M18" s="2686"/>
      <c r="O18" s="3467"/>
      <c r="P18" s="3467"/>
    </row>
    <row r="19" spans="1:19" s="8" customFormat="1" ht="12" customHeight="1">
      <c r="B19" s="2695" t="s">
        <v>1370</v>
      </c>
      <c r="C19" s="2696"/>
      <c r="D19" s="2701" t="s">
        <v>3469</v>
      </c>
      <c r="E19" s="2683" t="s">
        <v>2990</v>
      </c>
      <c r="F19" s="281"/>
      <c r="G19" s="281" t="s">
        <v>441</v>
      </c>
      <c r="H19" s="1193"/>
      <c r="I19" s="2685"/>
      <c r="J19" s="2685"/>
      <c r="K19" s="2685"/>
      <c r="L19" s="2686"/>
      <c r="M19" s="2686"/>
      <c r="O19" s="3467"/>
      <c r="P19" s="3467"/>
    </row>
    <row r="20" spans="1:19" s="8" customFormat="1" ht="12" customHeight="1">
      <c r="B20" s="2699" t="s">
        <v>1851</v>
      </c>
      <c r="C20" s="2700"/>
      <c r="D20" s="278"/>
      <c r="E20" s="250"/>
      <c r="F20" s="281"/>
      <c r="G20" s="281" t="s">
        <v>441</v>
      </c>
      <c r="H20" s="1194"/>
      <c r="I20" s="2685"/>
      <c r="J20" s="2685"/>
      <c r="K20" s="2685"/>
      <c r="L20" s="2686"/>
      <c r="M20" s="2686"/>
      <c r="O20" s="3467"/>
      <c r="P20" s="3467"/>
    </row>
    <row r="21" spans="1:19" s="8" customFormat="1" ht="12" customHeight="1">
      <c r="B21" s="2699" t="s">
        <v>741</v>
      </c>
      <c r="C21" s="3487"/>
      <c r="D21" s="3488"/>
      <c r="E21" s="3489"/>
      <c r="F21" s="282"/>
      <c r="G21" s="282"/>
      <c r="H21" s="1196"/>
      <c r="I21" s="2687"/>
      <c r="J21" s="2687"/>
      <c r="K21" s="2687"/>
      <c r="L21" s="2688"/>
      <c r="M21" s="2688"/>
      <c r="O21" s="3467"/>
      <c r="P21" s="3467"/>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64</v>
      </c>
      <c r="K22" s="155">
        <f>IF(SUM(K12:K21)=0,0,IF(OR($D12="&lt;&lt;Select Fuel &gt;&gt;",$D13="&lt;&lt;Select Fuel &gt;&gt;",$D14="&lt;&lt;Select Fuel &gt;&gt;"),"Select Fuel",IF($E19="&lt;Select&gt;","Submeter?",SUM(K12:K21))))</f>
        <v>86</v>
      </c>
      <c r="L22" s="155">
        <f>IF(SUM(L12:L21)=0,0,IF(OR($D12="&lt;&lt;Select Fuel &gt;&gt;",$D13="&lt;&lt;Select Fuel &gt;&gt;",$D14="&lt;&lt;Select Fuel &gt;&gt;"),"Select Fuel",IF($E19="&lt;Select&gt;","Submeter?",SUM(L12:L21))))</f>
        <v>106</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0"/>
      <c r="J24" s="3471"/>
      <c r="K24" s="3471"/>
      <c r="L24" s="3471"/>
      <c r="M24" s="3472"/>
    </row>
    <row r="25" spans="1:19" s="8" customFormat="1" ht="13.35" customHeight="1">
      <c r="A25" s="13"/>
      <c r="B25" s="13"/>
      <c r="F25" s="1" t="s">
        <v>636</v>
      </c>
      <c r="G25" s="1"/>
      <c r="H25" s="33"/>
      <c r="I25" s="3483"/>
      <c r="J25" s="3484"/>
      <c r="K25" s="6" t="s">
        <v>540</v>
      </c>
      <c r="L25" s="3485"/>
      <c r="M25" s="3486"/>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81" t="s">
        <v>1820</v>
      </c>
      <c r="E29" s="3482"/>
      <c r="F29" s="280"/>
      <c r="G29" s="280"/>
      <c r="H29" s="1195"/>
      <c r="I29" s="2684"/>
      <c r="J29" s="2684"/>
      <c r="K29" s="2684"/>
      <c r="L29" s="2684"/>
      <c r="M29" s="2684"/>
      <c r="O29" s="3467" t="s">
        <v>3829</v>
      </c>
      <c r="P29" s="3467"/>
    </row>
    <row r="30" spans="1:19" s="8" customFormat="1" ht="12" customHeight="1">
      <c r="B30" s="2691" t="s">
        <v>1597</v>
      </c>
      <c r="C30" s="2692"/>
      <c r="D30" s="3468" t="s">
        <v>1820</v>
      </c>
      <c r="E30" s="3469"/>
      <c r="F30" s="281"/>
      <c r="G30" s="281"/>
      <c r="H30" s="1194"/>
      <c r="I30" s="2685"/>
      <c r="J30" s="2685"/>
      <c r="K30" s="2685"/>
      <c r="L30" s="2686"/>
      <c r="M30" s="2686"/>
      <c r="O30" s="3467"/>
      <c r="P30" s="3467"/>
    </row>
    <row r="31" spans="1:19" s="8" customFormat="1" ht="12" customHeight="1">
      <c r="B31" s="2693" t="s">
        <v>1598</v>
      </c>
      <c r="C31" s="2694"/>
      <c r="D31" s="3468" t="s">
        <v>1820</v>
      </c>
      <c r="E31" s="3469"/>
      <c r="F31" s="281"/>
      <c r="G31" s="281"/>
      <c r="H31" s="276"/>
      <c r="I31" s="2685"/>
      <c r="J31" s="2685"/>
      <c r="K31" s="2685"/>
      <c r="L31" s="2686"/>
      <c r="M31" s="2686"/>
      <c r="O31" s="3467"/>
      <c r="P31" s="3467"/>
    </row>
    <row r="32" spans="1:19" s="8" customFormat="1" ht="12" customHeight="1">
      <c r="B32" s="2695" t="s">
        <v>467</v>
      </c>
      <c r="C32" s="2696"/>
      <c r="D32" s="2695" t="s">
        <v>1596</v>
      </c>
      <c r="E32" s="277"/>
      <c r="F32" s="281"/>
      <c r="G32" s="281"/>
      <c r="H32" s="1193"/>
      <c r="I32" s="2685"/>
      <c r="J32" s="2685"/>
      <c r="K32" s="2685"/>
      <c r="L32" s="2686"/>
      <c r="M32" s="2686"/>
      <c r="O32" s="3467"/>
      <c r="P32" s="3467"/>
    </row>
    <row r="33" spans="1:19" s="8" customFormat="1" ht="12" customHeight="1">
      <c r="B33" s="2697" t="s">
        <v>3801</v>
      </c>
      <c r="C33" s="2692"/>
      <c r="D33" s="2691" t="s">
        <v>1596</v>
      </c>
      <c r="E33" s="1192"/>
      <c r="F33" s="281"/>
      <c r="G33" s="281"/>
      <c r="H33" s="1194"/>
      <c r="I33" s="2685"/>
      <c r="J33" s="2685"/>
      <c r="K33" s="2685"/>
      <c r="L33" s="2686"/>
      <c r="M33" s="2686"/>
      <c r="O33" s="3467"/>
      <c r="P33" s="3467"/>
    </row>
    <row r="34" spans="1:19" s="8" customFormat="1" ht="12" customHeight="1">
      <c r="B34" s="2697" t="s">
        <v>3802</v>
      </c>
      <c r="C34" s="2692"/>
      <c r="D34" s="2691" t="s">
        <v>1596</v>
      </c>
      <c r="E34" s="1192"/>
      <c r="F34" s="281"/>
      <c r="G34" s="281"/>
      <c r="H34" s="1194"/>
      <c r="I34" s="2685"/>
      <c r="J34" s="2685"/>
      <c r="K34" s="2685"/>
      <c r="L34" s="2686"/>
      <c r="M34" s="2686"/>
      <c r="O34" s="3467"/>
      <c r="P34" s="3467"/>
    </row>
    <row r="35" spans="1:19" s="8" customFormat="1" ht="12" customHeight="1">
      <c r="B35" s="2698" t="s">
        <v>3803</v>
      </c>
      <c r="C35" s="2694"/>
      <c r="D35" s="2693" t="s">
        <v>1596</v>
      </c>
      <c r="E35" s="1192"/>
      <c r="F35" s="281"/>
      <c r="G35" s="281"/>
      <c r="H35" s="276"/>
      <c r="I35" s="2685"/>
      <c r="J35" s="2685"/>
      <c r="K35" s="2685"/>
      <c r="L35" s="2686"/>
      <c r="M35" s="2686"/>
      <c r="O35" s="3467"/>
      <c r="P35" s="3467"/>
    </row>
    <row r="36" spans="1:19" s="8" customFormat="1" ht="12" customHeight="1">
      <c r="B36" s="2695" t="s">
        <v>1370</v>
      </c>
      <c r="C36" s="2696"/>
      <c r="D36" s="2701" t="s">
        <v>3469</v>
      </c>
      <c r="E36" s="2683" t="s">
        <v>201</v>
      </c>
      <c r="F36" s="281"/>
      <c r="G36" s="281"/>
      <c r="H36" s="1193"/>
      <c r="I36" s="2685"/>
      <c r="J36" s="2685"/>
      <c r="K36" s="2685"/>
      <c r="L36" s="2686"/>
      <c r="M36" s="2686"/>
      <c r="O36" s="3467"/>
      <c r="P36" s="3467"/>
    </row>
    <row r="37" spans="1:19" s="8" customFormat="1" ht="12" customHeight="1">
      <c r="B37" s="2699" t="s">
        <v>1851</v>
      </c>
      <c r="C37" s="2700"/>
      <c r="D37" s="278"/>
      <c r="E37" s="250"/>
      <c r="F37" s="281"/>
      <c r="G37" s="281"/>
      <c r="H37" s="1194"/>
      <c r="I37" s="2685"/>
      <c r="J37" s="2685"/>
      <c r="K37" s="2685"/>
      <c r="L37" s="2686"/>
      <c r="M37" s="2686"/>
      <c r="O37" s="3467"/>
      <c r="P37" s="3467"/>
    </row>
    <row r="38" spans="1:19" s="8" customFormat="1" ht="12" customHeight="1">
      <c r="B38" s="2699" t="s">
        <v>741</v>
      </c>
      <c r="C38" s="3487"/>
      <c r="D38" s="3488"/>
      <c r="E38" s="3489"/>
      <c r="F38" s="282"/>
      <c r="G38" s="282"/>
      <c r="H38" s="1196"/>
      <c r="I38" s="2687"/>
      <c r="J38" s="2687"/>
      <c r="K38" s="2687"/>
      <c r="L38" s="2688"/>
      <c r="M38" s="2688"/>
      <c r="O38" s="3467"/>
      <c r="P38" s="3467"/>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73" t="s">
        <v>5302</v>
      </c>
      <c r="C43" s="3474"/>
      <c r="D43" s="3474"/>
      <c r="E43" s="3474"/>
      <c r="F43" s="3474"/>
      <c r="G43" s="3474"/>
      <c r="H43" s="3474"/>
      <c r="I43" s="3474"/>
      <c r="J43" s="3474"/>
      <c r="K43" s="3474"/>
      <c r="L43" s="3474"/>
      <c r="M43" s="3475"/>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disablePrompts="1"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M248" sqref="M248:P24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88" t="str">
        <f>CONCATENATE("PART SIX - PROJECTED REVENUES &amp; EXPENSES","  -  ",'Part I-Project Information'!$O$6," ",'Part I-Project Information'!$F$34,", ",'Part I-Project Information'!F38,", ",'Part I-Project Information'!J39," County")</f>
        <v>PART SIX - PROJECTED REVENUES &amp; EXPENSES  -  2019-5 Somersby, College Park, Fulton County</v>
      </c>
      <c r="B1" s="3289"/>
      <c r="C1" s="3289"/>
      <c r="D1" s="3289"/>
      <c r="E1" s="3289"/>
      <c r="F1" s="3289"/>
      <c r="G1" s="3289"/>
      <c r="H1" s="3289"/>
      <c r="I1" s="3289"/>
      <c r="J1" s="3289"/>
      <c r="K1" s="3289"/>
      <c r="L1" s="3289"/>
      <c r="M1" s="3289"/>
      <c r="N1" s="3289"/>
      <c r="O1" s="3289"/>
      <c r="P1" s="3290"/>
      <c r="U1" s="3569" t="str">
        <f>A1</f>
        <v>PART SIX - PROJECTED REVENUES &amp; EXPENSES  -  2019-5 Somersby, College Park, Fulton County</v>
      </c>
      <c r="V1" s="3569"/>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53" t="s">
        <v>3423</v>
      </c>
      <c r="MF3" s="3553" t="s">
        <v>3424</v>
      </c>
      <c r="MG3" s="3553" t="s">
        <v>3425</v>
      </c>
      <c r="MH3" s="3553" t="s">
        <v>3426</v>
      </c>
      <c r="MI3" s="3553"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5" t="s">
        <v>3699</v>
      </c>
      <c r="Q4" s="1254"/>
      <c r="R4" s="479"/>
      <c r="S4" s="479"/>
      <c r="T4" s="479"/>
      <c r="U4" s="479"/>
      <c r="V4" s="480"/>
      <c r="W4" s="3514" t="s">
        <v>4624</v>
      </c>
      <c r="X4" s="3514" t="s">
        <v>4625</v>
      </c>
      <c r="Y4" s="3514" t="s">
        <v>4626</v>
      </c>
      <c r="Z4" s="3514" t="s">
        <v>4627</v>
      </c>
      <c r="AA4" s="3514" t="s">
        <v>4628</v>
      </c>
      <c r="AB4" s="3514" t="s">
        <v>4629</v>
      </c>
      <c r="AC4" s="3514" t="s">
        <v>4630</v>
      </c>
      <c r="AD4" s="3514" t="s">
        <v>4631</v>
      </c>
      <c r="AE4" s="3514" t="s">
        <v>4632</v>
      </c>
      <c r="AF4" s="3514" t="s">
        <v>4633</v>
      </c>
      <c r="AG4" s="3514" t="s">
        <v>919</v>
      </c>
      <c r="AH4" s="3514" t="s">
        <v>756</v>
      </c>
      <c r="AI4" s="3514" t="s">
        <v>757</v>
      </c>
      <c r="AJ4" s="3514" t="s">
        <v>758</v>
      </c>
      <c r="AK4" s="3514" t="s">
        <v>759</v>
      </c>
      <c r="AL4" s="3514" t="s">
        <v>920</v>
      </c>
      <c r="AM4" s="3514" t="s">
        <v>2310</v>
      </c>
      <c r="AN4" s="3514" t="s">
        <v>2311</v>
      </c>
      <c r="AO4" s="3514" t="s">
        <v>2312</v>
      </c>
      <c r="AP4" s="3514" t="s">
        <v>2313</v>
      </c>
      <c r="AQ4" s="3514" t="s">
        <v>4635</v>
      </c>
      <c r="AR4" s="3514" t="s">
        <v>4636</v>
      </c>
      <c r="AS4" s="3514" t="s">
        <v>4637</v>
      </c>
      <c r="AT4" s="3514" t="s">
        <v>4638</v>
      </c>
      <c r="AU4" s="3514" t="s">
        <v>4634</v>
      </c>
      <c r="AV4" s="3514" t="s">
        <v>921</v>
      </c>
      <c r="AW4" s="3514" t="s">
        <v>2314</v>
      </c>
      <c r="AX4" s="3514" t="s">
        <v>2315</v>
      </c>
      <c r="AY4" s="3514" t="s">
        <v>2316</v>
      </c>
      <c r="AZ4" s="3514" t="s">
        <v>2317</v>
      </c>
      <c r="BA4" s="3514" t="s">
        <v>4639</v>
      </c>
      <c r="BB4" s="3514" t="s">
        <v>4640</v>
      </c>
      <c r="BC4" s="3514" t="s">
        <v>4641</v>
      </c>
      <c r="BD4" s="3514" t="s">
        <v>4642</v>
      </c>
      <c r="BE4" s="3514" t="s">
        <v>4643</v>
      </c>
      <c r="BF4" s="3514" t="s">
        <v>129</v>
      </c>
      <c r="BG4" s="3514" t="s">
        <v>2318</v>
      </c>
      <c r="BH4" s="3514" t="s">
        <v>2319</v>
      </c>
      <c r="BI4" s="3514" t="s">
        <v>2320</v>
      </c>
      <c r="BJ4" s="3514" t="s">
        <v>1148</v>
      </c>
      <c r="BK4" s="3514" t="s">
        <v>4644</v>
      </c>
      <c r="BL4" s="3514" t="s">
        <v>4645</v>
      </c>
      <c r="BM4" s="3514" t="s">
        <v>4646</v>
      </c>
      <c r="BN4" s="3514" t="s">
        <v>4647</v>
      </c>
      <c r="BO4" s="3514" t="s">
        <v>4648</v>
      </c>
      <c r="BP4" s="3514" t="s">
        <v>556</v>
      </c>
      <c r="BQ4" s="3514" t="s">
        <v>557</v>
      </c>
      <c r="BR4" s="3514" t="s">
        <v>577</v>
      </c>
      <c r="BS4" s="3514" t="s">
        <v>578</v>
      </c>
      <c r="BT4" s="3514" t="s">
        <v>579</v>
      </c>
      <c r="BU4" s="3514" t="s">
        <v>4649</v>
      </c>
      <c r="BV4" s="3514" t="s">
        <v>4650</v>
      </c>
      <c r="BW4" s="3514" t="s">
        <v>4651</v>
      </c>
      <c r="BX4" s="3514" t="s">
        <v>4652</v>
      </c>
      <c r="BY4" s="3514" t="s">
        <v>4653</v>
      </c>
      <c r="BZ4" s="3514" t="s">
        <v>580</v>
      </c>
      <c r="CA4" s="3514" t="s">
        <v>581</v>
      </c>
      <c r="CB4" s="3514" t="s">
        <v>582</v>
      </c>
      <c r="CC4" s="3514" t="s">
        <v>583</v>
      </c>
      <c r="CD4" s="3514" t="s">
        <v>584</v>
      </c>
      <c r="CE4" s="3514" t="s">
        <v>585</v>
      </c>
      <c r="CF4" s="3514" t="s">
        <v>586</v>
      </c>
      <c r="CG4" s="3514" t="s">
        <v>931</v>
      </c>
      <c r="CH4" s="3514" t="s">
        <v>932</v>
      </c>
      <c r="CI4" s="3514" t="s">
        <v>933</v>
      </c>
      <c r="CJ4" s="3514" t="s">
        <v>4659</v>
      </c>
      <c r="CK4" s="3514" t="s">
        <v>4660</v>
      </c>
      <c r="CL4" s="3514" t="s">
        <v>4661</v>
      </c>
      <c r="CM4" s="3514" t="s">
        <v>4662</v>
      </c>
      <c r="CN4" s="3514" t="s">
        <v>4663</v>
      </c>
      <c r="CO4" s="3514" t="s">
        <v>4654</v>
      </c>
      <c r="CP4" s="3514" t="s">
        <v>4655</v>
      </c>
      <c r="CQ4" s="3514" t="s">
        <v>4656</v>
      </c>
      <c r="CR4" s="3514" t="s">
        <v>4657</v>
      </c>
      <c r="CS4" s="3514" t="s">
        <v>4658</v>
      </c>
      <c r="CT4" s="3514" t="s">
        <v>4664</v>
      </c>
      <c r="CU4" s="3514" t="s">
        <v>4665</v>
      </c>
      <c r="CV4" s="3514" t="s">
        <v>4666</v>
      </c>
      <c r="CW4" s="3514" t="s">
        <v>4667</v>
      </c>
      <c r="CX4" s="3514" t="s">
        <v>4668</v>
      </c>
      <c r="CY4" s="3514" t="s">
        <v>496</v>
      </c>
      <c r="CZ4" s="3514" t="s">
        <v>497</v>
      </c>
      <c r="DA4" s="3514" t="s">
        <v>498</v>
      </c>
      <c r="DB4" s="3514" t="s">
        <v>499</v>
      </c>
      <c r="DC4" s="3514" t="s">
        <v>500</v>
      </c>
      <c r="DD4" s="3514" t="s">
        <v>4669</v>
      </c>
      <c r="DE4" s="3514" t="s">
        <v>4670</v>
      </c>
      <c r="DF4" s="3514" t="s">
        <v>4671</v>
      </c>
      <c r="DG4" s="3514" t="s">
        <v>4672</v>
      </c>
      <c r="DH4" s="3514" t="s">
        <v>4673</v>
      </c>
      <c r="DI4" s="3514" t="s">
        <v>880</v>
      </c>
      <c r="DJ4" s="3514" t="s">
        <v>881</v>
      </c>
      <c r="DK4" s="3514" t="s">
        <v>882</v>
      </c>
      <c r="DL4" s="3514" t="s">
        <v>883</v>
      </c>
      <c r="DM4" s="3514" t="s">
        <v>884</v>
      </c>
      <c r="DN4" s="3514" t="s">
        <v>885</v>
      </c>
      <c r="DO4" s="3514" t="s">
        <v>886</v>
      </c>
      <c r="DP4" s="3514" t="s">
        <v>887</v>
      </c>
      <c r="DQ4" s="3514" t="s">
        <v>888</v>
      </c>
      <c r="DR4" s="3514" t="s">
        <v>889</v>
      </c>
      <c r="DS4" s="3514" t="s">
        <v>4674</v>
      </c>
      <c r="DT4" s="3514" t="s">
        <v>4675</v>
      </c>
      <c r="DU4" s="3514" t="s">
        <v>4676</v>
      </c>
      <c r="DV4" s="3514" t="s">
        <v>4677</v>
      </c>
      <c r="DW4" s="3514" t="s">
        <v>4678</v>
      </c>
      <c r="DX4" s="3514" t="s">
        <v>4679</v>
      </c>
      <c r="DY4" s="3514" t="s">
        <v>4680</v>
      </c>
      <c r="DZ4" s="3514" t="s">
        <v>4681</v>
      </c>
      <c r="EA4" s="3514" t="s">
        <v>4682</v>
      </c>
      <c r="EB4" s="3514" t="s">
        <v>4683</v>
      </c>
      <c r="EC4" s="3514" t="s">
        <v>2430</v>
      </c>
      <c r="ED4" s="3514" t="s">
        <v>2431</v>
      </c>
      <c r="EE4" s="3514" t="s">
        <v>2432</v>
      </c>
      <c r="EF4" s="3514" t="s">
        <v>2433</v>
      </c>
      <c r="EG4" s="3514" t="s">
        <v>2434</v>
      </c>
      <c r="EH4" s="3514" t="s">
        <v>4684</v>
      </c>
      <c r="EI4" s="3514" t="s">
        <v>4685</v>
      </c>
      <c r="EJ4" s="3514" t="s">
        <v>4686</v>
      </c>
      <c r="EK4" s="3514" t="s">
        <v>4687</v>
      </c>
      <c r="EL4" s="3514" t="s">
        <v>4688</v>
      </c>
      <c r="EM4" s="3514" t="s">
        <v>4689</v>
      </c>
      <c r="EN4" s="3514" t="s">
        <v>4690</v>
      </c>
      <c r="EO4" s="3514" t="s">
        <v>4691</v>
      </c>
      <c r="EP4" s="3514" t="s">
        <v>4692</v>
      </c>
      <c r="EQ4" s="3514" t="s">
        <v>4693</v>
      </c>
      <c r="ER4" s="3553" t="s">
        <v>117</v>
      </c>
      <c r="ES4" s="3553" t="s">
        <v>1151</v>
      </c>
      <c r="ET4" s="3553" t="s">
        <v>1152</v>
      </c>
      <c r="EU4" s="3553" t="s">
        <v>1213</v>
      </c>
      <c r="EV4" s="3553" t="s">
        <v>1214</v>
      </c>
      <c r="EW4" s="3553" t="s">
        <v>132</v>
      </c>
      <c r="EX4" s="3553" t="s">
        <v>1215</v>
      </c>
      <c r="EY4" s="3553" t="s">
        <v>1216</v>
      </c>
      <c r="EZ4" s="3553" t="s">
        <v>1217</v>
      </c>
      <c r="FA4" s="3553" t="s">
        <v>1218</v>
      </c>
      <c r="FB4" s="3514" t="s">
        <v>4694</v>
      </c>
      <c r="FC4" s="3514" t="s">
        <v>4695</v>
      </c>
      <c r="FD4" s="3514" t="s">
        <v>4696</v>
      </c>
      <c r="FE4" s="3514" t="s">
        <v>4697</v>
      </c>
      <c r="FF4" s="3514" t="s">
        <v>4698</v>
      </c>
      <c r="FG4" s="3553" t="s">
        <v>131</v>
      </c>
      <c r="FH4" s="3553" t="s">
        <v>911</v>
      </c>
      <c r="FI4" s="3553" t="s">
        <v>912</v>
      </c>
      <c r="FJ4" s="3553" t="s">
        <v>913</v>
      </c>
      <c r="FK4" s="3553" t="s">
        <v>914</v>
      </c>
      <c r="FL4" s="3514" t="s">
        <v>4699</v>
      </c>
      <c r="FM4" s="3514" t="s">
        <v>4700</v>
      </c>
      <c r="FN4" s="3514" t="s">
        <v>4701</v>
      </c>
      <c r="FO4" s="3514" t="s">
        <v>4702</v>
      </c>
      <c r="FP4" s="3514" t="s">
        <v>4703</v>
      </c>
      <c r="FQ4" s="3553" t="s">
        <v>130</v>
      </c>
      <c r="FR4" s="3553" t="s">
        <v>915</v>
      </c>
      <c r="FS4" s="3553" t="s">
        <v>916</v>
      </c>
      <c r="FT4" s="3553" t="s">
        <v>917</v>
      </c>
      <c r="FU4" s="3553" t="s">
        <v>918</v>
      </c>
      <c r="FV4" s="3553" t="s">
        <v>809</v>
      </c>
      <c r="FW4" s="3553" t="s">
        <v>810</v>
      </c>
      <c r="FX4" s="3553" t="s">
        <v>811</v>
      </c>
      <c r="FY4" s="3553" t="s">
        <v>812</v>
      </c>
      <c r="FZ4" s="3553" t="s">
        <v>813</v>
      </c>
      <c r="GA4" s="3553" t="s">
        <v>957</v>
      </c>
      <c r="GB4" s="3553" t="s">
        <v>958</v>
      </c>
      <c r="GC4" s="3553" t="s">
        <v>959</v>
      </c>
      <c r="GD4" s="3553" t="s">
        <v>960</v>
      </c>
      <c r="GE4" s="3553" t="s">
        <v>2429</v>
      </c>
      <c r="GF4" s="3553" t="s">
        <v>1433</v>
      </c>
      <c r="GG4" s="3553" t="s">
        <v>1434</v>
      </c>
      <c r="GH4" s="3553" t="s">
        <v>1435</v>
      </c>
      <c r="GI4" s="3553" t="s">
        <v>1436</v>
      </c>
      <c r="GJ4" s="3553" t="s">
        <v>1437</v>
      </c>
      <c r="GK4" s="3553" t="s">
        <v>436</v>
      </c>
      <c r="GL4" s="3553" t="s">
        <v>437</v>
      </c>
      <c r="GM4" s="3553" t="s">
        <v>438</v>
      </c>
      <c r="GN4" s="3553" t="s">
        <v>439</v>
      </c>
      <c r="GO4" s="3553" t="s">
        <v>440</v>
      </c>
      <c r="GP4" s="3553" t="s">
        <v>17</v>
      </c>
      <c r="GQ4" s="3553" t="s">
        <v>18</v>
      </c>
      <c r="GR4" s="3553" t="s">
        <v>19</v>
      </c>
      <c r="GS4" s="3553" t="s">
        <v>20</v>
      </c>
      <c r="GT4" s="3553" t="s">
        <v>21</v>
      </c>
      <c r="GU4" s="3553" t="s">
        <v>222</v>
      </c>
      <c r="GV4" s="3553" t="s">
        <v>223</v>
      </c>
      <c r="GW4" s="3553" t="s">
        <v>224</v>
      </c>
      <c r="GX4" s="3553" t="s">
        <v>1811</v>
      </c>
      <c r="GY4" s="3553" t="s">
        <v>1812</v>
      </c>
      <c r="GZ4" s="3553" t="s">
        <v>1813</v>
      </c>
      <c r="HA4" s="3553" t="s">
        <v>592</v>
      </c>
      <c r="HB4" s="3553" t="s">
        <v>593</v>
      </c>
      <c r="HC4" s="3553" t="s">
        <v>594</v>
      </c>
      <c r="HD4" s="3553" t="s">
        <v>595</v>
      </c>
      <c r="HE4" s="3553" t="s">
        <v>22</v>
      </c>
      <c r="HF4" s="3553" t="s">
        <v>23</v>
      </c>
      <c r="HG4" s="3553" t="s">
        <v>24</v>
      </c>
      <c r="HH4" s="3553" t="s">
        <v>25</v>
      </c>
      <c r="HI4" s="3553" t="s">
        <v>26</v>
      </c>
      <c r="HJ4" s="3553" t="s">
        <v>495</v>
      </c>
      <c r="HK4" s="3553" t="s">
        <v>432</v>
      </c>
      <c r="HL4" s="3553" t="s">
        <v>433</v>
      </c>
      <c r="HM4" s="3553" t="s">
        <v>434</v>
      </c>
      <c r="HN4" s="3553" t="s">
        <v>435</v>
      </c>
      <c r="HO4" s="3553" t="s">
        <v>2208</v>
      </c>
      <c r="HP4" s="3553" t="s">
        <v>2209</v>
      </c>
      <c r="HQ4" s="3553" t="s">
        <v>2210</v>
      </c>
      <c r="HR4" s="3553" t="s">
        <v>1479</v>
      </c>
      <c r="HS4" s="3553" t="s">
        <v>1480</v>
      </c>
      <c r="HT4" s="3553" t="s">
        <v>27</v>
      </c>
      <c r="HU4" s="3553" t="s">
        <v>28</v>
      </c>
      <c r="HV4" s="3553" t="s">
        <v>29</v>
      </c>
      <c r="HW4" s="3553" t="s">
        <v>30</v>
      </c>
      <c r="HX4" s="3553"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53" t="s">
        <v>1625</v>
      </c>
      <c r="LG4" s="3553" t="s">
        <v>2523</v>
      </c>
      <c r="LH4" s="3553" t="s">
        <v>2524</v>
      </c>
      <c r="LI4" s="3553" t="s">
        <v>386</v>
      </c>
      <c r="LJ4" s="3553" t="s">
        <v>387</v>
      </c>
      <c r="LK4" s="3553" t="s">
        <v>388</v>
      </c>
      <c r="LL4" s="3553" t="s">
        <v>389</v>
      </c>
      <c r="LM4" s="3553" t="s">
        <v>390</v>
      </c>
      <c r="LN4" s="3553" t="s">
        <v>391</v>
      </c>
      <c r="LO4" s="3553" t="s">
        <v>392</v>
      </c>
      <c r="LP4" s="3553" t="s">
        <v>202</v>
      </c>
      <c r="LQ4" s="3553" t="s">
        <v>203</v>
      </c>
      <c r="LR4" s="3553" t="s">
        <v>204</v>
      </c>
      <c r="LS4" s="3553" t="s">
        <v>205</v>
      </c>
      <c r="LT4" s="3553" t="s">
        <v>206</v>
      </c>
      <c r="LU4" s="3553" t="s">
        <v>207</v>
      </c>
      <c r="LV4" s="3553" t="s">
        <v>208</v>
      </c>
      <c r="LW4" s="3553" t="s">
        <v>209</v>
      </c>
      <c r="LX4" s="3553" t="s">
        <v>210</v>
      </c>
      <c r="LY4" s="3553" t="s">
        <v>211</v>
      </c>
      <c r="LZ4" s="3553" t="s">
        <v>212</v>
      </c>
      <c r="MA4" s="3553" t="s">
        <v>213</v>
      </c>
      <c r="MB4" s="3553" t="s">
        <v>214</v>
      </c>
      <c r="MC4" s="3553" t="s">
        <v>215</v>
      </c>
      <c r="MD4" s="3553" t="s">
        <v>216</v>
      </c>
      <c r="ME4" s="3553"/>
      <c r="MF4" s="3553"/>
      <c r="MG4" s="3553"/>
      <c r="MH4" s="3553"/>
      <c r="MI4" s="355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72" t="str">
        <f>IF(A48&gt;0,"Finish Row!","")</f>
        <v/>
      </c>
      <c r="B5" s="4" t="s">
        <v>1846</v>
      </c>
      <c r="D5" s="1"/>
      <c r="E5" s="4"/>
      <c r="F5" s="1"/>
      <c r="G5" s="2542" t="s">
        <v>201</v>
      </c>
      <c r="J5" s="1255" t="s">
        <v>3564</v>
      </c>
      <c r="K5" s="3573" t="str">
        <f>'Part I-Project Information'!$B$6</f>
        <v>May 2019 Final</v>
      </c>
      <c r="L5" s="3574"/>
      <c r="M5" s="1260" t="s">
        <v>576</v>
      </c>
      <c r="O5" s="1257" t="s">
        <v>4719</v>
      </c>
      <c r="P5" s="3565"/>
      <c r="Q5" s="1254"/>
      <c r="R5" s="96"/>
      <c r="S5" s="96"/>
      <c r="T5" s="96"/>
      <c r="W5" s="3514"/>
      <c r="X5" s="3514"/>
      <c r="Y5" s="3514"/>
      <c r="Z5" s="3514"/>
      <c r="AA5" s="3514"/>
      <c r="AB5" s="3514"/>
      <c r="AC5" s="3514"/>
      <c r="AD5" s="3514"/>
      <c r="AE5" s="3514"/>
      <c r="AF5" s="3514"/>
      <c r="AG5" s="3514"/>
      <c r="AH5" s="3514"/>
      <c r="AI5" s="3514"/>
      <c r="AJ5" s="3514"/>
      <c r="AK5" s="3514"/>
      <c r="AL5" s="3514"/>
      <c r="AM5" s="3514"/>
      <c r="AN5" s="3514"/>
      <c r="AO5" s="3514"/>
      <c r="AP5" s="3514"/>
      <c r="AQ5" s="3514"/>
      <c r="AR5" s="3514"/>
      <c r="AS5" s="3514"/>
      <c r="AT5" s="3514"/>
      <c r="AU5" s="3514"/>
      <c r="AV5" s="3514"/>
      <c r="AW5" s="3514"/>
      <c r="AX5" s="3514"/>
      <c r="AY5" s="3514"/>
      <c r="AZ5" s="3514"/>
      <c r="BA5" s="3514"/>
      <c r="BB5" s="3514"/>
      <c r="BC5" s="3514"/>
      <c r="BD5" s="3514"/>
      <c r="BE5" s="3514"/>
      <c r="BF5" s="3514"/>
      <c r="BG5" s="3514"/>
      <c r="BH5" s="3514"/>
      <c r="BI5" s="3514"/>
      <c r="BJ5" s="3514"/>
      <c r="BK5" s="3514"/>
      <c r="BL5" s="3514"/>
      <c r="BM5" s="3514"/>
      <c r="BN5" s="3514"/>
      <c r="BO5" s="3514"/>
      <c r="BP5" s="3514"/>
      <c r="BQ5" s="3514"/>
      <c r="BR5" s="3514"/>
      <c r="BS5" s="3514"/>
      <c r="BT5" s="3514"/>
      <c r="BU5" s="3514"/>
      <c r="BV5" s="3514"/>
      <c r="BW5" s="3514"/>
      <c r="BX5" s="3514"/>
      <c r="BY5" s="3514"/>
      <c r="BZ5" s="3514"/>
      <c r="CA5" s="3514"/>
      <c r="CB5" s="3514"/>
      <c r="CC5" s="3514"/>
      <c r="CD5" s="3514"/>
      <c r="CE5" s="3514"/>
      <c r="CF5" s="3514"/>
      <c r="CG5" s="3514"/>
      <c r="CH5" s="3514"/>
      <c r="CI5" s="3514"/>
      <c r="CJ5" s="3514"/>
      <c r="CK5" s="3514"/>
      <c r="CL5" s="3514"/>
      <c r="CM5" s="3514"/>
      <c r="CN5" s="3514"/>
      <c r="CO5" s="3514"/>
      <c r="CP5" s="3514"/>
      <c r="CQ5" s="3514"/>
      <c r="CR5" s="3514"/>
      <c r="CS5" s="3514"/>
      <c r="CT5" s="3514"/>
      <c r="CU5" s="3514"/>
      <c r="CV5" s="3514"/>
      <c r="CW5" s="3514"/>
      <c r="CX5" s="3514"/>
      <c r="CY5" s="3514"/>
      <c r="CZ5" s="3514"/>
      <c r="DA5" s="3514"/>
      <c r="DB5" s="3514"/>
      <c r="DC5" s="3514"/>
      <c r="DD5" s="3514"/>
      <c r="DE5" s="3514"/>
      <c r="DF5" s="3514"/>
      <c r="DG5" s="3514"/>
      <c r="DH5" s="3514"/>
      <c r="DI5" s="3514"/>
      <c r="DJ5" s="3514"/>
      <c r="DK5" s="3514"/>
      <c r="DL5" s="3514"/>
      <c r="DM5" s="3514"/>
      <c r="DN5" s="3514"/>
      <c r="DO5" s="3514"/>
      <c r="DP5" s="3514"/>
      <c r="DQ5" s="3514"/>
      <c r="DR5" s="3514"/>
      <c r="DS5" s="3514"/>
      <c r="DT5" s="3514"/>
      <c r="DU5" s="3514"/>
      <c r="DV5" s="3514"/>
      <c r="DW5" s="3514"/>
      <c r="DX5" s="3514"/>
      <c r="DY5" s="3514"/>
      <c r="DZ5" s="3514"/>
      <c r="EA5" s="3514"/>
      <c r="EB5" s="3514"/>
      <c r="EC5" s="3514"/>
      <c r="ED5" s="3514"/>
      <c r="EE5" s="3514"/>
      <c r="EF5" s="3514"/>
      <c r="EG5" s="3514"/>
      <c r="EH5" s="3514"/>
      <c r="EI5" s="3514"/>
      <c r="EJ5" s="3514"/>
      <c r="EK5" s="3514"/>
      <c r="EL5" s="3514"/>
      <c r="EM5" s="3514"/>
      <c r="EN5" s="3514"/>
      <c r="EO5" s="3514"/>
      <c r="EP5" s="3514"/>
      <c r="EQ5" s="3514"/>
      <c r="ER5" s="3553"/>
      <c r="ES5" s="3553"/>
      <c r="ET5" s="3553"/>
      <c r="EU5" s="3553"/>
      <c r="EV5" s="3553"/>
      <c r="EW5" s="3553"/>
      <c r="EX5" s="3553"/>
      <c r="EY5" s="3553"/>
      <c r="EZ5" s="3553"/>
      <c r="FA5" s="3553"/>
      <c r="FB5" s="3514"/>
      <c r="FC5" s="3514"/>
      <c r="FD5" s="3514"/>
      <c r="FE5" s="3514"/>
      <c r="FF5" s="3514"/>
      <c r="FG5" s="3553"/>
      <c r="FH5" s="3553"/>
      <c r="FI5" s="3553"/>
      <c r="FJ5" s="3553"/>
      <c r="FK5" s="3553"/>
      <c r="FL5" s="3514"/>
      <c r="FM5" s="3514"/>
      <c r="FN5" s="3514"/>
      <c r="FO5" s="3514"/>
      <c r="FP5" s="3514"/>
      <c r="FQ5" s="3553"/>
      <c r="FR5" s="3553"/>
      <c r="FS5" s="3553"/>
      <c r="FT5" s="3553"/>
      <c r="FU5" s="3553"/>
      <c r="FV5" s="3553"/>
      <c r="FW5" s="3553"/>
      <c r="FX5" s="3553"/>
      <c r="FY5" s="3553"/>
      <c r="FZ5" s="3553"/>
      <c r="GA5" s="3553"/>
      <c r="GB5" s="3553"/>
      <c r="GC5" s="3553"/>
      <c r="GD5" s="3553"/>
      <c r="GE5" s="3553"/>
      <c r="GF5" s="3553"/>
      <c r="GG5" s="3553"/>
      <c r="GH5" s="3553"/>
      <c r="GI5" s="3553"/>
      <c r="GJ5" s="3553"/>
      <c r="GK5" s="3553"/>
      <c r="GL5" s="3553"/>
      <c r="GM5" s="3553"/>
      <c r="GN5" s="3553"/>
      <c r="GO5" s="3553"/>
      <c r="GP5" s="3553"/>
      <c r="GQ5" s="3553"/>
      <c r="GR5" s="3553"/>
      <c r="GS5" s="3553"/>
      <c r="GT5" s="3553"/>
      <c r="GU5" s="3553"/>
      <c r="GV5" s="3553"/>
      <c r="GW5" s="3553"/>
      <c r="GX5" s="3553"/>
      <c r="GY5" s="3553"/>
      <c r="GZ5" s="3553"/>
      <c r="HA5" s="3553"/>
      <c r="HB5" s="3553"/>
      <c r="HC5" s="3553"/>
      <c r="HD5" s="3553"/>
      <c r="HE5" s="3553"/>
      <c r="HF5" s="3553"/>
      <c r="HG5" s="3553"/>
      <c r="HH5" s="3553"/>
      <c r="HI5" s="3553"/>
      <c r="HJ5" s="3553"/>
      <c r="HK5" s="3553"/>
      <c r="HL5" s="3553"/>
      <c r="HM5" s="3553"/>
      <c r="HN5" s="3553"/>
      <c r="HO5" s="3553"/>
      <c r="HP5" s="3553"/>
      <c r="HQ5" s="3553"/>
      <c r="HR5" s="3553"/>
      <c r="HS5" s="3553"/>
      <c r="HT5" s="3553"/>
      <c r="HU5" s="3553"/>
      <c r="HV5" s="3553"/>
      <c r="HW5" s="3553"/>
      <c r="HX5" s="3553"/>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53"/>
      <c r="LG5" s="3553"/>
      <c r="LH5" s="3553"/>
      <c r="LI5" s="3553"/>
      <c r="LJ5" s="3553"/>
      <c r="LK5" s="3553"/>
      <c r="LL5" s="3553"/>
      <c r="LM5" s="3553"/>
      <c r="LN5" s="3553"/>
      <c r="LO5" s="3553"/>
      <c r="LP5" s="3553"/>
      <c r="LQ5" s="3553"/>
      <c r="LR5" s="3553"/>
      <c r="LS5" s="3553"/>
      <c r="LT5" s="3553"/>
      <c r="LU5" s="3553"/>
      <c r="LV5" s="3553"/>
      <c r="LW5" s="3553"/>
      <c r="LX5" s="3553"/>
      <c r="LY5" s="3553"/>
      <c r="LZ5" s="3553"/>
      <c r="MA5" s="3553"/>
      <c r="MB5" s="3553"/>
      <c r="MC5" s="3553"/>
      <c r="MD5" s="3553"/>
      <c r="ME5" s="3553"/>
      <c r="MF5" s="3553"/>
      <c r="MG5" s="3553"/>
      <c r="MH5" s="3553"/>
      <c r="MI5" s="3553"/>
      <c r="MJ5" s="3568" t="s">
        <v>3418</v>
      </c>
      <c r="MK5" s="3568" t="s">
        <v>3419</v>
      </c>
      <c r="ML5" s="3568" t="s">
        <v>3420</v>
      </c>
      <c r="MM5" s="3568" t="s">
        <v>3421</v>
      </c>
      <c r="MN5" s="3568" t="s">
        <v>3422</v>
      </c>
      <c r="MO5" s="3553" t="s">
        <v>3432</v>
      </c>
      <c r="MP5" s="3553" t="s">
        <v>3434</v>
      </c>
      <c r="MQ5" s="3553" t="s">
        <v>3435</v>
      </c>
      <c r="MR5" s="3553" t="s">
        <v>3436</v>
      </c>
      <c r="MS5" s="3553"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72"/>
      <c r="B6" s="29" t="s">
        <v>1805</v>
      </c>
      <c r="D6" s="1"/>
      <c r="E6" s="4"/>
      <c r="F6" s="2639" t="s">
        <v>2993</v>
      </c>
      <c r="G6" s="1255" t="s">
        <v>3664</v>
      </c>
      <c r="H6" s="3565" t="s">
        <v>3889</v>
      </c>
      <c r="I6" s="1255" t="s">
        <v>798</v>
      </c>
      <c r="J6" s="1255" t="s">
        <v>3667</v>
      </c>
      <c r="K6" s="3574"/>
      <c r="L6" s="3574"/>
      <c r="M6" s="3570" t="str">
        <f>'Part I-Project Information'!$O$40</f>
        <v>Atlanta-Sandy Springs-Marietta</v>
      </c>
      <c r="N6" s="3570"/>
      <c r="O6" s="995">
        <f>VLOOKUP('Part I-Project Information'!$O$40,'DCA Underwriting Assumptions'!$C$158:$D$268,2)</f>
        <v>74800</v>
      </c>
      <c r="P6" s="3565"/>
      <c r="Q6" s="1254"/>
      <c r="R6" s="96"/>
      <c r="S6" s="3566" t="s">
        <v>2698</v>
      </c>
      <c r="T6" s="3566"/>
      <c r="W6" s="3514"/>
      <c r="X6" s="3514"/>
      <c r="Y6" s="3514"/>
      <c r="Z6" s="3514"/>
      <c r="AA6" s="3514"/>
      <c r="AB6" s="3514"/>
      <c r="AC6" s="3514"/>
      <c r="AD6" s="3514"/>
      <c r="AE6" s="3514"/>
      <c r="AF6" s="3514"/>
      <c r="AG6" s="3514"/>
      <c r="AH6" s="3514"/>
      <c r="AI6" s="3514"/>
      <c r="AJ6" s="3514"/>
      <c r="AK6" s="3514"/>
      <c r="AL6" s="3514"/>
      <c r="AM6" s="3514"/>
      <c r="AN6" s="3514"/>
      <c r="AO6" s="3514"/>
      <c r="AP6" s="3514"/>
      <c r="AQ6" s="3514"/>
      <c r="AR6" s="3514"/>
      <c r="AS6" s="3514"/>
      <c r="AT6" s="3514"/>
      <c r="AU6" s="3514"/>
      <c r="AV6" s="3514"/>
      <c r="AW6" s="3514"/>
      <c r="AX6" s="3514"/>
      <c r="AY6" s="3514"/>
      <c r="AZ6" s="3514"/>
      <c r="BA6" s="3514"/>
      <c r="BB6" s="3514"/>
      <c r="BC6" s="3514"/>
      <c r="BD6" s="3514"/>
      <c r="BE6" s="3514"/>
      <c r="BF6" s="3514"/>
      <c r="BG6" s="3514"/>
      <c r="BH6" s="3514"/>
      <c r="BI6" s="3514"/>
      <c r="BJ6" s="3514"/>
      <c r="BK6" s="3514"/>
      <c r="BL6" s="3514"/>
      <c r="BM6" s="3514"/>
      <c r="BN6" s="3514"/>
      <c r="BO6" s="3514"/>
      <c r="BP6" s="3514"/>
      <c r="BQ6" s="3514"/>
      <c r="BR6" s="3514"/>
      <c r="BS6" s="3514"/>
      <c r="BT6" s="3514"/>
      <c r="BU6" s="3514"/>
      <c r="BV6" s="3514"/>
      <c r="BW6" s="3514"/>
      <c r="BX6" s="3514"/>
      <c r="BY6" s="3514"/>
      <c r="BZ6" s="3514"/>
      <c r="CA6" s="3514"/>
      <c r="CB6" s="3514"/>
      <c r="CC6" s="3514"/>
      <c r="CD6" s="3514"/>
      <c r="CE6" s="3514"/>
      <c r="CF6" s="3514"/>
      <c r="CG6" s="3514"/>
      <c r="CH6" s="3514"/>
      <c r="CI6" s="3514"/>
      <c r="CJ6" s="3514"/>
      <c r="CK6" s="3514"/>
      <c r="CL6" s="3514"/>
      <c r="CM6" s="3514"/>
      <c r="CN6" s="3514"/>
      <c r="CO6" s="3514"/>
      <c r="CP6" s="3514"/>
      <c r="CQ6" s="3514"/>
      <c r="CR6" s="3514"/>
      <c r="CS6" s="3514"/>
      <c r="CT6" s="3514"/>
      <c r="CU6" s="3514"/>
      <c r="CV6" s="3514"/>
      <c r="CW6" s="3514"/>
      <c r="CX6" s="3514"/>
      <c r="CY6" s="3514"/>
      <c r="CZ6" s="3514"/>
      <c r="DA6" s="3514"/>
      <c r="DB6" s="3514"/>
      <c r="DC6" s="3514"/>
      <c r="DD6" s="3514"/>
      <c r="DE6" s="3514"/>
      <c r="DF6" s="3514"/>
      <c r="DG6" s="3514"/>
      <c r="DH6" s="3514"/>
      <c r="DI6" s="3514"/>
      <c r="DJ6" s="3514"/>
      <c r="DK6" s="3514"/>
      <c r="DL6" s="3514"/>
      <c r="DM6" s="3514"/>
      <c r="DN6" s="3514"/>
      <c r="DO6" s="3514"/>
      <c r="DP6" s="3514"/>
      <c r="DQ6" s="3514"/>
      <c r="DR6" s="3514"/>
      <c r="DS6" s="3514"/>
      <c r="DT6" s="3514"/>
      <c r="DU6" s="3514"/>
      <c r="DV6" s="3514"/>
      <c r="DW6" s="3514"/>
      <c r="DX6" s="3514"/>
      <c r="DY6" s="3514"/>
      <c r="DZ6" s="3514"/>
      <c r="EA6" s="3514"/>
      <c r="EB6" s="3514"/>
      <c r="EC6" s="3514"/>
      <c r="ED6" s="3514"/>
      <c r="EE6" s="3514"/>
      <c r="EF6" s="3514"/>
      <c r="EG6" s="3514"/>
      <c r="EH6" s="3514"/>
      <c r="EI6" s="3514"/>
      <c r="EJ6" s="3514"/>
      <c r="EK6" s="3514"/>
      <c r="EL6" s="3514"/>
      <c r="EM6" s="3514"/>
      <c r="EN6" s="3514"/>
      <c r="EO6" s="3514"/>
      <c r="EP6" s="3514"/>
      <c r="EQ6" s="3514"/>
      <c r="ER6" s="3553"/>
      <c r="ES6" s="3553"/>
      <c r="ET6" s="3553"/>
      <c r="EU6" s="3553"/>
      <c r="EV6" s="3553"/>
      <c r="EW6" s="3553"/>
      <c r="EX6" s="3553"/>
      <c r="EY6" s="3553"/>
      <c r="EZ6" s="3553"/>
      <c r="FA6" s="3553"/>
      <c r="FB6" s="3514"/>
      <c r="FC6" s="3514"/>
      <c r="FD6" s="3514"/>
      <c r="FE6" s="3514"/>
      <c r="FF6" s="3514"/>
      <c r="FG6" s="3553"/>
      <c r="FH6" s="3553"/>
      <c r="FI6" s="3553"/>
      <c r="FJ6" s="3553"/>
      <c r="FK6" s="3553"/>
      <c r="FL6" s="3514"/>
      <c r="FM6" s="3514"/>
      <c r="FN6" s="3514"/>
      <c r="FO6" s="3514"/>
      <c r="FP6" s="3514"/>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5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68"/>
      <c r="MK6" s="3568"/>
      <c r="ML6" s="3568"/>
      <c r="MM6" s="3568"/>
      <c r="MN6" s="3568"/>
      <c r="MO6" s="3553"/>
      <c r="MP6" s="3553"/>
      <c r="MQ6" s="3553"/>
      <c r="MR6" s="3553"/>
      <c r="MS6" s="355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2"/>
      <c r="B7" s="1256" t="s">
        <v>4706</v>
      </c>
      <c r="C7" s="1"/>
      <c r="D7" s="4"/>
      <c r="E7" s="1"/>
      <c r="F7" s="1"/>
      <c r="G7" s="1255" t="s">
        <v>3665</v>
      </c>
      <c r="H7" s="3565"/>
      <c r="I7" s="1255" t="s">
        <v>799</v>
      </c>
      <c r="J7" s="1255" t="s">
        <v>3668</v>
      </c>
      <c r="K7" s="987"/>
      <c r="L7" s="987"/>
      <c r="M7" s="3570"/>
      <c r="N7" s="3570"/>
      <c r="P7" s="3565"/>
      <c r="Q7" s="1254"/>
      <c r="R7" s="987"/>
      <c r="S7" s="988"/>
      <c r="T7" s="992" t="s">
        <v>2695</v>
      </c>
      <c r="U7" s="479"/>
      <c r="V7" s="480"/>
      <c r="W7" s="3514"/>
      <c r="X7" s="3514"/>
      <c r="Y7" s="3514"/>
      <c r="Z7" s="3514"/>
      <c r="AA7" s="3514"/>
      <c r="AB7" s="3514"/>
      <c r="AC7" s="3514"/>
      <c r="AD7" s="3514"/>
      <c r="AE7" s="3514"/>
      <c r="AF7" s="3514"/>
      <c r="AG7" s="3514"/>
      <c r="AH7" s="3514"/>
      <c r="AI7" s="3514"/>
      <c r="AJ7" s="3514"/>
      <c r="AK7" s="3514"/>
      <c r="AL7" s="3514"/>
      <c r="AM7" s="3514"/>
      <c r="AN7" s="3514"/>
      <c r="AO7" s="3514"/>
      <c r="AP7" s="3514"/>
      <c r="AQ7" s="3514"/>
      <c r="AR7" s="3514"/>
      <c r="AS7" s="3514"/>
      <c r="AT7" s="3514"/>
      <c r="AU7" s="3514"/>
      <c r="AV7" s="3514"/>
      <c r="AW7" s="3514"/>
      <c r="AX7" s="3514"/>
      <c r="AY7" s="3514"/>
      <c r="AZ7" s="3514"/>
      <c r="BA7" s="3514"/>
      <c r="BB7" s="3514"/>
      <c r="BC7" s="3514"/>
      <c r="BD7" s="3514"/>
      <c r="BE7" s="3514"/>
      <c r="BF7" s="3514"/>
      <c r="BG7" s="3514"/>
      <c r="BH7" s="3514"/>
      <c r="BI7" s="3514"/>
      <c r="BJ7" s="3514"/>
      <c r="BK7" s="3514"/>
      <c r="BL7" s="3514"/>
      <c r="BM7" s="3514"/>
      <c r="BN7" s="3514"/>
      <c r="BO7" s="3514"/>
      <c r="BP7" s="3514"/>
      <c r="BQ7" s="3514"/>
      <c r="BR7" s="3514"/>
      <c r="BS7" s="3514"/>
      <c r="BT7" s="3514"/>
      <c r="BU7" s="3514"/>
      <c r="BV7" s="3514"/>
      <c r="BW7" s="3514"/>
      <c r="BX7" s="3514"/>
      <c r="BY7" s="3514"/>
      <c r="BZ7" s="3514"/>
      <c r="CA7" s="3514"/>
      <c r="CB7" s="3514"/>
      <c r="CC7" s="3514"/>
      <c r="CD7" s="3514"/>
      <c r="CE7" s="3514"/>
      <c r="CF7" s="3514"/>
      <c r="CG7" s="3514"/>
      <c r="CH7" s="3514"/>
      <c r="CI7" s="3514"/>
      <c r="CJ7" s="3514"/>
      <c r="CK7" s="3514"/>
      <c r="CL7" s="3514"/>
      <c r="CM7" s="3514"/>
      <c r="CN7" s="3514"/>
      <c r="CO7" s="3514"/>
      <c r="CP7" s="3514"/>
      <c r="CQ7" s="3514"/>
      <c r="CR7" s="3514"/>
      <c r="CS7" s="3514"/>
      <c r="CT7" s="3514"/>
      <c r="CU7" s="3514"/>
      <c r="CV7" s="3514"/>
      <c r="CW7" s="3514"/>
      <c r="CX7" s="3514"/>
      <c r="CY7" s="3514"/>
      <c r="CZ7" s="3514"/>
      <c r="DA7" s="3514"/>
      <c r="DB7" s="3514"/>
      <c r="DC7" s="3514"/>
      <c r="DD7" s="3514"/>
      <c r="DE7" s="3514"/>
      <c r="DF7" s="3514"/>
      <c r="DG7" s="3514"/>
      <c r="DH7" s="3514"/>
      <c r="DI7" s="3514"/>
      <c r="DJ7" s="3514"/>
      <c r="DK7" s="3514"/>
      <c r="DL7" s="3514"/>
      <c r="DM7" s="3514"/>
      <c r="DN7" s="3514"/>
      <c r="DO7" s="3514"/>
      <c r="DP7" s="3514"/>
      <c r="DQ7" s="3514"/>
      <c r="DR7" s="3514"/>
      <c r="DS7" s="3514"/>
      <c r="DT7" s="3514"/>
      <c r="DU7" s="3514"/>
      <c r="DV7" s="3514"/>
      <c r="DW7" s="3514"/>
      <c r="DX7" s="3514"/>
      <c r="DY7" s="3514"/>
      <c r="DZ7" s="3514"/>
      <c r="EA7" s="3514"/>
      <c r="EB7" s="3514"/>
      <c r="EC7" s="3514"/>
      <c r="ED7" s="3514"/>
      <c r="EE7" s="3514"/>
      <c r="EF7" s="3514"/>
      <c r="EG7" s="3514"/>
      <c r="EH7" s="3514"/>
      <c r="EI7" s="3514"/>
      <c r="EJ7" s="3514"/>
      <c r="EK7" s="3514"/>
      <c r="EL7" s="3514"/>
      <c r="EM7" s="3514"/>
      <c r="EN7" s="3514"/>
      <c r="EO7" s="3514"/>
      <c r="EP7" s="3514"/>
      <c r="EQ7" s="3514"/>
      <c r="ER7" s="3553"/>
      <c r="ES7" s="3553"/>
      <c r="ET7" s="3553"/>
      <c r="EU7" s="3553"/>
      <c r="EV7" s="3553"/>
      <c r="EW7" s="3553"/>
      <c r="EX7" s="3553"/>
      <c r="EY7" s="3553"/>
      <c r="EZ7" s="3553"/>
      <c r="FA7" s="3553"/>
      <c r="FB7" s="3514"/>
      <c r="FC7" s="3514"/>
      <c r="FD7" s="3514"/>
      <c r="FE7" s="3514"/>
      <c r="FF7" s="3514"/>
      <c r="FG7" s="3553"/>
      <c r="FH7" s="3553"/>
      <c r="FI7" s="3553"/>
      <c r="FJ7" s="3553"/>
      <c r="FK7" s="3553"/>
      <c r="FL7" s="3514"/>
      <c r="FM7" s="3514"/>
      <c r="FN7" s="3514"/>
      <c r="FO7" s="3514"/>
      <c r="FP7" s="3514"/>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68"/>
      <c r="MK7" s="3568"/>
      <c r="ML7" s="3568"/>
      <c r="MM7" s="3568"/>
      <c r="MN7" s="3568"/>
      <c r="MO7" s="3553"/>
      <c r="MP7" s="3553"/>
      <c r="MQ7" s="3553"/>
      <c r="MR7" s="3553"/>
      <c r="MS7" s="355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2"/>
      <c r="B8" s="2312" t="s">
        <v>4707</v>
      </c>
      <c r="C8" s="1255" t="s">
        <v>172</v>
      </c>
      <c r="D8" s="1255" t="s">
        <v>545</v>
      </c>
      <c r="E8" s="1255" t="s">
        <v>1476</v>
      </c>
      <c r="F8" s="1255" t="s">
        <v>1476</v>
      </c>
      <c r="G8" s="1255" t="s">
        <v>1478</v>
      </c>
      <c r="H8" s="1255" t="s">
        <v>3665</v>
      </c>
      <c r="I8" s="3575" t="s">
        <v>5070</v>
      </c>
      <c r="J8" s="1255" t="s">
        <v>2406</v>
      </c>
      <c r="K8" s="3567" t="s">
        <v>145</v>
      </c>
      <c r="L8" s="3567"/>
      <c r="M8" s="1255" t="s">
        <v>2367</v>
      </c>
      <c r="N8" s="1255" t="s">
        <v>532</v>
      </c>
      <c r="O8" s="1255" t="s">
        <v>383</v>
      </c>
      <c r="P8" s="3565"/>
      <c r="Q8" s="3567" t="s">
        <v>3573</v>
      </c>
      <c r="R8" s="3567"/>
      <c r="S8" s="1255" t="s">
        <v>2694</v>
      </c>
      <c r="T8" s="1255" t="s">
        <v>2696</v>
      </c>
      <c r="U8" s="481"/>
      <c r="V8" s="482"/>
      <c r="W8" s="3514"/>
      <c r="X8" s="3514"/>
      <c r="Y8" s="3514"/>
      <c r="Z8" s="3514"/>
      <c r="AA8" s="3514"/>
      <c r="AB8" s="3514"/>
      <c r="AC8" s="3514"/>
      <c r="AD8" s="3514"/>
      <c r="AE8" s="3514"/>
      <c r="AF8" s="3514"/>
      <c r="AG8" s="3514"/>
      <c r="AH8" s="3514"/>
      <c r="AI8" s="3514"/>
      <c r="AJ8" s="3514"/>
      <c r="AK8" s="3514"/>
      <c r="AL8" s="3514"/>
      <c r="AM8" s="3514"/>
      <c r="AN8" s="3514"/>
      <c r="AO8" s="3514"/>
      <c r="AP8" s="3514"/>
      <c r="AQ8" s="3514"/>
      <c r="AR8" s="3514"/>
      <c r="AS8" s="3514"/>
      <c r="AT8" s="3514"/>
      <c r="AU8" s="3514"/>
      <c r="AV8" s="3514"/>
      <c r="AW8" s="3514"/>
      <c r="AX8" s="3514"/>
      <c r="AY8" s="3514"/>
      <c r="AZ8" s="3514"/>
      <c r="BA8" s="3514"/>
      <c r="BB8" s="3514"/>
      <c r="BC8" s="3514"/>
      <c r="BD8" s="3514"/>
      <c r="BE8" s="3514"/>
      <c r="BF8" s="3514"/>
      <c r="BG8" s="3514"/>
      <c r="BH8" s="3514"/>
      <c r="BI8" s="3514"/>
      <c r="BJ8" s="3514"/>
      <c r="BK8" s="3514"/>
      <c r="BL8" s="3514"/>
      <c r="BM8" s="3514"/>
      <c r="BN8" s="3514"/>
      <c r="BO8" s="3514"/>
      <c r="BP8" s="3514"/>
      <c r="BQ8" s="3514"/>
      <c r="BR8" s="3514"/>
      <c r="BS8" s="3514"/>
      <c r="BT8" s="3514"/>
      <c r="BU8" s="3514"/>
      <c r="BV8" s="3514"/>
      <c r="BW8" s="3514"/>
      <c r="BX8" s="3514"/>
      <c r="BY8" s="3514"/>
      <c r="BZ8" s="3514"/>
      <c r="CA8" s="3514"/>
      <c r="CB8" s="3514"/>
      <c r="CC8" s="3514"/>
      <c r="CD8" s="3514"/>
      <c r="CE8" s="3514"/>
      <c r="CF8" s="3514"/>
      <c r="CG8" s="3514"/>
      <c r="CH8" s="3514"/>
      <c r="CI8" s="3514"/>
      <c r="CJ8" s="3514"/>
      <c r="CK8" s="3514"/>
      <c r="CL8" s="3514"/>
      <c r="CM8" s="3514"/>
      <c r="CN8" s="3514"/>
      <c r="CO8" s="3514"/>
      <c r="CP8" s="3514"/>
      <c r="CQ8" s="3514"/>
      <c r="CR8" s="3514"/>
      <c r="CS8" s="3514"/>
      <c r="CT8" s="3514"/>
      <c r="CU8" s="3514"/>
      <c r="CV8" s="3514"/>
      <c r="CW8" s="3514"/>
      <c r="CX8" s="3514"/>
      <c r="CY8" s="3514"/>
      <c r="CZ8" s="3514"/>
      <c r="DA8" s="3514"/>
      <c r="DB8" s="3514"/>
      <c r="DC8" s="3514"/>
      <c r="DD8" s="3514"/>
      <c r="DE8" s="3514"/>
      <c r="DF8" s="3514"/>
      <c r="DG8" s="3514"/>
      <c r="DH8" s="3514"/>
      <c r="DI8" s="3514"/>
      <c r="DJ8" s="3514"/>
      <c r="DK8" s="3514"/>
      <c r="DL8" s="3514"/>
      <c r="DM8" s="3514"/>
      <c r="DN8" s="3514"/>
      <c r="DO8" s="3514"/>
      <c r="DP8" s="3514"/>
      <c r="DQ8" s="3514"/>
      <c r="DR8" s="3514"/>
      <c r="DS8" s="3514"/>
      <c r="DT8" s="3514"/>
      <c r="DU8" s="3514"/>
      <c r="DV8" s="3514"/>
      <c r="DW8" s="3514"/>
      <c r="DX8" s="3514"/>
      <c r="DY8" s="3514"/>
      <c r="DZ8" s="3514"/>
      <c r="EA8" s="3514"/>
      <c r="EB8" s="3514"/>
      <c r="EC8" s="3514"/>
      <c r="ED8" s="3514"/>
      <c r="EE8" s="3514"/>
      <c r="EF8" s="3514"/>
      <c r="EG8" s="3514"/>
      <c r="EH8" s="3514"/>
      <c r="EI8" s="3514"/>
      <c r="EJ8" s="3514"/>
      <c r="EK8" s="3514"/>
      <c r="EL8" s="3514"/>
      <c r="EM8" s="3514"/>
      <c r="EN8" s="3514"/>
      <c r="EO8" s="3514"/>
      <c r="EP8" s="3514"/>
      <c r="EQ8" s="3514"/>
      <c r="ER8" s="3553"/>
      <c r="ES8" s="3553"/>
      <c r="ET8" s="3553"/>
      <c r="EU8" s="3553"/>
      <c r="EV8" s="3553"/>
      <c r="EW8" s="3553"/>
      <c r="EX8" s="3553"/>
      <c r="EY8" s="3553"/>
      <c r="EZ8" s="3553"/>
      <c r="FA8" s="3553"/>
      <c r="FB8" s="3514"/>
      <c r="FC8" s="3514"/>
      <c r="FD8" s="3514"/>
      <c r="FE8" s="3514"/>
      <c r="FF8" s="3514"/>
      <c r="FG8" s="3553"/>
      <c r="FH8" s="3553"/>
      <c r="FI8" s="3553"/>
      <c r="FJ8" s="3553"/>
      <c r="FK8" s="3553"/>
      <c r="FL8" s="3514"/>
      <c r="FM8" s="3514"/>
      <c r="FN8" s="3514"/>
      <c r="FO8" s="3514"/>
      <c r="FP8" s="3514"/>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t="s">
        <v>1462</v>
      </c>
      <c r="HZ8" s="517" t="s">
        <v>2440</v>
      </c>
      <c r="IA8" s="517" t="s">
        <v>2441</v>
      </c>
      <c r="IB8" s="517" t="s">
        <v>2442</v>
      </c>
      <c r="IC8" s="517" t="s">
        <v>2443</v>
      </c>
      <c r="ID8" s="3553" t="s">
        <v>2497</v>
      </c>
      <c r="IE8" s="3553" t="s">
        <v>2497</v>
      </c>
      <c r="IF8" s="3553" t="s">
        <v>2497</v>
      </c>
      <c r="IG8" s="3553" t="s">
        <v>2497</v>
      </c>
      <c r="IH8" s="3553" t="s">
        <v>2497</v>
      </c>
      <c r="II8" s="3553" t="s">
        <v>3366</v>
      </c>
      <c r="IJ8" s="3553" t="s">
        <v>3366</v>
      </c>
      <c r="IK8" s="3553" t="s">
        <v>3366</v>
      </c>
      <c r="IL8" s="3553" t="s">
        <v>3366</v>
      </c>
      <c r="IM8" s="3553" t="s">
        <v>3366</v>
      </c>
      <c r="IN8" s="517" t="s">
        <v>568</v>
      </c>
      <c r="IO8" s="517" t="s">
        <v>2440</v>
      </c>
      <c r="IP8" s="517" t="s">
        <v>2441</v>
      </c>
      <c r="IQ8" s="517" t="s">
        <v>2442</v>
      </c>
      <c r="IR8" s="517" t="s">
        <v>2443</v>
      </c>
      <c r="IS8" s="517" t="s">
        <v>568</v>
      </c>
      <c r="IT8" s="517" t="s">
        <v>2440</v>
      </c>
      <c r="IU8" s="517" t="s">
        <v>2441</v>
      </c>
      <c r="IV8" s="517" t="s">
        <v>2442</v>
      </c>
      <c r="IW8" s="517" t="s">
        <v>2443</v>
      </c>
      <c r="IX8" s="3553" t="s">
        <v>2499</v>
      </c>
      <c r="IY8" s="3553" t="s">
        <v>2499</v>
      </c>
      <c r="IZ8" s="3553" t="s">
        <v>2499</v>
      </c>
      <c r="JA8" s="3553" t="s">
        <v>2499</v>
      </c>
      <c r="JB8" s="3553" t="s">
        <v>2499</v>
      </c>
      <c r="JC8" s="3553" t="s">
        <v>3362</v>
      </c>
      <c r="JD8" s="3553" t="s">
        <v>3362</v>
      </c>
      <c r="JE8" s="3553" t="s">
        <v>3362</v>
      </c>
      <c r="JF8" s="3553" t="s">
        <v>3362</v>
      </c>
      <c r="JG8" s="3553" t="s">
        <v>3362</v>
      </c>
      <c r="JH8" s="3553" t="s">
        <v>358</v>
      </c>
      <c r="JI8" s="3553" t="s">
        <v>358</v>
      </c>
      <c r="JJ8" s="3553" t="s">
        <v>358</v>
      </c>
      <c r="JK8" s="3553" t="s">
        <v>358</v>
      </c>
      <c r="JL8" s="3553" t="s">
        <v>358</v>
      </c>
      <c r="JM8" s="3553" t="s">
        <v>3361</v>
      </c>
      <c r="JN8" s="3553" t="s">
        <v>3361</v>
      </c>
      <c r="JO8" s="3553" t="s">
        <v>3361</v>
      </c>
      <c r="JP8" s="3553" t="s">
        <v>3361</v>
      </c>
      <c r="JQ8" s="3553" t="s">
        <v>3361</v>
      </c>
      <c r="JR8" s="3553" t="s">
        <v>359</v>
      </c>
      <c r="JS8" s="3553" t="s">
        <v>359</v>
      </c>
      <c r="JT8" s="3553" t="s">
        <v>359</v>
      </c>
      <c r="JU8" s="3553" t="s">
        <v>359</v>
      </c>
      <c r="JV8" s="3553" t="s">
        <v>359</v>
      </c>
      <c r="JW8" s="3553" t="s">
        <v>3360</v>
      </c>
      <c r="JX8" s="3553" t="s">
        <v>3360</v>
      </c>
      <c r="JY8" s="3553" t="s">
        <v>3360</v>
      </c>
      <c r="JZ8" s="3553" t="s">
        <v>3360</v>
      </c>
      <c r="KA8" s="3553" t="s">
        <v>3360</v>
      </c>
      <c r="KB8" s="3553" t="s">
        <v>360</v>
      </c>
      <c r="KC8" s="3553" t="s">
        <v>360</v>
      </c>
      <c r="KD8" s="3553" t="s">
        <v>360</v>
      </c>
      <c r="KE8" s="3553" t="s">
        <v>360</v>
      </c>
      <c r="KF8" s="3553" t="s">
        <v>360</v>
      </c>
      <c r="KG8" s="3553" t="s">
        <v>3363</v>
      </c>
      <c r="KH8" s="3553" t="s">
        <v>3363</v>
      </c>
      <c r="KI8" s="3553" t="s">
        <v>3363</v>
      </c>
      <c r="KJ8" s="3553" t="s">
        <v>3363</v>
      </c>
      <c r="KK8" s="3553" t="s">
        <v>3363</v>
      </c>
      <c r="KL8" s="3553" t="s">
        <v>361</v>
      </c>
      <c r="KM8" s="3553" t="s">
        <v>361</v>
      </c>
      <c r="KN8" s="3553" t="s">
        <v>361</v>
      </c>
      <c r="KO8" s="3553" t="s">
        <v>361</v>
      </c>
      <c r="KP8" s="3553" t="s">
        <v>361</v>
      </c>
      <c r="KQ8" s="3553" t="s">
        <v>3364</v>
      </c>
      <c r="KR8" s="3553" t="s">
        <v>3364</v>
      </c>
      <c r="KS8" s="3553" t="s">
        <v>3364</v>
      </c>
      <c r="KT8" s="3553" t="s">
        <v>3364</v>
      </c>
      <c r="KU8" s="3553" t="s">
        <v>3364</v>
      </c>
      <c r="KV8" s="3553" t="s">
        <v>1461</v>
      </c>
      <c r="KW8" s="3553" t="s">
        <v>1461</v>
      </c>
      <c r="KX8" s="3553" t="s">
        <v>1461</v>
      </c>
      <c r="KY8" s="3553" t="s">
        <v>1461</v>
      </c>
      <c r="KZ8" s="3553" t="s">
        <v>1461</v>
      </c>
      <c r="LA8" s="3553" t="s">
        <v>3365</v>
      </c>
      <c r="LB8" s="3553" t="s">
        <v>3365</v>
      </c>
      <c r="LC8" s="3553" t="s">
        <v>3365</v>
      </c>
      <c r="LD8" s="3553" t="s">
        <v>3365</v>
      </c>
      <c r="LE8" s="3553" t="s">
        <v>3365</v>
      </c>
      <c r="LF8" s="3553"/>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68"/>
      <c r="MK8" s="3568"/>
      <c r="ML8" s="3568"/>
      <c r="MM8" s="3568"/>
      <c r="MN8" s="3568"/>
      <c r="MO8" s="3553"/>
      <c r="MP8" s="3553"/>
      <c r="MQ8" s="3553"/>
      <c r="MR8" s="3553"/>
      <c r="MS8" s="355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2"/>
      <c r="B9" s="2682" t="s">
        <v>5072</v>
      </c>
      <c r="C9" s="1255" t="s">
        <v>171</v>
      </c>
      <c r="D9" s="1255" t="s">
        <v>173</v>
      </c>
      <c r="E9" s="1255" t="s">
        <v>1477</v>
      </c>
      <c r="F9" s="1255" t="s">
        <v>1279</v>
      </c>
      <c r="G9" s="1255" t="s">
        <v>3666</v>
      </c>
      <c r="H9" s="1255" t="s">
        <v>1478</v>
      </c>
      <c r="I9" s="3576"/>
      <c r="J9" s="513" t="s">
        <v>350</v>
      </c>
      <c r="K9" s="1255" t="s">
        <v>1530</v>
      </c>
      <c r="L9" s="1255" t="s">
        <v>539</v>
      </c>
      <c r="M9" s="1255" t="s">
        <v>1476</v>
      </c>
      <c r="N9" s="1255" t="s">
        <v>3315</v>
      </c>
      <c r="O9" s="1255" t="s">
        <v>384</v>
      </c>
      <c r="P9" s="3571"/>
      <c r="Q9" s="1255" t="s">
        <v>3574</v>
      </c>
      <c r="R9" s="1255" t="s">
        <v>1040</v>
      </c>
      <c r="S9" s="1255" t="s">
        <v>1478</v>
      </c>
      <c r="T9" s="1255" t="s">
        <v>2697</v>
      </c>
      <c r="U9" s="3223" t="s">
        <v>1845</v>
      </c>
      <c r="V9" s="3223"/>
      <c r="W9" s="3514"/>
      <c r="X9" s="3514"/>
      <c r="Y9" s="3514"/>
      <c r="Z9" s="3514"/>
      <c r="AA9" s="3514"/>
      <c r="AB9" s="3514"/>
      <c r="AC9" s="3514"/>
      <c r="AD9" s="3514"/>
      <c r="AE9" s="3514"/>
      <c r="AF9" s="3514"/>
      <c r="AG9" s="3514"/>
      <c r="AH9" s="3514"/>
      <c r="AI9" s="3514"/>
      <c r="AJ9" s="3514"/>
      <c r="AK9" s="3514"/>
      <c r="AL9" s="3514"/>
      <c r="AM9" s="3514"/>
      <c r="AN9" s="3514"/>
      <c r="AO9" s="3514"/>
      <c r="AP9" s="3514"/>
      <c r="AQ9" s="3514"/>
      <c r="AR9" s="3514"/>
      <c r="AS9" s="3514"/>
      <c r="AT9" s="3514"/>
      <c r="AU9" s="3514"/>
      <c r="AV9" s="3514"/>
      <c r="AW9" s="3514"/>
      <c r="AX9" s="3514"/>
      <c r="AY9" s="3514"/>
      <c r="AZ9" s="3514"/>
      <c r="BA9" s="3514"/>
      <c r="BB9" s="3514"/>
      <c r="BC9" s="3514"/>
      <c r="BD9" s="3514"/>
      <c r="BE9" s="3514"/>
      <c r="BF9" s="3514"/>
      <c r="BG9" s="3514"/>
      <c r="BH9" s="3514"/>
      <c r="BI9" s="3514"/>
      <c r="BJ9" s="3514"/>
      <c r="BK9" s="3514"/>
      <c r="BL9" s="3514"/>
      <c r="BM9" s="3514"/>
      <c r="BN9" s="3514"/>
      <c r="BO9" s="3514"/>
      <c r="BP9" s="3514"/>
      <c r="BQ9" s="3514"/>
      <c r="BR9" s="3514"/>
      <c r="BS9" s="3514"/>
      <c r="BT9" s="3514"/>
      <c r="BU9" s="3514"/>
      <c r="BV9" s="3514"/>
      <c r="BW9" s="3514"/>
      <c r="BX9" s="3514"/>
      <c r="BY9" s="3514"/>
      <c r="BZ9" s="3514"/>
      <c r="CA9" s="3514"/>
      <c r="CB9" s="3514"/>
      <c r="CC9" s="3514"/>
      <c r="CD9" s="3514"/>
      <c r="CE9" s="3514"/>
      <c r="CF9" s="3514"/>
      <c r="CG9" s="3514"/>
      <c r="CH9" s="3514"/>
      <c r="CI9" s="3514"/>
      <c r="CJ9" s="3514"/>
      <c r="CK9" s="3514"/>
      <c r="CL9" s="3514"/>
      <c r="CM9" s="3514"/>
      <c r="CN9" s="3514"/>
      <c r="CO9" s="3514"/>
      <c r="CP9" s="3514"/>
      <c r="CQ9" s="3514"/>
      <c r="CR9" s="3514"/>
      <c r="CS9" s="3514"/>
      <c r="CT9" s="3514"/>
      <c r="CU9" s="3514"/>
      <c r="CV9" s="3514"/>
      <c r="CW9" s="3514"/>
      <c r="CX9" s="3514"/>
      <c r="CY9" s="3514"/>
      <c r="CZ9" s="3514"/>
      <c r="DA9" s="3514"/>
      <c r="DB9" s="3514"/>
      <c r="DC9" s="3514"/>
      <c r="DD9" s="3514"/>
      <c r="DE9" s="3514"/>
      <c r="DF9" s="3514"/>
      <c r="DG9" s="3514"/>
      <c r="DH9" s="3514"/>
      <c r="DI9" s="3514"/>
      <c r="DJ9" s="3514"/>
      <c r="DK9" s="3514"/>
      <c r="DL9" s="3514"/>
      <c r="DM9" s="3514"/>
      <c r="DN9" s="3514"/>
      <c r="DO9" s="3514"/>
      <c r="DP9" s="3514"/>
      <c r="DQ9" s="3514"/>
      <c r="DR9" s="3514"/>
      <c r="DS9" s="3514"/>
      <c r="DT9" s="3514"/>
      <c r="DU9" s="3514"/>
      <c r="DV9" s="3514"/>
      <c r="DW9" s="3514"/>
      <c r="DX9" s="3514"/>
      <c r="DY9" s="3514"/>
      <c r="DZ9" s="3514"/>
      <c r="EA9" s="3514"/>
      <c r="EB9" s="3514"/>
      <c r="EC9" s="3514"/>
      <c r="ED9" s="3514"/>
      <c r="EE9" s="3514"/>
      <c r="EF9" s="3514"/>
      <c r="EG9" s="3514"/>
      <c r="EH9" s="3514"/>
      <c r="EI9" s="3514"/>
      <c r="EJ9" s="3514"/>
      <c r="EK9" s="3514"/>
      <c r="EL9" s="3514"/>
      <c r="EM9" s="3514"/>
      <c r="EN9" s="3514"/>
      <c r="EO9" s="3514"/>
      <c r="EP9" s="3514"/>
      <c r="EQ9" s="3514"/>
      <c r="ER9" s="3553"/>
      <c r="ES9" s="3553"/>
      <c r="ET9" s="3553"/>
      <c r="EU9" s="3553"/>
      <c r="EV9" s="3553"/>
      <c r="EW9" s="3553"/>
      <c r="EX9" s="3553"/>
      <c r="EY9" s="3553"/>
      <c r="EZ9" s="3553"/>
      <c r="FA9" s="3553"/>
      <c r="FB9" s="3514"/>
      <c r="FC9" s="3514"/>
      <c r="FD9" s="3514"/>
      <c r="FE9" s="3514"/>
      <c r="FF9" s="3514"/>
      <c r="FG9" s="3553"/>
      <c r="FH9" s="3553"/>
      <c r="FI9" s="3553"/>
      <c r="FJ9" s="3553"/>
      <c r="FK9" s="3553"/>
      <c r="FL9" s="3514"/>
      <c r="FM9" s="3514"/>
      <c r="FN9" s="3514"/>
      <c r="FO9" s="3514"/>
      <c r="FP9" s="3514"/>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517" t="s">
        <v>2496</v>
      </c>
      <c r="IA9" s="517" t="s">
        <v>2496</v>
      </c>
      <c r="IB9" s="517" t="s">
        <v>2496</v>
      </c>
      <c r="IC9" s="517" t="s">
        <v>2496</v>
      </c>
      <c r="ID9" s="3553"/>
      <c r="IE9" s="3553"/>
      <c r="IF9" s="3553"/>
      <c r="IG9" s="3553"/>
      <c r="IH9" s="3553"/>
      <c r="II9" s="3553"/>
      <c r="IJ9" s="3553"/>
      <c r="IK9" s="3553"/>
      <c r="IL9" s="3553"/>
      <c r="IM9" s="3553"/>
      <c r="IN9" s="517" t="s">
        <v>2498</v>
      </c>
      <c r="IO9" s="517" t="s">
        <v>2498</v>
      </c>
      <c r="IP9" s="517" t="s">
        <v>2498</v>
      </c>
      <c r="IQ9" s="517" t="s">
        <v>2498</v>
      </c>
      <c r="IR9" s="517" t="s">
        <v>2498</v>
      </c>
      <c r="IS9" s="517" t="s">
        <v>3367</v>
      </c>
      <c r="IT9" s="517" t="s">
        <v>3367</v>
      </c>
      <c r="IU9" s="517" t="s">
        <v>3367</v>
      </c>
      <c r="IV9" s="517" t="s">
        <v>3367</v>
      </c>
      <c r="IW9" s="517" t="s">
        <v>3367</v>
      </c>
      <c r="IX9" s="3553"/>
      <c r="IY9" s="3553"/>
      <c r="IZ9" s="3553"/>
      <c r="JA9" s="3553"/>
      <c r="JB9" s="3553"/>
      <c r="JC9" s="3553"/>
      <c r="JD9" s="3553"/>
      <c r="JE9" s="3553"/>
      <c r="JF9" s="3553"/>
      <c r="JG9" s="3553"/>
      <c r="JH9" s="3553"/>
      <c r="JI9" s="3553"/>
      <c r="JJ9" s="3553"/>
      <c r="JK9" s="3553"/>
      <c r="JL9" s="3553"/>
      <c r="JM9" s="3553"/>
      <c r="JN9" s="3553"/>
      <c r="JO9" s="3553"/>
      <c r="JP9" s="3553"/>
      <c r="JQ9" s="3553"/>
      <c r="JR9" s="3553"/>
      <c r="JS9" s="3553"/>
      <c r="JT9" s="3553"/>
      <c r="JU9" s="3553"/>
      <c r="JV9" s="3553"/>
      <c r="JW9" s="3553"/>
      <c r="JX9" s="3553"/>
      <c r="JY9" s="3553"/>
      <c r="JZ9" s="3553"/>
      <c r="KA9" s="3553"/>
      <c r="KB9" s="3553"/>
      <c r="KC9" s="3553"/>
      <c r="KD9" s="3553"/>
      <c r="KE9" s="3553"/>
      <c r="KF9" s="3553"/>
      <c r="KG9" s="3553"/>
      <c r="KH9" s="3553"/>
      <c r="KI9" s="3553"/>
      <c r="KJ9" s="3553"/>
      <c r="KK9" s="3553"/>
      <c r="KL9" s="3553"/>
      <c r="KM9" s="3553"/>
      <c r="KN9" s="3553"/>
      <c r="KO9" s="3553"/>
      <c r="KP9" s="3553"/>
      <c r="KQ9" s="3553"/>
      <c r="KR9" s="3553"/>
      <c r="KS9" s="3553"/>
      <c r="KT9" s="3553"/>
      <c r="KU9" s="3553"/>
      <c r="KV9" s="3553"/>
      <c r="KW9" s="3553"/>
      <c r="KX9" s="3553"/>
      <c r="KY9" s="3553"/>
      <c r="KZ9" s="3553"/>
      <c r="LA9" s="3553"/>
      <c r="LB9" s="3553"/>
      <c r="LC9" s="3553"/>
      <c r="LD9" s="3553"/>
      <c r="LE9" s="3553"/>
      <c r="LF9" s="3553"/>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68"/>
      <c r="MK9" s="3568"/>
      <c r="ML9" s="3568"/>
      <c r="MM9" s="3568"/>
      <c r="MN9" s="3568"/>
      <c r="MO9" s="3553"/>
      <c r="MP9" s="3553"/>
      <c r="MQ9" s="3553"/>
      <c r="MR9" s="3553"/>
      <c r="MS9" s="355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4617</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7"/>
      <c r="V10" s="3499"/>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4617</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2"/>
      <c r="V11" s="3504"/>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2"/>
      <c r="V12" s="3504"/>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2"/>
      <c r="V13" s="3504"/>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2"/>
      <c r="V14" s="3504"/>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2"/>
      <c r="V15" s="3504"/>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2"/>
      <c r="V16" s="3504"/>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50</v>
      </c>
      <c r="C17" s="2281">
        <v>1</v>
      </c>
      <c r="D17" s="2282">
        <v>1</v>
      </c>
      <c r="E17" s="2283">
        <v>12</v>
      </c>
      <c r="F17" s="2283">
        <v>653</v>
      </c>
      <c r="G17" s="2283">
        <v>775</v>
      </c>
      <c r="H17" s="2283">
        <v>742</v>
      </c>
      <c r="I17" s="2302">
        <f>IF(C17="",0,HLOOKUP(C17,'Part V-Utility Allowances'!$I$11:$M$22,12))</f>
        <v>64</v>
      </c>
      <c r="J17" s="2303"/>
      <c r="K17" s="2304">
        <f t="shared" si="1"/>
        <v>678</v>
      </c>
      <c r="L17" s="2304">
        <f t="shared" si="2"/>
        <v>8136</v>
      </c>
      <c r="M17" s="2305" t="s">
        <v>2993</v>
      </c>
      <c r="N17" s="2305" t="s">
        <v>5300</v>
      </c>
      <c r="O17" s="2305" t="s">
        <v>2295</v>
      </c>
      <c r="P17" s="2306" t="s">
        <v>2993</v>
      </c>
      <c r="Q17" s="1031">
        <f t="shared" si="3"/>
        <v>29680</v>
      </c>
      <c r="R17" s="1032">
        <f>IF(H17="","",IF(C17="Efficiency",Q17/($O$6*VLOOKUP(0,'DCA Underwriting Assumptions'!$J$146:$K$151,2,FALSE)),Q17/($O$6*VLOOKUP(C17,'DCA Underwriting Assumptions'!$J$146:$K$151,2,FALSE))))</f>
        <v>0.52905525846702317</v>
      </c>
      <c r="S17" s="1103"/>
      <c r="T17" s="1104"/>
      <c r="U17" s="3502"/>
      <c r="V17" s="3504"/>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12</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7836</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12</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12</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12</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12</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50</v>
      </c>
      <c r="C18" s="172">
        <v>2</v>
      </c>
      <c r="D18" s="173">
        <v>2</v>
      </c>
      <c r="E18" s="174">
        <v>24</v>
      </c>
      <c r="F18" s="174">
        <v>963</v>
      </c>
      <c r="G18" s="174">
        <v>931</v>
      </c>
      <c r="H18" s="174">
        <v>898</v>
      </c>
      <c r="I18" s="1127">
        <f>IF(C18="",0,HLOOKUP(C18,'Part V-Utility Allowances'!$I$11:$M$22,12))</f>
        <v>86</v>
      </c>
      <c r="J18" s="953"/>
      <c r="K18" s="685">
        <f t="shared" si="1"/>
        <v>812</v>
      </c>
      <c r="L18" s="685">
        <f t="shared" si="2"/>
        <v>19488</v>
      </c>
      <c r="M18" s="1045" t="s">
        <v>2993</v>
      </c>
      <c r="N18" s="1045" t="s">
        <v>5300</v>
      </c>
      <c r="O18" s="1045" t="s">
        <v>2295</v>
      </c>
      <c r="P18" s="175" t="s">
        <v>2993</v>
      </c>
      <c r="Q18" s="1031">
        <f t="shared" si="3"/>
        <v>35920</v>
      </c>
      <c r="R18" s="1032">
        <f>IF(H18="","",IF(C18="Efficiency",Q18/($O$6*VLOOKUP(0,'DCA Underwriting Assumptions'!$J$146:$K$151,2,FALSE)),Q18/($O$6*VLOOKUP(C18,'DCA Underwriting Assumptions'!$J$146:$K$151,2,FALSE))))</f>
        <v>0.53357100415923941</v>
      </c>
      <c r="S18" s="1103"/>
      <c r="T18" s="1104"/>
      <c r="U18" s="3502"/>
      <c r="V18" s="3504"/>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f t="shared" si="21"/>
        <v>24</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f t="shared" si="316"/>
        <v>23112</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24</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24</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24</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24</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50</v>
      </c>
      <c r="C19" s="172">
        <v>3</v>
      </c>
      <c r="D19" s="173">
        <v>2</v>
      </c>
      <c r="E19" s="174">
        <v>12</v>
      </c>
      <c r="F19" s="174">
        <v>1115</v>
      </c>
      <c r="G19" s="174">
        <v>1075</v>
      </c>
      <c r="H19" s="174">
        <v>1052</v>
      </c>
      <c r="I19" s="1127">
        <f>IF(C19="",0,HLOOKUP(C19,'Part V-Utility Allowances'!$I$11:$M$22,12))</f>
        <v>106</v>
      </c>
      <c r="J19" s="953"/>
      <c r="K19" s="685">
        <f t="shared" si="1"/>
        <v>946</v>
      </c>
      <c r="L19" s="685">
        <f t="shared" si="2"/>
        <v>11352</v>
      </c>
      <c r="M19" s="1045" t="s">
        <v>2993</v>
      </c>
      <c r="N19" s="1045" t="s">
        <v>5300</v>
      </c>
      <c r="O19" s="1045" t="s">
        <v>2295</v>
      </c>
      <c r="P19" s="175" t="s">
        <v>2993</v>
      </c>
      <c r="Q19" s="1031">
        <f t="shared" si="3"/>
        <v>42080</v>
      </c>
      <c r="R19" s="1032">
        <f>IF(H19="","",IF(C19="Efficiency",Q19/($O$6*VLOOKUP(0,'DCA Underwriting Assumptions'!$J$146:$K$151,2,FALSE)),Q19/($O$6*VLOOKUP(C19,'DCA Underwriting Assumptions'!$J$146:$K$151,2,FALSE))))</f>
        <v>0.54092965857671738</v>
      </c>
      <c r="S19" s="1103"/>
      <c r="T19" s="1104"/>
      <c r="U19" s="3502"/>
      <c r="V19" s="3504"/>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f t="shared" si="22"/>
        <v>12</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f t="shared" si="317"/>
        <v>13380</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12</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12</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12</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12</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46</v>
      </c>
      <c r="F20" s="174">
        <v>653</v>
      </c>
      <c r="G20" s="174">
        <v>930</v>
      </c>
      <c r="H20" s="174">
        <v>872</v>
      </c>
      <c r="I20" s="1127">
        <f>IF(C20="",0,HLOOKUP(C20,'Part V-Utility Allowances'!$I$11:$M$22,12))</f>
        <v>64</v>
      </c>
      <c r="J20" s="953"/>
      <c r="K20" s="685">
        <f t="shared" si="1"/>
        <v>808</v>
      </c>
      <c r="L20" s="685">
        <f t="shared" si="2"/>
        <v>37168</v>
      </c>
      <c r="M20" s="1045" t="s">
        <v>2993</v>
      </c>
      <c r="N20" s="1045" t="s">
        <v>5300</v>
      </c>
      <c r="O20" s="1045" t="s">
        <v>2295</v>
      </c>
      <c r="P20" s="175" t="s">
        <v>2993</v>
      </c>
      <c r="Q20" s="1031">
        <f t="shared" si="3"/>
        <v>34880</v>
      </c>
      <c r="R20" s="1032">
        <f>IF(H20="","",IF(C20="Efficiency",Q20/($O$6*VLOOKUP(0,'DCA Underwriting Assumptions'!$J$146:$K$151,2,FALSE)),Q20/($O$6*VLOOKUP(C20,'DCA Underwriting Assumptions'!$J$146:$K$151,2,FALSE))))</f>
        <v>0.62174688057040994</v>
      </c>
      <c r="S20" s="1103"/>
      <c r="T20" s="1104"/>
      <c r="U20" s="3502"/>
      <c r="V20" s="3504"/>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46</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30038</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46</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46</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46</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46</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2</v>
      </c>
      <c r="D21" s="173">
        <v>2</v>
      </c>
      <c r="E21" s="174">
        <v>84</v>
      </c>
      <c r="F21" s="174">
        <v>963</v>
      </c>
      <c r="G21" s="174">
        <v>1117</v>
      </c>
      <c r="H21" s="174">
        <v>1059</v>
      </c>
      <c r="I21" s="1127">
        <f>IF(C21="",0,HLOOKUP(C21,'Part V-Utility Allowances'!$I$11:$M$22,12))</f>
        <v>86</v>
      </c>
      <c r="J21" s="953"/>
      <c r="K21" s="685">
        <f t="shared" si="1"/>
        <v>973</v>
      </c>
      <c r="L21" s="685">
        <f t="shared" si="2"/>
        <v>81732</v>
      </c>
      <c r="M21" s="1045" t="s">
        <v>2993</v>
      </c>
      <c r="N21" s="1045" t="s">
        <v>5300</v>
      </c>
      <c r="O21" s="1045" t="s">
        <v>2295</v>
      </c>
      <c r="P21" s="175" t="s">
        <v>2993</v>
      </c>
      <c r="Q21" s="1031">
        <f t="shared" si="3"/>
        <v>42360</v>
      </c>
      <c r="R21" s="1032">
        <f>IF(H21="","",IF(C21="Efficiency",Q21/($O$6*VLOOKUP(0,'DCA Underwriting Assumptions'!$J$146:$K$151,2,FALSE)),Q21/($O$6*VLOOKUP(C21,'DCA Underwriting Assumptions'!$J$146:$K$151,2,FALSE))))</f>
        <v>0.6292335115864528</v>
      </c>
      <c r="S21" s="1103"/>
      <c r="T21" s="1104"/>
      <c r="U21" s="3502"/>
      <c r="V21" s="3504"/>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84</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80892</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84</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84</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84</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84</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v>3</v>
      </c>
      <c r="D22" s="173">
        <v>2</v>
      </c>
      <c r="E22" s="174">
        <v>42</v>
      </c>
      <c r="F22" s="174">
        <v>1115</v>
      </c>
      <c r="G22" s="174">
        <v>1290</v>
      </c>
      <c r="H22" s="174">
        <v>1242</v>
      </c>
      <c r="I22" s="1127">
        <f>IF(C22="",0,HLOOKUP(C22,'Part V-Utility Allowances'!$I$11:$M$22,12))</f>
        <v>106</v>
      </c>
      <c r="J22" s="953"/>
      <c r="K22" s="685">
        <f t="shared" si="1"/>
        <v>1136</v>
      </c>
      <c r="L22" s="685">
        <f t="shared" si="2"/>
        <v>47712</v>
      </c>
      <c r="M22" s="1045" t="s">
        <v>2993</v>
      </c>
      <c r="N22" s="1045" t="s">
        <v>5300</v>
      </c>
      <c r="O22" s="1045" t="s">
        <v>2295</v>
      </c>
      <c r="P22" s="175" t="s">
        <v>2993</v>
      </c>
      <c r="Q22" s="1031">
        <f t="shared" si="3"/>
        <v>49680</v>
      </c>
      <c r="R22" s="1032">
        <f>IF(H22="","",IF(C22="Efficiency",Q22/($O$6*VLOOKUP(0,'DCA Underwriting Assumptions'!$J$146:$K$151,2,FALSE)),Q22/($O$6*VLOOKUP(C22,'DCA Underwriting Assumptions'!$J$146:$K$151,2,FALSE))))</f>
        <v>0.63862607980255037</v>
      </c>
      <c r="S22" s="1103"/>
      <c r="T22" s="1104"/>
      <c r="U22" s="3502"/>
      <c r="V22" s="3504"/>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42</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46830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42</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42</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42</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42</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v>1</v>
      </c>
      <c r="D23" s="173">
        <v>1</v>
      </c>
      <c r="E23" s="174">
        <v>6</v>
      </c>
      <c r="F23" s="174">
        <v>653</v>
      </c>
      <c r="G23" s="174">
        <v>1241</v>
      </c>
      <c r="H23" s="174">
        <v>1014</v>
      </c>
      <c r="I23" s="1127">
        <f>IF(C23="",0,HLOOKUP(C23,'Part V-Utility Allowances'!$I$11:$M$22,12))</f>
        <v>64</v>
      </c>
      <c r="J23" s="953"/>
      <c r="K23" s="685">
        <f t="shared" si="1"/>
        <v>950</v>
      </c>
      <c r="L23" s="685">
        <f t="shared" si="2"/>
        <v>5700</v>
      </c>
      <c r="M23" s="1045" t="s">
        <v>2993</v>
      </c>
      <c r="N23" s="1045" t="s">
        <v>5300</v>
      </c>
      <c r="O23" s="1045" t="s">
        <v>2295</v>
      </c>
      <c r="P23" s="175" t="s">
        <v>2993</v>
      </c>
      <c r="Q23" s="1031">
        <f t="shared" si="3"/>
        <v>40560</v>
      </c>
      <c r="R23" s="1032">
        <f>IF(H23="","",IF(C23="Efficiency",Q23/($O$6*VLOOKUP(0,'DCA Underwriting Assumptions'!$J$146:$K$151,2,FALSE)),Q23/($O$6*VLOOKUP(C23,'DCA Underwriting Assumptions'!$J$146:$K$151,2,FALSE))))</f>
        <v>0.72299465240641714</v>
      </c>
      <c r="S23" s="1103"/>
      <c r="T23" s="1104"/>
      <c r="U23" s="3502"/>
      <c r="V23" s="3504"/>
      <c r="W23" s="512" t="str">
        <f t="shared" si="4"/>
        <v/>
      </c>
      <c r="X23" s="512">
        <f t="shared" si="5"/>
        <v>6</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3918</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6</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6</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6</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6</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v>2</v>
      </c>
      <c r="D24" s="173">
        <v>2</v>
      </c>
      <c r="E24" s="174">
        <v>12</v>
      </c>
      <c r="F24" s="174">
        <v>963</v>
      </c>
      <c r="G24" s="174">
        <v>1490</v>
      </c>
      <c r="H24" s="174">
        <v>1136</v>
      </c>
      <c r="I24" s="1127">
        <f>IF(C24="",0,HLOOKUP(C24,'Part V-Utility Allowances'!$I$11:$M$22,12))</f>
        <v>86</v>
      </c>
      <c r="J24" s="953"/>
      <c r="K24" s="685">
        <f t="shared" si="1"/>
        <v>1050</v>
      </c>
      <c r="L24" s="685">
        <f t="shared" si="2"/>
        <v>12600</v>
      </c>
      <c r="M24" s="1045" t="s">
        <v>2993</v>
      </c>
      <c r="N24" s="1045" t="s">
        <v>5300</v>
      </c>
      <c r="O24" s="1045" t="s">
        <v>2295</v>
      </c>
      <c r="P24" s="175" t="s">
        <v>2993</v>
      </c>
      <c r="Q24" s="1031">
        <f t="shared" si="3"/>
        <v>45440</v>
      </c>
      <c r="R24" s="1032">
        <f>IF(H24="","",IF(C24="Efficiency",Q24/($O$6*VLOOKUP(0,'DCA Underwriting Assumptions'!$J$146:$K$151,2,FALSE)),Q24/($O$6*VLOOKUP(C24,'DCA Underwriting Assumptions'!$J$146:$K$151,2,FALSE))))</f>
        <v>0.67498514557338085</v>
      </c>
      <c r="S24" s="1103"/>
      <c r="T24" s="1104"/>
      <c r="U24" s="3502"/>
      <c r="V24" s="3504"/>
      <c r="W24" s="512" t="str">
        <f t="shared" si="4"/>
        <v/>
      </c>
      <c r="X24" s="512" t="str">
        <f t="shared" si="5"/>
        <v/>
      </c>
      <c r="Y24" s="512">
        <f t="shared" si="6"/>
        <v>12</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11556</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12</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12</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12</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12</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v>80</v>
      </c>
      <c r="C25" s="172">
        <v>3</v>
      </c>
      <c r="D25" s="173">
        <v>2</v>
      </c>
      <c r="E25" s="174">
        <v>6</v>
      </c>
      <c r="F25" s="174">
        <v>1115</v>
      </c>
      <c r="G25" s="174">
        <v>1721</v>
      </c>
      <c r="H25" s="174">
        <v>1306</v>
      </c>
      <c r="I25" s="1127">
        <f>IF(C25="",0,HLOOKUP(C25,'Part V-Utility Allowances'!$I$11:$M$22,12))</f>
        <v>106</v>
      </c>
      <c r="J25" s="953"/>
      <c r="K25" s="685">
        <f t="shared" si="1"/>
        <v>1200</v>
      </c>
      <c r="L25" s="685">
        <f t="shared" si="2"/>
        <v>7200</v>
      </c>
      <c r="M25" s="1045" t="s">
        <v>2993</v>
      </c>
      <c r="N25" s="1045" t="s">
        <v>5300</v>
      </c>
      <c r="O25" s="1045" t="s">
        <v>2295</v>
      </c>
      <c r="P25" s="175" t="s">
        <v>2993</v>
      </c>
      <c r="Q25" s="1031">
        <f t="shared" si="3"/>
        <v>52240</v>
      </c>
      <c r="R25" s="1032">
        <f>IF(H25="","",IF(C25="Efficiency",Q25/($O$6*VLOOKUP(0,'DCA Underwriting Assumptions'!$J$146:$K$151,2,FALSE)),Q25/($O$6*VLOOKUP(C25,'DCA Underwriting Assumptions'!$J$146:$K$151,2,FALSE))))</f>
        <v>0.67153434800493628</v>
      </c>
      <c r="S25" s="1103"/>
      <c r="T25" s="1104"/>
      <c r="U25" s="3502"/>
      <c r="V25" s="3504"/>
      <c r="W25" s="512" t="str">
        <f t="shared" si="4"/>
        <v/>
      </c>
      <c r="X25" s="512" t="str">
        <f t="shared" si="5"/>
        <v/>
      </c>
      <c r="Y25" s="512" t="str">
        <f t="shared" si="6"/>
        <v/>
      </c>
      <c r="Z25" s="512">
        <f t="shared" si="7"/>
        <v>6</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f t="shared" si="121"/>
        <v>6690</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6</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6</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f t="shared" si="281"/>
        <v>6</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6</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2"/>
      <c r="V26" s="3504"/>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2"/>
      <c r="V27" s="3504"/>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2"/>
      <c r="V28" s="3504"/>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2"/>
      <c r="V29" s="3504"/>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2"/>
      <c r="V30" s="3504"/>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2"/>
      <c r="V31" s="3504"/>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2"/>
      <c r="V32" s="3504"/>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2"/>
      <c r="V33" s="3504"/>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2"/>
      <c r="V34" s="3504"/>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2"/>
      <c r="V35" s="3504"/>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2"/>
      <c r="V36" s="3504"/>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2"/>
      <c r="V37" s="3504"/>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2"/>
      <c r="V38" s="3504"/>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2"/>
      <c r="V39" s="3504"/>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2"/>
      <c r="V40" s="3504"/>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2"/>
      <c r="V41" s="3504"/>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2"/>
      <c r="V42" s="3504"/>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2"/>
      <c r="V43" s="3504"/>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2"/>
      <c r="V44" s="3504"/>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2"/>
      <c r="V45" s="3504"/>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2"/>
      <c r="V46" s="3504"/>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6"/>
      <c r="V47" s="3508"/>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1" t="s">
        <v>4711</v>
      </c>
      <c r="C48" s="3562"/>
      <c r="D48" s="142" t="s">
        <v>1018</v>
      </c>
      <c r="E48" s="2316">
        <f>SUM(E10:E47)</f>
        <v>244</v>
      </c>
      <c r="F48" s="2314">
        <f>(E10*F10+E11*F11+E12*F12+E13*F13+E14*F14+E15*F15+E16*F16+E17*F17+E18*F18+E19*F19+E20*F20+E21*F21+E22*F22+E23*F23+E24*F24+E25*F25+E26*F26+E27*F27+E28*F28+E29*F29+E30*F30+E31*F31+E32*F32+E33*F33+E34*F34+E35*F35+E36*F36+E37*F37+E38*F38+E39*F39+E40*F40+E41*F41+E42*F42+E43*F43+E44*F44+E45*F45+E46*F46+E47*F47)</f>
        <v>224252</v>
      </c>
      <c r="G48" s="3512" t="s">
        <v>4708</v>
      </c>
      <c r="H48" s="2317" t="s">
        <v>4709</v>
      </c>
      <c r="I48" s="2318" t="str">
        <f>IF(O67=0,"",IF(SUM(O58:O62)/O67&gt;=0.4,"Pass","Fail"))</f>
        <v>Pass</v>
      </c>
      <c r="J48" s="659"/>
      <c r="K48" s="1049" t="s">
        <v>1302</v>
      </c>
      <c r="L48" s="127">
        <f>SUM(L10:L47)</f>
        <v>231088</v>
      </c>
      <c r="M48" s="96"/>
      <c r="N48" s="660"/>
      <c r="O48" s="96"/>
      <c r="P48" s="533"/>
      <c r="Q48" s="533"/>
      <c r="R48" s="533"/>
      <c r="S48" s="533"/>
      <c r="T48" s="533"/>
      <c r="U48" s="1020"/>
      <c r="V48" s="661"/>
      <c r="W48" s="2714">
        <f t="shared" ref="W48:EZ48" si="339">SUM(W10:W47)</f>
        <v>0</v>
      </c>
      <c r="X48" s="2714">
        <f t="shared" si="339"/>
        <v>6</v>
      </c>
      <c r="Y48" s="2714">
        <f t="shared" si="339"/>
        <v>12</v>
      </c>
      <c r="Z48" s="2714">
        <f t="shared" si="339"/>
        <v>6</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46</v>
      </c>
      <c r="AI48" s="2714">
        <f t="shared" si="340"/>
        <v>84</v>
      </c>
      <c r="AJ48" s="2714">
        <f t="shared" si="340"/>
        <v>42</v>
      </c>
      <c r="AK48" s="2714">
        <f t="shared" si="340"/>
        <v>0</v>
      </c>
      <c r="AL48" s="2714">
        <f>SUM(AL10:AL47)</f>
        <v>0</v>
      </c>
      <c r="AM48" s="2714">
        <f>SUM(AM10:AM47)</f>
        <v>12</v>
      </c>
      <c r="AN48" s="2714">
        <f>SUM(AN10:AN47)</f>
        <v>24</v>
      </c>
      <c r="AO48" s="2714">
        <f>SUM(AO10:AO47)</f>
        <v>12</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3918</v>
      </c>
      <c r="EJ48" s="2714">
        <f t="shared" si="339"/>
        <v>11556</v>
      </c>
      <c r="EK48" s="2714">
        <f t="shared" si="339"/>
        <v>6690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30038</v>
      </c>
      <c r="ET48" s="2714">
        <f t="shared" si="343"/>
        <v>80892</v>
      </c>
      <c r="EU48" s="2714">
        <f t="shared" si="343"/>
        <v>46830</v>
      </c>
      <c r="EV48" s="2714">
        <f t="shared" si="343"/>
        <v>0</v>
      </c>
      <c r="EW48" s="2714">
        <f t="shared" si="339"/>
        <v>0</v>
      </c>
      <c r="EX48" s="2714">
        <f t="shared" si="339"/>
        <v>7836</v>
      </c>
      <c r="EY48" s="2714">
        <f t="shared" si="339"/>
        <v>23112</v>
      </c>
      <c r="EZ48" s="2714">
        <f t="shared" si="339"/>
        <v>13380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64</v>
      </c>
      <c r="GH48" s="2714">
        <f t="shared" si="344"/>
        <v>120</v>
      </c>
      <c r="GI48" s="2714">
        <f t="shared" si="344"/>
        <v>60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64</v>
      </c>
      <c r="IA48" s="2714">
        <f t="shared" si="345"/>
        <v>120</v>
      </c>
      <c r="IB48" s="2714">
        <f t="shared" si="345"/>
        <v>60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64</v>
      </c>
      <c r="KX48" s="2714">
        <f t="shared" si="346"/>
        <v>120</v>
      </c>
      <c r="KY48" s="2714">
        <f t="shared" si="346"/>
        <v>60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64</v>
      </c>
      <c r="ML48" s="2714">
        <f t="shared" si="346"/>
        <v>120</v>
      </c>
      <c r="MM48" s="2714">
        <f t="shared" si="346"/>
        <v>60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3">
        <f>IF(SUM(E17:E47)=0,"",(B17*E17+B18*E18+B19*E19+B20*E20+B21*E21+B22*E22+B23*E23+B24*E24+B25*E25+B26*E26+B27*E27+B28*E28+B29*E29+B30*E30+B31*E31+B32*E32+B33*E33+B34*E34+B35*E35+B36*E36+B37*E37+B38*E38+B39*E39+B40*E40+B41*E41+B42*E42+B43*E43+B44*E44+B45*E45+B46*E46+B47*E47)/SUM(E17:E47))</f>
        <v>60</v>
      </c>
      <c r="C49" s="3564"/>
      <c r="D49" s="2276" t="s">
        <v>4618</v>
      </c>
      <c r="E49" s="2313">
        <f>SUM(E17:E47)</f>
        <v>244</v>
      </c>
      <c r="F49" s="2315">
        <f>(E17*F17+E18*F18+E19*F19+E20*F20+E21*F21+E22*F22+E23*F23+E24*F24+E25*F25+E26*F26+E27*F27+E28*F28+E29*F29+E30*F30+E31*F31+E32*F32+E33*F33+E34*F34+E35*F35+E36*F36+E37*F37+E38*F38+E39*F39+E40*F40+E41*F41+E42*F42+E43*F43+E44*F44+E45*F45+E46*F46+E47*F47)</f>
        <v>224252</v>
      </c>
      <c r="G49" s="3513"/>
      <c r="H49" s="2319" t="s">
        <v>4710</v>
      </c>
      <c r="I49" s="2320" t="str">
        <f>IF(O67=0,"",IF(SUM(O59:O62)/O67&gt;=0.2,"Pass","Fail"))</f>
        <v>Fail</v>
      </c>
      <c r="J49" s="659"/>
      <c r="K49" s="142" t="s">
        <v>814</v>
      </c>
      <c r="L49" s="127">
        <f>L48*12</f>
        <v>2773056</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59" t="s">
        <v>2621</v>
      </c>
      <c r="B51" s="3560"/>
      <c r="C51" s="3560"/>
      <c r="D51" s="3560"/>
      <c r="E51" s="3560"/>
      <c r="F51" s="3560"/>
      <c r="G51" s="3560"/>
      <c r="H51" s="3560"/>
      <c r="I51" s="3560"/>
      <c r="J51" s="3560"/>
      <c r="K51" s="3560"/>
      <c r="L51" s="3560"/>
      <c r="M51" s="3560"/>
      <c r="N51" s="3560"/>
      <c r="O51" s="3560"/>
      <c r="P51" s="3560"/>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60"/>
      <c r="B52" s="3560"/>
      <c r="C52" s="3560"/>
      <c r="D52" s="3560"/>
      <c r="E52" s="3560"/>
      <c r="F52" s="3560"/>
      <c r="G52" s="3560"/>
      <c r="H52" s="3560"/>
      <c r="I52" s="3560"/>
      <c r="J52" s="3560"/>
      <c r="K52" s="3560"/>
      <c r="L52" s="3560"/>
      <c r="M52" s="3560"/>
      <c r="N52" s="3560"/>
      <c r="O52" s="3560"/>
      <c r="P52" s="3560"/>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79" t="str">
        <f>'Part I-Project Information'!$K$94</f>
        <v>Income Averaging</v>
      </c>
      <c r="L53" s="3580"/>
      <c r="M53" s="3580"/>
      <c r="N53" s="3581"/>
      <c r="O53" s="84"/>
      <c r="R53" s="3517" t="str">
        <f>B53</f>
        <v>UNIT SUMMARY</v>
      </c>
      <c r="S53" s="3517"/>
      <c r="T53" s="3517"/>
      <c r="U53" s="3517"/>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3" t="s">
        <v>442</v>
      </c>
      <c r="B56" s="3583"/>
      <c r="C56" s="96" t="s">
        <v>1137</v>
      </c>
      <c r="D56" s="1"/>
      <c r="E56" s="1"/>
      <c r="F56" s="1"/>
      <c r="G56" s="84"/>
      <c r="H56" s="36" t="s">
        <v>4619</v>
      </c>
      <c r="I56" s="84"/>
      <c r="J56" s="2337">
        <f>W48</f>
        <v>0</v>
      </c>
      <c r="K56" s="2338">
        <f>X48</f>
        <v>6</v>
      </c>
      <c r="L56" s="2338">
        <f>Y48</f>
        <v>12</v>
      </c>
      <c r="M56" s="2338">
        <f>Z48</f>
        <v>6</v>
      </c>
      <c r="N56" s="2339">
        <f>AA48</f>
        <v>0</v>
      </c>
      <c r="O56" s="1115">
        <f t="shared" ref="O56:O67" si="347">SUM(J56:N56)</f>
        <v>24</v>
      </c>
      <c r="P56" s="3510" t="s">
        <v>3669</v>
      </c>
      <c r="Q56" s="1420"/>
      <c r="R56" s="3497"/>
      <c r="S56" s="3498"/>
      <c r="T56" s="3498"/>
      <c r="U56" s="3498"/>
      <c r="V56" s="3499"/>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3"/>
      <c r="B57" s="3583"/>
      <c r="C57" s="96"/>
      <c r="D57" s="1"/>
      <c r="E57" s="1"/>
      <c r="F57" s="1"/>
      <c r="G57" s="84"/>
      <c r="H57" s="36" t="s">
        <v>4620</v>
      </c>
      <c r="I57" s="84"/>
      <c r="J57" s="2340">
        <f>AB48</f>
        <v>0</v>
      </c>
      <c r="K57" s="2341">
        <f>AC48</f>
        <v>0</v>
      </c>
      <c r="L57" s="2341">
        <f>AD48</f>
        <v>0</v>
      </c>
      <c r="M57" s="2341">
        <f>AE48</f>
        <v>0</v>
      </c>
      <c r="N57" s="2342">
        <f>AF48</f>
        <v>0</v>
      </c>
      <c r="O57" s="1110">
        <f t="shared" si="347"/>
        <v>0</v>
      </c>
      <c r="P57" s="3510"/>
      <c r="Q57" s="2277"/>
      <c r="R57" s="3502"/>
      <c r="S57" s="3503"/>
      <c r="T57" s="3503"/>
      <c r="U57" s="3503"/>
      <c r="V57" s="3504"/>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3"/>
      <c r="B58" s="3583"/>
      <c r="C58" s="96"/>
      <c r="D58" s="1"/>
      <c r="E58" s="1"/>
      <c r="F58" s="1"/>
      <c r="G58" s="84"/>
      <c r="H58" s="36" t="s">
        <v>1149</v>
      </c>
      <c r="I58" s="84"/>
      <c r="J58" s="2340">
        <f>AG48</f>
        <v>0</v>
      </c>
      <c r="K58" s="2341">
        <f>AH48</f>
        <v>46</v>
      </c>
      <c r="L58" s="2341">
        <f>AI48</f>
        <v>84</v>
      </c>
      <c r="M58" s="2341">
        <f>AJ48</f>
        <v>42</v>
      </c>
      <c r="N58" s="2342">
        <f>AK48</f>
        <v>0</v>
      </c>
      <c r="O58" s="1110">
        <f t="shared" si="347"/>
        <v>172</v>
      </c>
      <c r="P58" s="3510"/>
      <c r="Q58" s="2277"/>
      <c r="R58" s="3502"/>
      <c r="S58" s="3503"/>
      <c r="T58" s="3503"/>
      <c r="U58" s="3503"/>
      <c r="V58" s="3504"/>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3"/>
      <c r="B59" s="3583"/>
      <c r="C59" s="96"/>
      <c r="D59" s="1"/>
      <c r="E59" s="1"/>
      <c r="F59" s="1"/>
      <c r="G59" s="84"/>
      <c r="H59" s="52" t="s">
        <v>118</v>
      </c>
      <c r="I59" s="1433"/>
      <c r="J59" s="2370">
        <f>AL48</f>
        <v>0</v>
      </c>
      <c r="K59" s="2371">
        <f>AM48</f>
        <v>12</v>
      </c>
      <c r="L59" s="2371">
        <f>AN48</f>
        <v>24</v>
      </c>
      <c r="M59" s="2371">
        <f>AO48</f>
        <v>12</v>
      </c>
      <c r="N59" s="2372">
        <f>AP48</f>
        <v>0</v>
      </c>
      <c r="O59" s="690">
        <f t="shared" si="347"/>
        <v>48</v>
      </c>
      <c r="P59" s="3510"/>
      <c r="Q59" s="2277"/>
      <c r="R59" s="3502"/>
      <c r="S59" s="3503"/>
      <c r="T59" s="3503"/>
      <c r="U59" s="3503"/>
      <c r="V59" s="3504"/>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3"/>
      <c r="B60" s="3583"/>
      <c r="C60" s="96"/>
      <c r="D60" s="1"/>
      <c r="E60" s="1"/>
      <c r="F60" s="1"/>
      <c r="G60" s="84"/>
      <c r="H60" s="52" t="s">
        <v>4621</v>
      </c>
      <c r="I60" s="1433"/>
      <c r="J60" s="2340">
        <f>AQ48</f>
        <v>0</v>
      </c>
      <c r="K60" s="2341">
        <f>AR48</f>
        <v>0</v>
      </c>
      <c r="L60" s="2341">
        <f>AS48</f>
        <v>0</v>
      </c>
      <c r="M60" s="2341">
        <f>AT48</f>
        <v>0</v>
      </c>
      <c r="N60" s="2342">
        <f>AU48</f>
        <v>0</v>
      </c>
      <c r="O60" s="1110">
        <f t="shared" si="347"/>
        <v>0</v>
      </c>
      <c r="P60" s="3510"/>
      <c r="Q60" s="2277"/>
      <c r="R60" s="3502"/>
      <c r="S60" s="3503"/>
      <c r="T60" s="3503"/>
      <c r="U60" s="3503"/>
      <c r="V60" s="3504"/>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3"/>
      <c r="B61" s="3583"/>
      <c r="C61" s="96"/>
      <c r="D61" s="1"/>
      <c r="E61" s="1"/>
      <c r="F61" s="1"/>
      <c r="G61" s="84"/>
      <c r="H61" s="36" t="s">
        <v>4622</v>
      </c>
      <c r="I61" s="84"/>
      <c r="J61" s="2340">
        <f>AV48</f>
        <v>0</v>
      </c>
      <c r="K61" s="2341">
        <f>AW48</f>
        <v>0</v>
      </c>
      <c r="L61" s="2341">
        <f>AX48</f>
        <v>0</v>
      </c>
      <c r="M61" s="2341">
        <f>AY48</f>
        <v>0</v>
      </c>
      <c r="N61" s="2342">
        <f>AZ48</f>
        <v>0</v>
      </c>
      <c r="O61" s="1110">
        <f t="shared" si="347"/>
        <v>0</v>
      </c>
      <c r="P61" s="3510"/>
      <c r="Q61" s="2277"/>
      <c r="R61" s="3502"/>
      <c r="S61" s="3503"/>
      <c r="T61" s="3503"/>
      <c r="U61" s="3503"/>
      <c r="V61" s="3504"/>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3"/>
      <c r="B62" s="3583"/>
      <c r="C62" s="4"/>
      <c r="D62" s="1"/>
      <c r="E62" s="1"/>
      <c r="F62" s="1"/>
      <c r="G62" s="84"/>
      <c r="H62" s="36" t="s">
        <v>4623</v>
      </c>
      <c r="I62" s="84"/>
      <c r="J62" s="2343">
        <f>BA48</f>
        <v>0</v>
      </c>
      <c r="K62" s="2344">
        <f>BB48</f>
        <v>0</v>
      </c>
      <c r="L62" s="2344">
        <f>BC48</f>
        <v>0</v>
      </c>
      <c r="M62" s="2344">
        <f>BD48</f>
        <v>0</v>
      </c>
      <c r="N62" s="2345">
        <f>BE48</f>
        <v>0</v>
      </c>
      <c r="O62" s="690">
        <f t="shared" si="347"/>
        <v>0</v>
      </c>
      <c r="P62" s="3510"/>
      <c r="Q62" s="1420"/>
      <c r="R62" s="3502"/>
      <c r="S62" s="3503"/>
      <c r="T62" s="3503"/>
      <c r="U62" s="3503"/>
      <c r="V62" s="3504"/>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3"/>
      <c r="B63" s="3583"/>
      <c r="C63" s="114" t="s">
        <v>4705</v>
      </c>
      <c r="D63" s="1"/>
      <c r="E63" s="1"/>
      <c r="F63" s="1"/>
      <c r="G63" s="84"/>
      <c r="H63" s="55"/>
      <c r="I63" s="84"/>
      <c r="J63" s="2292">
        <f>SUM(J56:J62)</f>
        <v>0</v>
      </c>
      <c r="K63" s="2292">
        <f>SUM(K56:K62)</f>
        <v>64</v>
      </c>
      <c r="L63" s="2292">
        <f>SUM(L56:L62)</f>
        <v>120</v>
      </c>
      <c r="M63" s="2292">
        <f>SUM(M56:M62)</f>
        <v>60</v>
      </c>
      <c r="N63" s="2292">
        <f>SUM(N56:N62)</f>
        <v>0</v>
      </c>
      <c r="O63" s="2292">
        <f t="shared" si="347"/>
        <v>244</v>
      </c>
      <c r="P63" s="3511"/>
      <c r="R63" s="3502"/>
      <c r="S63" s="3503"/>
      <c r="T63" s="3503"/>
      <c r="U63" s="3503"/>
      <c r="V63" s="3504"/>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3"/>
      <c r="B64" s="3583"/>
      <c r="D64" s="1"/>
      <c r="E64" s="1"/>
      <c r="F64" s="1"/>
      <c r="G64" s="84"/>
      <c r="H64" s="36" t="s">
        <v>303</v>
      </c>
      <c r="I64" s="84"/>
      <c r="J64" s="1111">
        <f>BF48</f>
        <v>0</v>
      </c>
      <c r="K64" s="1111">
        <f>BG48</f>
        <v>0</v>
      </c>
      <c r="L64" s="1111">
        <f>BH48</f>
        <v>0</v>
      </c>
      <c r="M64" s="1111">
        <f>BI48</f>
        <v>0</v>
      </c>
      <c r="N64" s="1111">
        <f>BJ48</f>
        <v>0</v>
      </c>
      <c r="O64" s="1111">
        <f t="shared" si="347"/>
        <v>0</v>
      </c>
      <c r="R64" s="3502"/>
      <c r="S64" s="3503"/>
      <c r="T64" s="3503"/>
      <c r="U64" s="3503"/>
      <c r="V64" s="3504"/>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3"/>
      <c r="B65" s="3583"/>
      <c r="C65" s="2299" t="s">
        <v>1138</v>
      </c>
      <c r="D65" s="2299"/>
      <c r="E65" s="2299"/>
      <c r="F65" s="2299"/>
      <c r="G65" s="2300"/>
      <c r="H65" s="49"/>
      <c r="I65" s="2300"/>
      <c r="J65" s="2301">
        <f>SUM(J63:J64)</f>
        <v>0</v>
      </c>
      <c r="K65" s="2301">
        <f>SUM(K63:K64)</f>
        <v>64</v>
      </c>
      <c r="L65" s="2301">
        <f>SUM(L63:L64)</f>
        <v>120</v>
      </c>
      <c r="M65" s="2301">
        <f>SUM(M63:M64)</f>
        <v>60</v>
      </c>
      <c r="N65" s="2301">
        <f>SUM(N63:N64)</f>
        <v>0</v>
      </c>
      <c r="O65" s="2301">
        <f t="shared" si="347"/>
        <v>244</v>
      </c>
      <c r="R65" s="3502"/>
      <c r="S65" s="3503"/>
      <c r="T65" s="3503"/>
      <c r="U65" s="3503"/>
      <c r="V65" s="3504"/>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3"/>
      <c r="B66" s="3583"/>
      <c r="D66" s="1"/>
      <c r="E66" s="1"/>
      <c r="F66" s="1"/>
      <c r="G66" s="84"/>
      <c r="H66" s="36" t="s">
        <v>2511</v>
      </c>
      <c r="I66" s="84"/>
      <c r="J66" s="1111">
        <f>EC48</f>
        <v>0</v>
      </c>
      <c r="K66" s="1111">
        <f>ED48</f>
        <v>0</v>
      </c>
      <c r="L66" s="1111">
        <f>EE48</f>
        <v>0</v>
      </c>
      <c r="M66" s="1111">
        <f>EF48</f>
        <v>0</v>
      </c>
      <c r="N66" s="1111">
        <f>EG48</f>
        <v>0</v>
      </c>
      <c r="O66" s="1111">
        <f t="shared" si="347"/>
        <v>0</v>
      </c>
      <c r="P66" s="563" t="s">
        <v>3670</v>
      </c>
      <c r="R66" s="3502"/>
      <c r="S66" s="3503"/>
      <c r="T66" s="3503"/>
      <c r="U66" s="3503"/>
      <c r="V66" s="3504"/>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3"/>
      <c r="B67" s="3583"/>
      <c r="C67" s="4" t="s">
        <v>1793</v>
      </c>
      <c r="D67" s="1"/>
      <c r="E67" s="1"/>
      <c r="F67" s="1"/>
      <c r="G67" s="84"/>
      <c r="H67" s="36"/>
      <c r="I67" s="84"/>
      <c r="J67" s="2291">
        <f>SUM(J65:J66)</f>
        <v>0</v>
      </c>
      <c r="K67" s="2291">
        <f>SUM(K65:K66)</f>
        <v>64</v>
      </c>
      <c r="L67" s="2291">
        <f>SUM(L65:L66)</f>
        <v>120</v>
      </c>
      <c r="M67" s="2291">
        <f>SUM(M65:M66)</f>
        <v>60</v>
      </c>
      <c r="N67" s="2291">
        <f>SUM(N65:N66)</f>
        <v>0</v>
      </c>
      <c r="O67" s="2291">
        <f t="shared" si="347"/>
        <v>244</v>
      </c>
      <c r="R67" s="3506"/>
      <c r="S67" s="3507"/>
      <c r="T67" s="3507"/>
      <c r="U67" s="3507"/>
      <c r="V67" s="3508"/>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3"/>
      <c r="B68" s="3583"/>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3"/>
      <c r="B69" s="3583"/>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3"/>
      <c r="B70" s="3583"/>
      <c r="C70" s="3496" t="s">
        <v>4726</v>
      </c>
      <c r="D70" s="3496"/>
      <c r="E70" s="3496"/>
      <c r="F70" s="3496"/>
      <c r="G70" s="106"/>
      <c r="H70" s="52"/>
      <c r="I70" s="2641" t="s">
        <v>4725</v>
      </c>
      <c r="J70" s="2644"/>
      <c r="K70" s="2645"/>
      <c r="L70" s="2645"/>
      <c r="M70" s="2645"/>
      <c r="N70" s="2645"/>
      <c r="O70" s="2644"/>
      <c r="P70" s="1207" t="s">
        <v>4724</v>
      </c>
      <c r="R70" s="3497"/>
      <c r="S70" s="3498"/>
      <c r="T70" s="3498"/>
      <c r="U70" s="3498"/>
      <c r="V70" s="3499"/>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3"/>
      <c r="B71" s="3583"/>
      <c r="C71" s="3496"/>
      <c r="D71" s="3496"/>
      <c r="E71" s="3496"/>
      <c r="F71" s="3496"/>
      <c r="G71" s="106"/>
      <c r="H71" s="52" t="s">
        <v>4619</v>
      </c>
      <c r="I71" s="2640" t="str">
        <f>IF(OR(NOT(K53="Income Averaging"),O71=0),"",IF(OR(AND(J71&gt;0,ABS(J71-P71)&gt;0.01),AND(K71&gt;0,ABS(K71-P71)&gt;0.01),AND(L71&gt;0,ABS(L71-P71)&gt;0.01),AND(M71&gt;0,ABS(M71-P71)&gt;0.01),AND(N71&gt;0,ABS(N71-P71)&gt;0.01)), "No", "Yes"))</f>
        <v>Yes</v>
      </c>
      <c r="J71" s="2346">
        <f t="shared" ref="J71:O71" si="348">IF(OR(J63=0,J56=0),0,J56/J63)</f>
        <v>0</v>
      </c>
      <c r="K71" s="2347">
        <f t="shared" si="348"/>
        <v>9.375E-2</v>
      </c>
      <c r="L71" s="2347">
        <f t="shared" si="348"/>
        <v>0.1</v>
      </c>
      <c r="M71" s="2347">
        <f t="shared" si="348"/>
        <v>0.1</v>
      </c>
      <c r="N71" s="2348">
        <f t="shared" si="348"/>
        <v>0</v>
      </c>
      <c r="O71" s="2334">
        <f t="shared" si="348"/>
        <v>9.8360655737704916E-2</v>
      </c>
      <c r="P71" s="2332">
        <f>IF(O71=0,"",AVERAGEIF(J71:N71,"&gt;0"))</f>
        <v>9.7916666666666666E-2</v>
      </c>
      <c r="R71" s="3502"/>
      <c r="S71" s="3503"/>
      <c r="T71" s="3503"/>
      <c r="U71" s="3503"/>
      <c r="V71" s="3504"/>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3"/>
      <c r="B72" s="3583"/>
      <c r="C72" s="3496"/>
      <c r="D72" s="3496"/>
      <c r="E72" s="3496"/>
      <c r="F72" s="3496"/>
      <c r="G72" s="106"/>
      <c r="H72" s="52" t="s">
        <v>4620</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2"/>
      <c r="S72" s="3503"/>
      <c r="T72" s="3503"/>
      <c r="U72" s="3503"/>
      <c r="V72" s="3504"/>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3"/>
      <c r="B73" s="3583"/>
      <c r="C73" s="2642"/>
      <c r="D73" s="3500" t="s">
        <v>5046</v>
      </c>
      <c r="E73" s="3501"/>
      <c r="F73" s="3501"/>
      <c r="G73" s="3501"/>
      <c r="H73" s="52" t="s">
        <v>1149</v>
      </c>
      <c r="I73" s="2640" t="str">
        <f>IF(OR(NOT(K53="Income Averaging"),O73=0),"",IF(OR(AND(J73&gt;0,ABS(J73-P73)&gt;0.01),AND(K73&gt;0,ABS(K73-P73)&gt;0.01),AND(L73&gt;0,ABS(L73-P73)&gt;0.01),AND(M73&gt;0,ABS(M73-P73)&gt;0.01),AND(N73&gt;0,ABS(N73-P73)&gt;0.01)), "No", "Yes"))</f>
        <v>No</v>
      </c>
      <c r="J73" s="2349">
        <f t="shared" ref="J73:O73" si="351">IF(OR(J63=0,J58=0),0,J58/J63)</f>
        <v>0</v>
      </c>
      <c r="K73" s="2350">
        <f t="shared" si="351"/>
        <v>0.71875</v>
      </c>
      <c r="L73" s="2350">
        <f t="shared" si="351"/>
        <v>0.7</v>
      </c>
      <c r="M73" s="2350">
        <f t="shared" si="351"/>
        <v>0.7</v>
      </c>
      <c r="N73" s="2351">
        <f t="shared" si="351"/>
        <v>0</v>
      </c>
      <c r="O73" s="2335">
        <f t="shared" si="351"/>
        <v>0.70491803278688525</v>
      </c>
      <c r="P73" s="2332">
        <f t="shared" si="350"/>
        <v>0.70624999999999993</v>
      </c>
      <c r="R73" s="3502"/>
      <c r="S73" s="3503"/>
      <c r="T73" s="3503"/>
      <c r="U73" s="3503"/>
      <c r="V73" s="3504"/>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3"/>
      <c r="B74" s="3583"/>
      <c r="C74" s="2642"/>
      <c r="D74" s="3501"/>
      <c r="E74" s="3501"/>
      <c r="F74" s="3501"/>
      <c r="G74" s="3501"/>
      <c r="H74" s="52" t="s">
        <v>118</v>
      </c>
      <c r="I74" s="2640" t="str">
        <f>IF(OR(NOT(K53="Income Averaging"),O74=0),"",IF(OR(AND(J74&gt;0,ABS(J74-P74)&gt;0.01),AND(K74&gt;0,ABS(K74-P74)&gt;0.01),AND(L74&gt;0,ABS(L74-P74)&gt;0.01),AND(M74&gt;0,ABS(M74-P74)&gt;0.01),AND(N74&gt;0,ABS(N74-P74)&gt;0.01)), "No", "Yes"))</f>
        <v>Yes</v>
      </c>
      <c r="J74" s="2583">
        <f t="shared" ref="J74:O74" si="352">IF(OR(J63=0,J59=0),0,J59/J63)</f>
        <v>0</v>
      </c>
      <c r="K74" s="2584">
        <f t="shared" si="352"/>
        <v>0.1875</v>
      </c>
      <c r="L74" s="2584">
        <f t="shared" si="352"/>
        <v>0.2</v>
      </c>
      <c r="M74" s="2584">
        <f t="shared" si="352"/>
        <v>0.2</v>
      </c>
      <c r="N74" s="2585">
        <f t="shared" si="352"/>
        <v>0</v>
      </c>
      <c r="O74" s="2586">
        <f t="shared" si="352"/>
        <v>0.19672131147540983</v>
      </c>
      <c r="P74" s="2332">
        <f t="shared" si="350"/>
        <v>0.19583333333333333</v>
      </c>
      <c r="R74" s="3502"/>
      <c r="S74" s="3503"/>
      <c r="T74" s="3503"/>
      <c r="U74" s="3503"/>
      <c r="V74" s="3504"/>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01"/>
      <c r="E75" s="3501"/>
      <c r="F75" s="3501"/>
      <c r="G75" s="3501"/>
      <c r="H75" s="52" t="s">
        <v>4621</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2"/>
      <c r="S75" s="3503"/>
      <c r="T75" s="3503"/>
      <c r="U75" s="3503"/>
      <c r="V75" s="3504"/>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01"/>
      <c r="E76" s="3501"/>
      <c r="F76" s="3501"/>
      <c r="G76" s="3501"/>
      <c r="H76" s="52" t="s">
        <v>4622</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2"/>
      <c r="S76" s="3503"/>
      <c r="T76" s="3503"/>
      <c r="U76" s="3503"/>
      <c r="V76" s="3504"/>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01"/>
      <c r="E77" s="3501"/>
      <c r="F77" s="3501"/>
      <c r="G77" s="3501"/>
      <c r="H77" s="52" t="s">
        <v>4623</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6"/>
      <c r="S77" s="3507"/>
      <c r="T77" s="3507"/>
      <c r="U77" s="3507"/>
      <c r="V77" s="3508"/>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4619</v>
      </c>
      <c r="I81" s="84"/>
      <c r="J81" s="2355">
        <f>CO48</f>
        <v>0</v>
      </c>
      <c r="K81" s="2356">
        <f>CP48</f>
        <v>0</v>
      </c>
      <c r="L81" s="2356">
        <f>CQ48</f>
        <v>0</v>
      </c>
      <c r="M81" s="2356">
        <f>CR48</f>
        <v>0</v>
      </c>
      <c r="N81" s="2357">
        <f>CS48</f>
        <v>0</v>
      </c>
      <c r="O81" s="1112">
        <f t="shared" ref="O81:O88" si="356">SUM(J81:N81)</f>
        <v>0</v>
      </c>
      <c r="R81" s="3497"/>
      <c r="S81" s="3498"/>
      <c r="T81" s="3498"/>
      <c r="U81" s="3498"/>
      <c r="V81" s="3499"/>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4620</v>
      </c>
      <c r="I82" s="84"/>
      <c r="J82" s="2358">
        <f>CJ48</f>
        <v>0</v>
      </c>
      <c r="K82" s="2359">
        <f>CK48</f>
        <v>0</v>
      </c>
      <c r="L82" s="2359">
        <f>CL48</f>
        <v>0</v>
      </c>
      <c r="M82" s="2359">
        <f>CM48</f>
        <v>0</v>
      </c>
      <c r="N82" s="2360">
        <f>CN48</f>
        <v>0</v>
      </c>
      <c r="O82" s="2290">
        <f t="shared" si="356"/>
        <v>0</v>
      </c>
      <c r="R82" s="3502"/>
      <c r="S82" s="3503"/>
      <c r="T82" s="3503"/>
      <c r="U82" s="3503"/>
      <c r="V82" s="3504"/>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2"/>
      <c r="S83" s="3503"/>
      <c r="T83" s="3503"/>
      <c r="U83" s="3503"/>
      <c r="V83" s="3504"/>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2"/>
      <c r="S84" s="3503"/>
      <c r="T84" s="3503"/>
      <c r="U84" s="3503"/>
      <c r="V84" s="3504"/>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4621</v>
      </c>
      <c r="I85" s="1433"/>
      <c r="J85" s="2358">
        <f>BU48</f>
        <v>0</v>
      </c>
      <c r="K85" s="2359">
        <f>BV48</f>
        <v>0</v>
      </c>
      <c r="L85" s="2359">
        <f>BW48</f>
        <v>0</v>
      </c>
      <c r="M85" s="2359">
        <f>BX48</f>
        <v>0</v>
      </c>
      <c r="N85" s="2360">
        <f>BY48</f>
        <v>0</v>
      </c>
      <c r="O85" s="2290">
        <f t="shared" si="356"/>
        <v>0</v>
      </c>
      <c r="R85" s="3502"/>
      <c r="S85" s="3503"/>
      <c r="T85" s="3503"/>
      <c r="U85" s="3503"/>
      <c r="V85" s="3504"/>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4622</v>
      </c>
      <c r="I86" s="84"/>
      <c r="J86" s="2358">
        <f>BP48</f>
        <v>0</v>
      </c>
      <c r="K86" s="2359">
        <f>BQ48</f>
        <v>0</v>
      </c>
      <c r="L86" s="2359">
        <f>BR48</f>
        <v>0</v>
      </c>
      <c r="M86" s="2359">
        <f>BS48</f>
        <v>0</v>
      </c>
      <c r="N86" s="2360">
        <f>BT48</f>
        <v>0</v>
      </c>
      <c r="O86" s="2290">
        <f t="shared" si="356"/>
        <v>0</v>
      </c>
      <c r="R86" s="3502"/>
      <c r="S86" s="3503"/>
      <c r="T86" s="3503"/>
      <c r="U86" s="3503"/>
      <c r="V86" s="3504"/>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4623</v>
      </c>
      <c r="I87" s="84"/>
      <c r="J87" s="2361">
        <f>BK48</f>
        <v>0</v>
      </c>
      <c r="K87" s="2362">
        <f>BL48</f>
        <v>0</v>
      </c>
      <c r="L87" s="2362">
        <f>BM48</f>
        <v>0</v>
      </c>
      <c r="M87" s="2362">
        <f>BN48</f>
        <v>0</v>
      </c>
      <c r="N87" s="2363">
        <f>BO48</f>
        <v>0</v>
      </c>
      <c r="O87" s="1114">
        <f t="shared" si="356"/>
        <v>0</v>
      </c>
      <c r="R87" s="3502"/>
      <c r="S87" s="3503"/>
      <c r="T87" s="3503"/>
      <c r="U87" s="3503"/>
      <c r="V87" s="3504"/>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06"/>
      <c r="S88" s="3507"/>
      <c r="T88" s="3507"/>
      <c r="U88" s="3507"/>
      <c r="V88" s="3508"/>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5003</v>
      </c>
      <c r="K90" s="3579" t="str">
        <f>K53</f>
        <v>Income Averaging</v>
      </c>
      <c r="L90" s="3580"/>
      <c r="M90" s="3580"/>
      <c r="N90" s="3581"/>
      <c r="O90" s="84"/>
      <c r="R90" s="3582" t="str">
        <f>B90</f>
        <v>UNIT SUMMARY (Continued)</v>
      </c>
      <c r="S90" s="3582"/>
      <c r="T90" s="3582"/>
      <c r="U90" s="3582"/>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4619</v>
      </c>
      <c r="I92" s="84"/>
      <c r="J92" s="2355">
        <f>DX48</f>
        <v>0</v>
      </c>
      <c r="K92" s="2356">
        <f>DY48</f>
        <v>0</v>
      </c>
      <c r="L92" s="2356">
        <f>DZ48</f>
        <v>0</v>
      </c>
      <c r="M92" s="2356">
        <f>EA48</f>
        <v>0</v>
      </c>
      <c r="N92" s="2357">
        <f>EB48</f>
        <v>0</v>
      </c>
      <c r="O92" s="1115">
        <f t="shared" ref="O92:O99" si="357">SUM(J92:N92)</f>
        <v>0</v>
      </c>
      <c r="R92" s="3497"/>
      <c r="S92" s="3498"/>
      <c r="T92" s="3498"/>
      <c r="U92" s="3498"/>
      <c r="V92" s="3499"/>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4620</v>
      </c>
      <c r="I93" s="84"/>
      <c r="J93" s="2358">
        <f>DS48</f>
        <v>0</v>
      </c>
      <c r="K93" s="2359">
        <f>DT48</f>
        <v>0</v>
      </c>
      <c r="L93" s="2359">
        <f>DU48</f>
        <v>0</v>
      </c>
      <c r="M93" s="2359">
        <f>DV48</f>
        <v>0</v>
      </c>
      <c r="N93" s="2360">
        <f>DW48</f>
        <v>0</v>
      </c>
      <c r="O93" s="1110">
        <f t="shared" si="357"/>
        <v>0</v>
      </c>
      <c r="R93" s="3502"/>
      <c r="S93" s="3503"/>
      <c r="T93" s="3503"/>
      <c r="U93" s="3503"/>
      <c r="V93" s="3504"/>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2"/>
      <c r="S94" s="3503"/>
      <c r="T94" s="3503"/>
      <c r="U94" s="3503"/>
      <c r="V94" s="3504"/>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2"/>
      <c r="S95" s="3503"/>
      <c r="T95" s="3503"/>
      <c r="U95" s="3503"/>
      <c r="V95" s="3504"/>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4621</v>
      </c>
      <c r="I96" s="1433"/>
      <c r="J96" s="2358">
        <f>DD48</f>
        <v>0</v>
      </c>
      <c r="K96" s="2359">
        <f>DE48</f>
        <v>0</v>
      </c>
      <c r="L96" s="2359">
        <f>DF48</f>
        <v>0</v>
      </c>
      <c r="M96" s="2359">
        <f>DG48</f>
        <v>0</v>
      </c>
      <c r="N96" s="2360">
        <f>DH48</f>
        <v>0</v>
      </c>
      <c r="O96" s="1110">
        <f t="shared" si="357"/>
        <v>0</v>
      </c>
      <c r="R96" s="3502"/>
      <c r="S96" s="3503"/>
      <c r="T96" s="3503"/>
      <c r="U96" s="3503"/>
      <c r="V96" s="3504"/>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4622</v>
      </c>
      <c r="I97" s="84"/>
      <c r="J97" s="2358">
        <f>CY48</f>
        <v>0</v>
      </c>
      <c r="K97" s="2359">
        <f>CZ48</f>
        <v>0</v>
      </c>
      <c r="L97" s="2359">
        <f>DA48</f>
        <v>0</v>
      </c>
      <c r="M97" s="2359">
        <f>DB48</f>
        <v>0</v>
      </c>
      <c r="N97" s="2360">
        <f>DC48</f>
        <v>0</v>
      </c>
      <c r="O97" s="1110">
        <f t="shared" si="357"/>
        <v>0</v>
      </c>
      <c r="R97" s="3502"/>
      <c r="S97" s="3503"/>
      <c r="T97" s="3503"/>
      <c r="U97" s="3503"/>
      <c r="V97" s="3504"/>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4623</v>
      </c>
      <c r="I98" s="84"/>
      <c r="J98" s="2361">
        <f>CT48</f>
        <v>0</v>
      </c>
      <c r="K98" s="2362">
        <f>CU48</f>
        <v>0</v>
      </c>
      <c r="L98" s="2362">
        <f>CV48</f>
        <v>0</v>
      </c>
      <c r="M98" s="2362">
        <f>CW48</f>
        <v>0</v>
      </c>
      <c r="N98" s="2363">
        <f>CX48</f>
        <v>0</v>
      </c>
      <c r="O98" s="1111">
        <f t="shared" si="357"/>
        <v>0</v>
      </c>
      <c r="R98" s="3502"/>
      <c r="S98" s="3503"/>
      <c r="T98" s="3503"/>
      <c r="U98" s="3503"/>
      <c r="V98" s="3504"/>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6"/>
      <c r="S99" s="3507"/>
      <c r="T99" s="3507"/>
      <c r="U99" s="3507"/>
      <c r="V99" s="3508"/>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7" t="s">
        <v>38</v>
      </c>
      <c r="D101" s="3557"/>
      <c r="E101" s="106" t="s">
        <v>2295</v>
      </c>
      <c r="F101" s="1"/>
      <c r="G101" s="84"/>
      <c r="H101" s="36" t="s">
        <v>1432</v>
      </c>
      <c r="I101" s="84"/>
      <c r="J101" s="2337">
        <f>GF48</f>
        <v>0</v>
      </c>
      <c r="K101" s="2338">
        <f>GG48</f>
        <v>64</v>
      </c>
      <c r="L101" s="2338">
        <f>GH48</f>
        <v>120</v>
      </c>
      <c r="M101" s="2338">
        <f>GI48</f>
        <v>60</v>
      </c>
      <c r="N101" s="2339">
        <f>GJ48</f>
        <v>0</v>
      </c>
      <c r="O101" s="1115">
        <f t="shared" ref="O101:O111" si="358">SUM(J101:N101)</f>
        <v>244</v>
      </c>
      <c r="R101" s="3497"/>
      <c r="S101" s="3498"/>
      <c r="T101" s="3498"/>
      <c r="U101" s="3498"/>
      <c r="V101" s="3499"/>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7"/>
      <c r="D102" s="3557"/>
      <c r="E102" s="114"/>
      <c r="F102" s="1"/>
      <c r="G102" s="84"/>
      <c r="H102" s="36" t="s">
        <v>303</v>
      </c>
      <c r="I102" s="84"/>
      <c r="J102" s="2343">
        <f>GK48</f>
        <v>0</v>
      </c>
      <c r="K102" s="2344">
        <f>GL48</f>
        <v>0</v>
      </c>
      <c r="L102" s="2344">
        <f>GM48</f>
        <v>0</v>
      </c>
      <c r="M102" s="2344">
        <f>GN48</f>
        <v>0</v>
      </c>
      <c r="N102" s="2345">
        <f>GO48</f>
        <v>0</v>
      </c>
      <c r="O102" s="1111">
        <f t="shared" si="358"/>
        <v>0</v>
      </c>
      <c r="R102" s="3502"/>
      <c r="S102" s="3503"/>
      <c r="T102" s="3503"/>
      <c r="U102" s="3503"/>
      <c r="V102" s="3504"/>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7"/>
      <c r="D103" s="3557"/>
      <c r="E103" s="114"/>
      <c r="F103" s="1"/>
      <c r="G103" s="84"/>
      <c r="H103" s="88" t="s">
        <v>32</v>
      </c>
      <c r="I103" s="84"/>
      <c r="J103" s="2293">
        <f>SUM(J101:J102)+GP48</f>
        <v>0</v>
      </c>
      <c r="K103" s="2293">
        <f>SUM(K101:K102)+GQ48</f>
        <v>64</v>
      </c>
      <c r="L103" s="2293">
        <f>SUM(L101:L102)+GR48</f>
        <v>120</v>
      </c>
      <c r="M103" s="2293">
        <f>SUM(M101:M102)+GS48</f>
        <v>60</v>
      </c>
      <c r="N103" s="2293">
        <f>SUM(N101:N102)+GT48</f>
        <v>0</v>
      </c>
      <c r="O103" s="2293">
        <f t="shared" si="358"/>
        <v>244</v>
      </c>
      <c r="R103" s="3502"/>
      <c r="S103" s="3503"/>
      <c r="T103" s="3503"/>
      <c r="U103" s="3503"/>
      <c r="V103" s="3504"/>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57"/>
      <c r="D104" s="3557"/>
      <c r="E104" s="106" t="s">
        <v>2137</v>
      </c>
      <c r="F104" s="1"/>
      <c r="G104" s="84"/>
      <c r="H104" s="36" t="s">
        <v>1432</v>
      </c>
      <c r="I104" s="84"/>
      <c r="J104" s="2337">
        <f>GU48</f>
        <v>0</v>
      </c>
      <c r="K104" s="2338">
        <f>GV48</f>
        <v>0</v>
      </c>
      <c r="L104" s="2338">
        <f>GW48</f>
        <v>0</v>
      </c>
      <c r="M104" s="2338">
        <f>GX48</f>
        <v>0</v>
      </c>
      <c r="N104" s="2339">
        <f>GY48</f>
        <v>0</v>
      </c>
      <c r="O104" s="1115">
        <f t="shared" si="358"/>
        <v>0</v>
      </c>
      <c r="R104" s="3502"/>
      <c r="S104" s="3503"/>
      <c r="T104" s="3503"/>
      <c r="U104" s="3503"/>
      <c r="V104" s="3504"/>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7"/>
      <c r="D105" s="3557"/>
      <c r="E105" s="114"/>
      <c r="F105" s="1"/>
      <c r="G105" s="84"/>
      <c r="H105" s="36" t="s">
        <v>303</v>
      </c>
      <c r="I105" s="84"/>
      <c r="J105" s="2343">
        <f>GZ48</f>
        <v>0</v>
      </c>
      <c r="K105" s="2344">
        <f>HA48</f>
        <v>0</v>
      </c>
      <c r="L105" s="2344">
        <f>HB48</f>
        <v>0</v>
      </c>
      <c r="M105" s="2344">
        <f>HC48</f>
        <v>0</v>
      </c>
      <c r="N105" s="2345">
        <f>HD48</f>
        <v>0</v>
      </c>
      <c r="O105" s="1111">
        <f t="shared" si="358"/>
        <v>0</v>
      </c>
      <c r="R105" s="3502"/>
      <c r="S105" s="3503"/>
      <c r="T105" s="3503"/>
      <c r="U105" s="3503"/>
      <c r="V105" s="3504"/>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7"/>
      <c r="D106" s="3557"/>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2"/>
      <c r="S106" s="3503"/>
      <c r="T106" s="3503"/>
      <c r="U106" s="3503"/>
      <c r="V106" s="3504"/>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8" t="s">
        <v>1419</v>
      </c>
      <c r="F107" s="3558"/>
      <c r="G107" s="84"/>
      <c r="H107" s="36" t="s">
        <v>1432</v>
      </c>
      <c r="I107" s="84"/>
      <c r="J107" s="2337">
        <f>HJ48</f>
        <v>0</v>
      </c>
      <c r="K107" s="2338">
        <f>HK48</f>
        <v>0</v>
      </c>
      <c r="L107" s="2338">
        <f>HL48</f>
        <v>0</v>
      </c>
      <c r="M107" s="2338">
        <f>HM48</f>
        <v>0</v>
      </c>
      <c r="N107" s="2339">
        <f>HN48</f>
        <v>0</v>
      </c>
      <c r="O107" s="1115">
        <f t="shared" si="358"/>
        <v>0</v>
      </c>
      <c r="R107" s="3502"/>
      <c r="S107" s="3503"/>
      <c r="T107" s="3503"/>
      <c r="U107" s="3503"/>
      <c r="V107" s="3504"/>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8"/>
      <c r="F108" s="3558"/>
      <c r="G108" s="84"/>
      <c r="H108" s="36" t="s">
        <v>303</v>
      </c>
      <c r="I108" s="84"/>
      <c r="J108" s="2343">
        <f>HO48</f>
        <v>0</v>
      </c>
      <c r="K108" s="2344">
        <f>HP48</f>
        <v>0</v>
      </c>
      <c r="L108" s="2344">
        <f>HQ48</f>
        <v>0</v>
      </c>
      <c r="M108" s="2344">
        <f>HR48</f>
        <v>0</v>
      </c>
      <c r="N108" s="2345">
        <f>HS48</f>
        <v>0</v>
      </c>
      <c r="O108" s="1111">
        <f t="shared" si="358"/>
        <v>0</v>
      </c>
      <c r="R108" s="3502"/>
      <c r="S108" s="3503"/>
      <c r="T108" s="3503"/>
      <c r="U108" s="3503"/>
      <c r="V108" s="3504"/>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2"/>
      <c r="S109" s="3503"/>
      <c r="T109" s="3503"/>
      <c r="U109" s="3503"/>
      <c r="V109" s="3504"/>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2"/>
      <c r="S110" s="3503"/>
      <c r="T110" s="3503"/>
      <c r="U110" s="3503"/>
      <c r="V110" s="3504"/>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5" t="str">
        <f>IF(AND('Part IV-A-Uses of Funds'!$T$165="Yes",'Part IX Scoring Criteria'!$O$420&gt;0,O111&lt;1),"SHOW HISTORIC UNITS HERE &gt;&gt;&gt;&gt;","")</f>
        <v/>
      </c>
      <c r="B111" s="3505"/>
      <c r="C111" s="3505"/>
      <c r="D111" s="3505"/>
      <c r="E111" s="557" t="s">
        <v>3396</v>
      </c>
      <c r="F111" s="1"/>
      <c r="G111" s="192"/>
      <c r="H111" s="84"/>
      <c r="I111" s="84"/>
      <c r="J111" s="692"/>
      <c r="K111" s="692"/>
      <c r="L111" s="692"/>
      <c r="M111" s="692"/>
      <c r="N111" s="692"/>
      <c r="O111" s="688">
        <f t="shared" si="358"/>
        <v>0</v>
      </c>
      <c r="R111" s="3502"/>
      <c r="S111" s="3503"/>
      <c r="T111" s="3503"/>
      <c r="U111" s="3503"/>
      <c r="V111" s="3504"/>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2"/>
      <c r="S112" s="3503"/>
      <c r="T112" s="3503"/>
      <c r="U112" s="3503"/>
      <c r="V112" s="3504"/>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6"/>
      <c r="S113" s="3507"/>
      <c r="T113" s="3507"/>
      <c r="U113" s="3507"/>
      <c r="V113" s="3508"/>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4" t="s">
        <v>4087</v>
      </c>
      <c r="D115" s="3554"/>
      <c r="E115" s="1429" t="s">
        <v>39</v>
      </c>
      <c r="F115" s="1147"/>
      <c r="G115" s="1430"/>
      <c r="H115" s="1431"/>
      <c r="I115" s="1432"/>
      <c r="J115" s="2367">
        <f t="shared" ref="J115:O115" si="359">SUM(J116:J123)</f>
        <v>0</v>
      </c>
      <c r="K115" s="2368">
        <f t="shared" si="359"/>
        <v>64</v>
      </c>
      <c r="L115" s="2368">
        <f t="shared" si="359"/>
        <v>120</v>
      </c>
      <c r="M115" s="2368">
        <f t="shared" si="359"/>
        <v>60</v>
      </c>
      <c r="N115" s="2369">
        <f t="shared" si="359"/>
        <v>0</v>
      </c>
      <c r="O115" s="2298">
        <f t="shared" si="359"/>
        <v>244</v>
      </c>
      <c r="R115" s="3497"/>
      <c r="S115" s="3498"/>
      <c r="T115" s="3498"/>
      <c r="U115" s="3498"/>
      <c r="V115" s="3499"/>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0"/>
      <c r="D116" s="3500"/>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2"/>
      <c r="S116" s="3503"/>
      <c r="T116" s="3503"/>
      <c r="U116" s="3503"/>
      <c r="V116" s="3504"/>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0"/>
      <c r="D117" s="3500"/>
      <c r="E117" s="106"/>
      <c r="F117" s="5"/>
      <c r="G117" s="156"/>
      <c r="H117" s="97" t="s">
        <v>3357</v>
      </c>
      <c r="I117" s="1433"/>
      <c r="J117" s="2370">
        <f>JW48</f>
        <v>0</v>
      </c>
      <c r="K117" s="2371">
        <f>JX48</f>
        <v>0</v>
      </c>
      <c r="L117" s="2371">
        <f>JY48</f>
        <v>0</v>
      </c>
      <c r="M117" s="2371">
        <f>JZ48</f>
        <v>0</v>
      </c>
      <c r="N117" s="2372">
        <f>KA48</f>
        <v>0</v>
      </c>
      <c r="O117" s="690">
        <f t="shared" si="360"/>
        <v>0</v>
      </c>
      <c r="R117" s="3502"/>
      <c r="S117" s="3503"/>
      <c r="T117" s="3503"/>
      <c r="U117" s="3503"/>
      <c r="V117" s="3504"/>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0"/>
      <c r="D118" s="3500"/>
      <c r="E118" s="106"/>
      <c r="F118" s="5"/>
      <c r="G118" s="156"/>
      <c r="H118" s="1021" t="s">
        <v>2605</v>
      </c>
      <c r="I118" s="1433"/>
      <c r="J118" s="2340">
        <f>KB48</f>
        <v>0</v>
      </c>
      <c r="K118" s="2341">
        <f>KC48</f>
        <v>0</v>
      </c>
      <c r="L118" s="2341">
        <f>KD48</f>
        <v>0</v>
      </c>
      <c r="M118" s="2341">
        <f>KE48</f>
        <v>0</v>
      </c>
      <c r="N118" s="2342">
        <f>KF48</f>
        <v>0</v>
      </c>
      <c r="O118" s="693">
        <f t="shared" si="360"/>
        <v>0</v>
      </c>
      <c r="R118" s="3502"/>
      <c r="S118" s="3503"/>
      <c r="T118" s="3503"/>
      <c r="U118" s="3503"/>
      <c r="V118" s="3504"/>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0"/>
      <c r="D119" s="3500"/>
      <c r="E119" s="106"/>
      <c r="F119" s="5"/>
      <c r="G119" s="156"/>
      <c r="H119" s="97" t="s">
        <v>3357</v>
      </c>
      <c r="I119" s="1433"/>
      <c r="J119" s="2370">
        <f>KG48</f>
        <v>0</v>
      </c>
      <c r="K119" s="2371">
        <f>KH48</f>
        <v>0</v>
      </c>
      <c r="L119" s="2371">
        <f>KI48</f>
        <v>0</v>
      </c>
      <c r="M119" s="2371">
        <f>KJ48</f>
        <v>0</v>
      </c>
      <c r="N119" s="2372">
        <f>KK48</f>
        <v>0</v>
      </c>
      <c r="O119" s="690">
        <f t="shared" si="360"/>
        <v>0</v>
      </c>
      <c r="R119" s="3502"/>
      <c r="S119" s="3503"/>
      <c r="T119" s="3503"/>
      <c r="U119" s="3503"/>
      <c r="V119" s="3504"/>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0"/>
      <c r="D120" s="3500"/>
      <c r="E120" s="106"/>
      <c r="F120" s="5"/>
      <c r="G120" s="156"/>
      <c r="H120" s="1021" t="s">
        <v>2607</v>
      </c>
      <c r="I120" s="1433"/>
      <c r="J120" s="2340">
        <f>KL48</f>
        <v>0</v>
      </c>
      <c r="K120" s="2341">
        <f>KM48</f>
        <v>0</v>
      </c>
      <c r="L120" s="2341">
        <f>KN48</f>
        <v>0</v>
      </c>
      <c r="M120" s="2341">
        <f>KO48</f>
        <v>0</v>
      </c>
      <c r="N120" s="2342">
        <f>KP48</f>
        <v>0</v>
      </c>
      <c r="O120" s="693">
        <f t="shared" si="360"/>
        <v>0</v>
      </c>
      <c r="R120" s="3502"/>
      <c r="S120" s="3503"/>
      <c r="T120" s="3503"/>
      <c r="U120" s="3503"/>
      <c r="V120" s="3504"/>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0"/>
      <c r="D121" s="3500"/>
      <c r="E121" s="106"/>
      <c r="F121" s="5"/>
      <c r="G121" s="156"/>
      <c r="H121" s="97" t="s">
        <v>3357</v>
      </c>
      <c r="I121" s="1433"/>
      <c r="J121" s="2370">
        <f>KQ48</f>
        <v>0</v>
      </c>
      <c r="K121" s="2371">
        <f>KR48</f>
        <v>0</v>
      </c>
      <c r="L121" s="2371">
        <f>KS48</f>
        <v>0</v>
      </c>
      <c r="M121" s="2371">
        <f>KT48</f>
        <v>0</v>
      </c>
      <c r="N121" s="2372">
        <f>KU48</f>
        <v>0</v>
      </c>
      <c r="O121" s="690">
        <f t="shared" si="360"/>
        <v>0</v>
      </c>
      <c r="R121" s="3502"/>
      <c r="S121" s="3503"/>
      <c r="T121" s="3503"/>
      <c r="U121" s="3503"/>
      <c r="V121" s="3504"/>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0"/>
      <c r="D122" s="3500"/>
      <c r="E122" s="106"/>
      <c r="F122" s="1"/>
      <c r="G122" s="84"/>
      <c r="H122" s="40" t="s">
        <v>2606</v>
      </c>
      <c r="I122" s="84"/>
      <c r="J122" s="2340">
        <f>KV48</f>
        <v>0</v>
      </c>
      <c r="K122" s="2341">
        <f>KW48</f>
        <v>64</v>
      </c>
      <c r="L122" s="2341">
        <f>KX48</f>
        <v>120</v>
      </c>
      <c r="M122" s="2341">
        <f>KY48</f>
        <v>60</v>
      </c>
      <c r="N122" s="2342">
        <f>KZ48</f>
        <v>0</v>
      </c>
      <c r="O122" s="693">
        <f t="shared" si="360"/>
        <v>244</v>
      </c>
      <c r="R122" s="3502"/>
      <c r="S122" s="3503"/>
      <c r="T122" s="3503"/>
      <c r="U122" s="3503"/>
      <c r="V122" s="3504"/>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0"/>
      <c r="D123" s="3500"/>
      <c r="E123" s="106"/>
      <c r="F123" s="1"/>
      <c r="G123" s="84"/>
      <c r="H123" s="1017" t="s">
        <v>3357</v>
      </c>
      <c r="I123" s="84"/>
      <c r="J123" s="2340">
        <f>LA48</f>
        <v>0</v>
      </c>
      <c r="K123" s="2341">
        <f>LB48</f>
        <v>0</v>
      </c>
      <c r="L123" s="2341">
        <f>LC48</f>
        <v>0</v>
      </c>
      <c r="M123" s="2341">
        <f>LD48</f>
        <v>0</v>
      </c>
      <c r="N123" s="2342">
        <f>LE48</f>
        <v>0</v>
      </c>
      <c r="O123" s="1110">
        <f t="shared" si="360"/>
        <v>0</v>
      </c>
      <c r="R123" s="3502"/>
      <c r="S123" s="3503"/>
      <c r="T123" s="3503"/>
      <c r="U123" s="3503"/>
      <c r="V123" s="3504"/>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2"/>
      <c r="S124" s="3503"/>
      <c r="T124" s="3503"/>
      <c r="U124" s="3503"/>
      <c r="V124" s="3504"/>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2"/>
      <c r="S125" s="3503"/>
      <c r="T125" s="3503"/>
      <c r="U125" s="3503"/>
      <c r="V125" s="3504"/>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2"/>
      <c r="S126" s="3503"/>
      <c r="T126" s="3503"/>
      <c r="U126" s="3503"/>
      <c r="V126" s="3504"/>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2"/>
      <c r="S127" s="3503"/>
      <c r="T127" s="3503"/>
      <c r="U127" s="3503"/>
      <c r="V127" s="3504"/>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2"/>
      <c r="S128" s="3503"/>
      <c r="T128" s="3503"/>
      <c r="U128" s="3503"/>
      <c r="V128" s="3504"/>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2"/>
      <c r="S129" s="3503"/>
      <c r="T129" s="3503"/>
      <c r="U129" s="3503"/>
      <c r="V129" s="3504"/>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2"/>
      <c r="S130" s="3503"/>
      <c r="T130" s="3503"/>
      <c r="U130" s="3503"/>
      <c r="V130" s="3504"/>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6"/>
      <c r="S131" s="3507"/>
      <c r="T131" s="3507"/>
      <c r="U131" s="3507"/>
      <c r="V131" s="3508"/>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5003</v>
      </c>
      <c r="K133" s="3579" t="str">
        <f>K53</f>
        <v>Income Averaging</v>
      </c>
      <c r="L133" s="3580"/>
      <c r="M133" s="3580"/>
      <c r="N133" s="3581"/>
      <c r="O133" s="84"/>
      <c r="R133" s="3517" t="str">
        <f>B133</f>
        <v>UNIT SUMMARY (Continued)</v>
      </c>
      <c r="S133" s="3517"/>
      <c r="T133" s="3517"/>
      <c r="U133" s="3517"/>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4" t="s">
        <v>4608</v>
      </c>
      <c r="D135" s="3554"/>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7"/>
      <c r="S135" s="3498"/>
      <c r="T135" s="3498"/>
      <c r="U135" s="3498"/>
      <c r="V135" s="3499"/>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0"/>
      <c r="D136" s="3500"/>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2"/>
      <c r="S136" s="3503"/>
      <c r="T136" s="3503"/>
      <c r="U136" s="3503"/>
      <c r="V136" s="3504"/>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0"/>
      <c r="D137" s="3500"/>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2"/>
      <c r="S137" s="3503"/>
      <c r="T137" s="3503"/>
      <c r="U137" s="3503"/>
      <c r="V137" s="3504"/>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0"/>
      <c r="D138" s="3500"/>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2"/>
      <c r="S138" s="3503"/>
      <c r="T138" s="3503"/>
      <c r="U138" s="3503"/>
      <c r="V138" s="3504"/>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0"/>
      <c r="D139" s="3500"/>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2"/>
      <c r="S139" s="3503"/>
      <c r="T139" s="3503"/>
      <c r="U139" s="3503"/>
      <c r="V139" s="3504"/>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0"/>
      <c r="D140" s="3500"/>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2"/>
      <c r="S140" s="3503"/>
      <c r="T140" s="3503"/>
      <c r="U140" s="3503"/>
      <c r="V140" s="3504"/>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0"/>
      <c r="D141" s="3500"/>
      <c r="E141" s="106" t="s">
        <v>3355</v>
      </c>
      <c r="F141" s="563"/>
      <c r="G141" s="156"/>
      <c r="H141" s="1021"/>
      <c r="I141" s="1433"/>
      <c r="J141" s="2382">
        <f t="shared" ref="J141:N142" si="365">J118+J122</f>
        <v>0</v>
      </c>
      <c r="K141" s="2383">
        <f t="shared" si="365"/>
        <v>64</v>
      </c>
      <c r="L141" s="2383">
        <f t="shared" si="365"/>
        <v>120</v>
      </c>
      <c r="M141" s="2383">
        <f t="shared" si="365"/>
        <v>60</v>
      </c>
      <c r="N141" s="2384">
        <f t="shared" si="365"/>
        <v>0</v>
      </c>
      <c r="O141" s="1113">
        <f t="shared" si="362"/>
        <v>244</v>
      </c>
      <c r="R141" s="3502"/>
      <c r="S141" s="3503"/>
      <c r="T141" s="3503"/>
      <c r="U141" s="3503"/>
      <c r="V141" s="3504"/>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09" t="s">
        <v>5036</v>
      </c>
      <c r="R142" s="3506"/>
      <c r="S142" s="3507"/>
      <c r="T142" s="3507"/>
      <c r="U142" s="3507"/>
      <c r="V142" s="3508"/>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09"/>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09"/>
      <c r="R144" s="3516" t="str">
        <f>B144</f>
        <v>Unit Square Footage:</v>
      </c>
      <c r="S144" s="3516"/>
      <c r="T144" s="3516"/>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4619</v>
      </c>
      <c r="I145" s="84"/>
      <c r="J145" s="2355">
        <f>EH48</f>
        <v>0</v>
      </c>
      <c r="K145" s="2356">
        <f>EI48</f>
        <v>3918</v>
      </c>
      <c r="L145" s="2356">
        <f>EJ48</f>
        <v>11556</v>
      </c>
      <c r="M145" s="2356">
        <f>EK48</f>
        <v>6690</v>
      </c>
      <c r="N145" s="2357">
        <f>EL48</f>
        <v>0</v>
      </c>
      <c r="O145" s="2287">
        <f t="shared" ref="O145:O151" si="366">SUM(J145:N145)</f>
        <v>22164</v>
      </c>
      <c r="P145" s="2604">
        <f t="shared" ref="P145:P151" si="367">IF(OR(O56=0,O56=""),"",O145/O56)</f>
        <v>923.5</v>
      </c>
      <c r="R145" s="3497"/>
      <c r="S145" s="3498"/>
      <c r="T145" s="3498"/>
      <c r="U145" s="3498"/>
      <c r="V145" s="3499"/>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4620</v>
      </c>
      <c r="I146" s="84"/>
      <c r="J146" s="2388">
        <f>EM48</f>
        <v>0</v>
      </c>
      <c r="K146" s="2389">
        <f>EN48</f>
        <v>0</v>
      </c>
      <c r="L146" s="2389">
        <f>EO48</f>
        <v>0</v>
      </c>
      <c r="M146" s="2389">
        <f>EP48</f>
        <v>0</v>
      </c>
      <c r="N146" s="2390">
        <f>EQ48</f>
        <v>0</v>
      </c>
      <c r="O146" s="2288">
        <f t="shared" si="366"/>
        <v>0</v>
      </c>
      <c r="P146" s="2604" t="str">
        <f t="shared" si="367"/>
        <v/>
      </c>
      <c r="R146" s="3502"/>
      <c r="S146" s="3503"/>
      <c r="T146" s="3503"/>
      <c r="U146" s="3503"/>
      <c r="V146" s="3504"/>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30038</v>
      </c>
      <c r="L147" s="2389">
        <f>ET48</f>
        <v>80892</v>
      </c>
      <c r="M147" s="2389">
        <f>EU48</f>
        <v>46830</v>
      </c>
      <c r="N147" s="2390">
        <f>EV48</f>
        <v>0</v>
      </c>
      <c r="O147" s="2288">
        <f t="shared" si="366"/>
        <v>157760</v>
      </c>
      <c r="P147" s="2604">
        <f t="shared" si="367"/>
        <v>917.20930232558135</v>
      </c>
      <c r="R147" s="3502"/>
      <c r="S147" s="3503"/>
      <c r="T147" s="3503"/>
      <c r="U147" s="3503"/>
      <c r="V147" s="3504"/>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7836</v>
      </c>
      <c r="L148" s="2588">
        <f>EY48</f>
        <v>23112</v>
      </c>
      <c r="M148" s="2588">
        <f>EZ48</f>
        <v>13380</v>
      </c>
      <c r="N148" s="2589">
        <f>FA48</f>
        <v>0</v>
      </c>
      <c r="O148" s="2590">
        <f t="shared" si="366"/>
        <v>44328</v>
      </c>
      <c r="P148" s="2604">
        <f t="shared" si="367"/>
        <v>923.5</v>
      </c>
      <c r="R148" s="3502"/>
      <c r="S148" s="3503"/>
      <c r="T148" s="3503"/>
      <c r="U148" s="3503"/>
      <c r="V148" s="3504"/>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4621</v>
      </c>
      <c r="I149" s="1433"/>
      <c r="J149" s="2388">
        <f>FB48</f>
        <v>0</v>
      </c>
      <c r="K149" s="2389">
        <f>FC48</f>
        <v>0</v>
      </c>
      <c r="L149" s="2389">
        <f>FD48</f>
        <v>0</v>
      </c>
      <c r="M149" s="2389">
        <f>FE48</f>
        <v>0</v>
      </c>
      <c r="N149" s="2390">
        <f>FF48</f>
        <v>0</v>
      </c>
      <c r="O149" s="2288">
        <f t="shared" si="366"/>
        <v>0</v>
      </c>
      <c r="P149" s="2604" t="str">
        <f t="shared" si="367"/>
        <v/>
      </c>
      <c r="R149" s="3502"/>
      <c r="S149" s="3503"/>
      <c r="T149" s="3503"/>
      <c r="U149" s="3503"/>
      <c r="V149" s="3504"/>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4622</v>
      </c>
      <c r="I150" s="84"/>
      <c r="J150" s="2388">
        <f>FG48</f>
        <v>0</v>
      </c>
      <c r="K150" s="2389">
        <f>FH48</f>
        <v>0</v>
      </c>
      <c r="L150" s="2389">
        <f>FI48</f>
        <v>0</v>
      </c>
      <c r="M150" s="2389">
        <f>FJ48</f>
        <v>0</v>
      </c>
      <c r="N150" s="2390">
        <f>FK48</f>
        <v>0</v>
      </c>
      <c r="O150" s="2288">
        <f t="shared" si="366"/>
        <v>0</v>
      </c>
      <c r="P150" s="2604" t="str">
        <f t="shared" si="367"/>
        <v/>
      </c>
      <c r="R150" s="3502"/>
      <c r="S150" s="3503"/>
      <c r="T150" s="3503"/>
      <c r="U150" s="3503"/>
      <c r="V150" s="3504"/>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4623</v>
      </c>
      <c r="I151" s="84"/>
      <c r="J151" s="2361">
        <f>FL48</f>
        <v>0</v>
      </c>
      <c r="K151" s="2362">
        <f>FM48</f>
        <v>0</v>
      </c>
      <c r="L151" s="2362">
        <f>FN48</f>
        <v>0</v>
      </c>
      <c r="M151" s="2362">
        <f>FO48</f>
        <v>0</v>
      </c>
      <c r="N151" s="2363">
        <f>FP48</f>
        <v>0</v>
      </c>
      <c r="O151" s="2289">
        <f t="shared" si="366"/>
        <v>0</v>
      </c>
      <c r="P151" s="2604" t="str">
        <f t="shared" si="367"/>
        <v/>
      </c>
      <c r="R151" s="3502"/>
      <c r="S151" s="3503"/>
      <c r="T151" s="3503"/>
      <c r="U151" s="3503"/>
      <c r="V151" s="3504"/>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4704</v>
      </c>
      <c r="I152" s="84"/>
      <c r="J152" s="2297">
        <f>SUM(J145:J151)</f>
        <v>0</v>
      </c>
      <c r="K152" s="2297">
        <f>SUM(K145:K151)</f>
        <v>41792</v>
      </c>
      <c r="L152" s="2297">
        <f>SUM(L145:L151)</f>
        <v>115560</v>
      </c>
      <c r="M152" s="2297">
        <f>SUM(M145:M151)</f>
        <v>66900</v>
      </c>
      <c r="N152" s="2297">
        <f>SUM(N145:N151)</f>
        <v>0</v>
      </c>
      <c r="O152" s="2297">
        <f>SUM(J152:N152)</f>
        <v>224252</v>
      </c>
      <c r="R152" s="3502"/>
      <c r="S152" s="3503"/>
      <c r="T152" s="3503"/>
      <c r="U152" s="3503"/>
      <c r="V152" s="3504"/>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02"/>
      <c r="S153" s="3503"/>
      <c r="T153" s="3503"/>
      <c r="U153" s="3503"/>
      <c r="V153" s="3504"/>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41792</v>
      </c>
      <c r="L154" s="2296">
        <f>SUM(L152:L153)</f>
        <v>115560</v>
      </c>
      <c r="M154" s="2296">
        <f>SUM(M152:M153)</f>
        <v>66900</v>
      </c>
      <c r="N154" s="2296">
        <f>SUM(N152:N153)</f>
        <v>0</v>
      </c>
      <c r="O154" s="2296">
        <f>SUM(J154:N154)</f>
        <v>224252</v>
      </c>
      <c r="R154" s="3502"/>
      <c r="S154" s="3503"/>
      <c r="T154" s="3503"/>
      <c r="U154" s="3503"/>
      <c r="V154" s="3504"/>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02"/>
      <c r="S155" s="3503"/>
      <c r="T155" s="3503"/>
      <c r="U155" s="3503"/>
      <c r="V155" s="3504"/>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41792</v>
      </c>
      <c r="L156" s="2294">
        <f>SUM(L154:L155)</f>
        <v>115560</v>
      </c>
      <c r="M156" s="2294">
        <f>SUM(M154:M155)</f>
        <v>66900</v>
      </c>
      <c r="N156" s="2294">
        <f>SUM(N154:N155)</f>
        <v>0</v>
      </c>
      <c r="O156" s="2294">
        <f>SUM(J156:N156)</f>
        <v>224252</v>
      </c>
      <c r="R156" s="3506"/>
      <c r="S156" s="3507"/>
      <c r="T156" s="3507"/>
      <c r="U156" s="3507"/>
      <c r="V156" s="3508"/>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5031</v>
      </c>
      <c r="D159" s="1"/>
      <c r="E159" s="1"/>
      <c r="F159" s="1"/>
      <c r="G159" s="1"/>
      <c r="H159" s="1"/>
      <c r="I159" s="1"/>
      <c r="J159" s="2603" t="str">
        <f>IF(OR(J67="",J67=0),"",J156/J67)</f>
        <v/>
      </c>
      <c r="K159" s="2603">
        <f>IF(OR(K67="",K67=0),"",K156/K67)</f>
        <v>653</v>
      </c>
      <c r="L159" s="2603">
        <f>IF(OR(L67="",L67=0),"",L156/L67)</f>
        <v>963</v>
      </c>
      <c r="M159" s="2603">
        <f>IF(OR(M67="",M67=0),"",M156/M67)</f>
        <v>1115</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5">
        <f>'Part VII-Pro Forma'!B9*L49</f>
        <v>55461.120000000003</v>
      </c>
      <c r="I173" s="3556"/>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7"/>
      <c r="S177" s="3498"/>
      <c r="T177" s="3498"/>
      <c r="U177" s="3498"/>
      <c r="V177" s="3499"/>
    </row>
    <row r="178" spans="2:22" ht="13.5" customHeight="1">
      <c r="B178" s="114" t="s">
        <v>741</v>
      </c>
      <c r="C178" s="3548"/>
      <c r="D178" s="3549"/>
      <c r="E178" s="3549"/>
      <c r="F178" s="3550"/>
      <c r="G178" s="1059"/>
      <c r="H178" s="1059"/>
      <c r="I178" s="1059"/>
      <c r="J178" s="1059"/>
      <c r="K178" s="1060"/>
      <c r="L178" s="1059"/>
      <c r="M178" s="1059"/>
      <c r="N178" s="1059"/>
      <c r="O178" s="1059"/>
      <c r="P178" s="1059"/>
      <c r="Q178" s="998"/>
      <c r="R178" s="3502"/>
      <c r="S178" s="3503"/>
      <c r="T178" s="3503"/>
      <c r="U178" s="3503"/>
      <c r="V178" s="3504"/>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6"/>
      <c r="S179" s="3507"/>
      <c r="T179" s="3507"/>
      <c r="U179" s="3507"/>
      <c r="V179" s="3508"/>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7"/>
      <c r="S181" s="3498"/>
      <c r="T181" s="3498"/>
      <c r="U181" s="3498"/>
      <c r="V181" s="3499"/>
    </row>
    <row r="182" spans="2:22" ht="13.5" customHeight="1">
      <c r="B182" s="114" t="s">
        <v>741</v>
      </c>
      <c r="C182" s="3548"/>
      <c r="D182" s="3549"/>
      <c r="E182" s="3549"/>
      <c r="F182" s="3550"/>
      <c r="G182" s="1059"/>
      <c r="H182" s="1059"/>
      <c r="I182" s="1059"/>
      <c r="J182" s="1059"/>
      <c r="K182" s="1060"/>
      <c r="L182" s="1059"/>
      <c r="M182" s="1059"/>
      <c r="N182" s="1059"/>
      <c r="O182" s="1059"/>
      <c r="P182" s="1059"/>
      <c r="Q182" s="998"/>
      <c r="R182" s="3502"/>
      <c r="S182" s="3503"/>
      <c r="T182" s="3503"/>
      <c r="U182" s="3503"/>
      <c r="V182" s="3504"/>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6"/>
      <c r="S183" s="3507"/>
      <c r="T183" s="3507"/>
      <c r="U183" s="3507"/>
      <c r="V183" s="3508"/>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7"/>
      <c r="S186" s="3498"/>
      <c r="T186" s="3498"/>
      <c r="U186" s="3498"/>
      <c r="V186" s="3499"/>
    </row>
    <row r="187" spans="2:22" ht="13.5" customHeight="1">
      <c r="B187" s="114" t="s">
        <v>741</v>
      </c>
      <c r="C187" s="3548"/>
      <c r="D187" s="3549"/>
      <c r="E187" s="3549"/>
      <c r="F187" s="3550"/>
      <c r="G187" s="1059"/>
      <c r="H187" s="1059"/>
      <c r="I187" s="1059"/>
      <c r="J187" s="1059"/>
      <c r="K187" s="1060"/>
      <c r="L187" s="1059"/>
      <c r="M187" s="1059"/>
      <c r="N187" s="1059"/>
      <c r="O187" s="1059"/>
      <c r="P187" s="1059"/>
      <c r="Q187" s="998"/>
      <c r="R187" s="3502"/>
      <c r="S187" s="3503"/>
      <c r="T187" s="3503"/>
      <c r="U187" s="3503"/>
      <c r="V187" s="3504"/>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6"/>
      <c r="S188" s="3507"/>
      <c r="T188" s="3507"/>
      <c r="U188" s="3507"/>
      <c r="V188" s="3508"/>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7"/>
      <c r="S190" s="3498"/>
      <c r="T190" s="3498"/>
      <c r="U190" s="3498"/>
      <c r="V190" s="3499"/>
    </row>
    <row r="191" spans="2:22" ht="13.5" customHeight="1">
      <c r="B191" s="114" t="s">
        <v>741</v>
      </c>
      <c r="C191" s="3548"/>
      <c r="D191" s="3549"/>
      <c r="E191" s="3549"/>
      <c r="F191" s="3550"/>
      <c r="G191" s="1059"/>
      <c r="H191" s="1059"/>
      <c r="I191" s="1059"/>
      <c r="J191" s="1059"/>
      <c r="K191" s="1060"/>
      <c r="L191" s="1059"/>
      <c r="M191" s="1059"/>
      <c r="N191" s="1059"/>
      <c r="O191" s="1059"/>
      <c r="P191" s="1059"/>
      <c r="Q191" s="998"/>
      <c r="R191" s="3502"/>
      <c r="S191" s="3503"/>
      <c r="T191" s="3503"/>
      <c r="U191" s="3503"/>
      <c r="V191" s="3504"/>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6"/>
      <c r="S192" s="3507"/>
      <c r="T192" s="3507"/>
      <c r="U192" s="3507"/>
      <c r="V192" s="3508"/>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7"/>
      <c r="S195" s="3498"/>
      <c r="T195" s="3498"/>
      <c r="U195" s="3498"/>
      <c r="V195" s="3499"/>
    </row>
    <row r="196" spans="2:22" ht="13.5" customHeight="1">
      <c r="B196" s="114" t="s">
        <v>741</v>
      </c>
      <c r="C196" s="3548"/>
      <c r="D196" s="3549"/>
      <c r="E196" s="3549"/>
      <c r="F196" s="3550"/>
      <c r="G196" s="1059"/>
      <c r="H196" s="1059"/>
      <c r="I196" s="1059"/>
      <c r="J196" s="1059"/>
      <c r="K196" s="1060"/>
      <c r="L196" s="1059"/>
      <c r="M196" s="1059"/>
      <c r="N196" s="1059"/>
      <c r="O196" s="1059"/>
      <c r="P196" s="1059"/>
      <c r="Q196" s="998"/>
      <c r="R196" s="3502"/>
      <c r="S196" s="3503"/>
      <c r="T196" s="3503"/>
      <c r="U196" s="3503"/>
      <c r="V196" s="3504"/>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6"/>
      <c r="S197" s="3507"/>
      <c r="T197" s="3507"/>
      <c r="U197" s="3507"/>
      <c r="V197" s="3508"/>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7"/>
      <c r="S199" s="3498"/>
      <c r="T199" s="3498"/>
      <c r="U199" s="3498"/>
      <c r="V199" s="3499"/>
    </row>
    <row r="200" spans="2:22" ht="13.5" customHeight="1">
      <c r="B200" s="114" t="s">
        <v>741</v>
      </c>
      <c r="C200" s="3548"/>
      <c r="D200" s="3549"/>
      <c r="E200" s="3549"/>
      <c r="F200" s="3550"/>
      <c r="G200" s="1059"/>
      <c r="H200" s="1059"/>
      <c r="I200" s="1059"/>
      <c r="J200" s="1059"/>
      <c r="K200" s="1060"/>
      <c r="L200" s="1059"/>
      <c r="M200" s="1059"/>
      <c r="N200" s="1059"/>
      <c r="O200" s="1059"/>
      <c r="P200" s="1059"/>
      <c r="Q200" s="998"/>
      <c r="R200" s="3502"/>
      <c r="S200" s="3503"/>
      <c r="T200" s="3503"/>
      <c r="U200" s="3503"/>
      <c r="V200" s="3504"/>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6"/>
      <c r="S201" s="3507"/>
      <c r="T201" s="3507"/>
      <c r="U201" s="3507"/>
      <c r="V201" s="3508"/>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7"/>
      <c r="S204" s="3498"/>
      <c r="T204" s="3498"/>
      <c r="U204" s="3498"/>
      <c r="V204" s="3499"/>
    </row>
    <row r="205" spans="2:22" ht="13.5" customHeight="1">
      <c r="B205" s="114" t="s">
        <v>741</v>
      </c>
      <c r="C205" s="3548"/>
      <c r="D205" s="3549"/>
      <c r="E205" s="3549"/>
      <c r="F205" s="3550"/>
      <c r="G205" s="1059"/>
      <c r="H205" s="1059"/>
      <c r="I205" s="1059"/>
      <c r="J205" s="1059"/>
      <c r="K205" s="1060"/>
      <c r="L205" s="91"/>
      <c r="M205" s="91"/>
      <c r="N205" s="91"/>
      <c r="O205" s="91"/>
      <c r="P205" s="91"/>
      <c r="Q205" s="8"/>
      <c r="R205" s="3502"/>
      <c r="S205" s="3503"/>
      <c r="T205" s="3503"/>
      <c r="U205" s="3503"/>
      <c r="V205" s="3504"/>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6"/>
      <c r="S206" s="3507"/>
      <c r="T206" s="3507"/>
      <c r="U206" s="3507"/>
      <c r="V206" s="3508"/>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7"/>
      <c r="S208" s="3498"/>
      <c r="T208" s="3498"/>
      <c r="U208" s="3498"/>
      <c r="V208" s="3499"/>
    </row>
    <row r="209" spans="1:492" ht="13.5" customHeight="1">
      <c r="B209" s="114" t="s">
        <v>741</v>
      </c>
      <c r="C209" s="3548"/>
      <c r="D209" s="3549"/>
      <c r="E209" s="3549"/>
      <c r="F209" s="3550"/>
      <c r="G209" s="1059"/>
      <c r="H209" s="1059"/>
      <c r="I209" s="1059"/>
      <c r="J209" s="1059"/>
      <c r="K209" s="1060"/>
      <c r="L209" s="91"/>
      <c r="M209" s="91"/>
      <c r="N209" s="91"/>
      <c r="O209" s="91"/>
      <c r="P209" s="91"/>
      <c r="Q209" s="8"/>
      <c r="R209" s="3502"/>
      <c r="S209" s="3503"/>
      <c r="T209" s="3503"/>
      <c r="U209" s="3503"/>
      <c r="V209" s="3504"/>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6"/>
      <c r="S210" s="3507"/>
      <c r="T210" s="3507"/>
      <c r="U210" s="3507"/>
      <c r="V210" s="3508"/>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97"/>
      <c r="S214" s="3498"/>
      <c r="T214" s="3498"/>
      <c r="U214" s="3498"/>
      <c r="V214" s="3499"/>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51">
        <v>85000</v>
      </c>
      <c r="G215" s="3552"/>
      <c r="H215" s="1"/>
      <c r="I215" s="1" t="s">
        <v>1378</v>
      </c>
      <c r="J215" s="1"/>
      <c r="K215" s="3551"/>
      <c r="L215" s="3552"/>
      <c r="M215" s="1"/>
      <c r="N215" s="1" t="s">
        <v>929</v>
      </c>
      <c r="O215" s="1"/>
      <c r="P215" s="2543">
        <v>400118</v>
      </c>
      <c r="Q215" s="998"/>
      <c r="R215" s="3502"/>
      <c r="S215" s="3503"/>
      <c r="T215" s="3503"/>
      <c r="U215" s="3503"/>
      <c r="V215" s="3504"/>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18">
        <v>60000</v>
      </c>
      <c r="G216" s="3519"/>
      <c r="H216" s="1"/>
      <c r="I216" s="1" t="s">
        <v>1379</v>
      </c>
      <c r="J216" s="1"/>
      <c r="K216" s="3523"/>
      <c r="L216" s="3524"/>
      <c r="M216" s="1"/>
      <c r="N216" s="1" t="s">
        <v>147</v>
      </c>
      <c r="O216" s="1"/>
      <c r="P216" s="2544">
        <v>94277</v>
      </c>
      <c r="Q216" s="998"/>
      <c r="R216" s="3502"/>
      <c r="S216" s="3503"/>
      <c r="T216" s="3503"/>
      <c r="U216" s="3503"/>
      <c r="V216" s="3504"/>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18"/>
      <c r="G217" s="3519"/>
      <c r="H217" s="1"/>
      <c r="I217" s="1"/>
      <c r="J217" s="126" t="s">
        <v>191</v>
      </c>
      <c r="K217" s="3531">
        <f>SUM(K215:L216)</f>
        <v>0</v>
      </c>
      <c r="L217" s="3532"/>
      <c r="M217" s="1"/>
      <c r="N217" s="3541" t="s">
        <v>51</v>
      </c>
      <c r="O217" s="3542"/>
      <c r="P217" s="2545"/>
      <c r="Q217" s="998"/>
      <c r="R217" s="3502"/>
      <c r="S217" s="3503"/>
      <c r="T217" s="3503"/>
      <c r="U217" s="3503"/>
      <c r="V217" s="3504"/>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20" t="s">
        <v>5303</v>
      </c>
      <c r="C218" s="3521"/>
      <c r="D218" s="3521"/>
      <c r="E218" s="3522"/>
      <c r="F218" s="3523">
        <v>39150</v>
      </c>
      <c r="G218" s="3524"/>
      <c r="H218" s="1"/>
      <c r="I218" s="1"/>
      <c r="J218" s="1"/>
      <c r="K218" s="1"/>
      <c r="L218" s="1"/>
      <c r="M218" s="1"/>
      <c r="N218" s="11" t="s">
        <v>191</v>
      </c>
      <c r="O218" s="1"/>
      <c r="P218" s="464">
        <f>SUM(P215:P217)</f>
        <v>494395</v>
      </c>
      <c r="Q218" s="993"/>
      <c r="R218" s="3502"/>
      <c r="S218" s="3503"/>
      <c r="T218" s="3503"/>
      <c r="U218" s="3503"/>
      <c r="V218" s="3504"/>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31">
        <f>SUM(F215:G218)</f>
        <v>184150</v>
      </c>
      <c r="G219" s="3532"/>
      <c r="H219" s="1"/>
      <c r="I219" s="1"/>
      <c r="J219" s="12"/>
      <c r="K219" s="1"/>
      <c r="L219" s="1"/>
      <c r="M219" s="1"/>
      <c r="N219" s="1"/>
      <c r="O219" s="1"/>
      <c r="P219" s="1"/>
      <c r="Q219" s="1"/>
      <c r="R219" s="3502"/>
      <c r="S219" s="3503"/>
      <c r="T219" s="3503"/>
      <c r="U219" s="3503"/>
      <c r="V219" s="3504"/>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2"/>
      <c r="S220" s="3503"/>
      <c r="T220" s="3503"/>
      <c r="U220" s="3503"/>
      <c r="V220" s="350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131526</v>
      </c>
      <c r="Q221" s="994"/>
      <c r="R221" s="3502"/>
      <c r="S221" s="3503"/>
      <c r="T221" s="3503"/>
      <c r="U221" s="3503"/>
      <c r="V221" s="3504"/>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51">
        <v>4800</v>
      </c>
      <c r="G222" s="3552"/>
      <c r="H222" s="1"/>
      <c r="I222" s="1" t="s">
        <v>1602</v>
      </c>
      <c r="J222" s="1"/>
      <c r="K222" s="3535">
        <v>5000</v>
      </c>
      <c r="L222" s="3536"/>
      <c r="M222" s="1"/>
      <c r="N222" s="452">
        <f>+P221/(O67*0.93)</f>
        <v>579.61396086726597</v>
      </c>
      <c r="O222" s="67" t="s">
        <v>2756</v>
      </c>
      <c r="P222" s="1"/>
      <c r="Q222" s="1"/>
      <c r="R222" s="3502"/>
      <c r="S222" s="3503"/>
      <c r="T222" s="3503"/>
      <c r="U222" s="3503"/>
      <c r="V222" s="3504"/>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18">
        <v>9600</v>
      </c>
      <c r="G223" s="3519"/>
      <c r="H223" s="1"/>
      <c r="I223" s="1" t="s">
        <v>2049</v>
      </c>
      <c r="J223" s="1"/>
      <c r="K223" s="3539">
        <v>11500</v>
      </c>
      <c r="L223" s="3540"/>
      <c r="M223" s="1"/>
      <c r="N223" s="452">
        <f>+P221/(O67*0.93)/12</f>
        <v>48.3011634056055</v>
      </c>
      <c r="O223" s="67" t="s">
        <v>2757</v>
      </c>
      <c r="P223" s="1"/>
      <c r="Q223" s="1"/>
      <c r="R223" s="3502"/>
      <c r="S223" s="3503"/>
      <c r="T223" s="3503"/>
      <c r="U223" s="3503"/>
      <c r="V223" s="3504"/>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18"/>
      <c r="G224" s="3519"/>
      <c r="H224" s="1"/>
      <c r="I224" s="1" t="s">
        <v>1603</v>
      </c>
      <c r="J224" s="1"/>
      <c r="K224" s="3539">
        <v>15000</v>
      </c>
      <c r="L224" s="3540"/>
      <c r="M224" s="1"/>
      <c r="N224" s="36" t="s">
        <v>3728</v>
      </c>
      <c r="O224" s="1129"/>
      <c r="P224" s="1129"/>
      <c r="Q224" s="1427"/>
      <c r="R224" s="3502"/>
      <c r="S224" s="3503"/>
      <c r="T224" s="3503"/>
      <c r="U224" s="3503"/>
      <c r="V224" s="3504"/>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18"/>
      <c r="G225" s="3519"/>
      <c r="H225" s="1"/>
      <c r="I225" s="3541" t="s">
        <v>5305</v>
      </c>
      <c r="J225" s="3542"/>
      <c r="K225" s="3543">
        <v>7500</v>
      </c>
      <c r="L225" s="3544"/>
      <c r="M225" s="1"/>
      <c r="N225" s="1129"/>
      <c r="O225" s="1129"/>
      <c r="P225" s="1129"/>
      <c r="Q225" s="1427"/>
      <c r="R225" s="3502"/>
      <c r="S225" s="3503"/>
      <c r="T225" s="3503"/>
      <c r="U225" s="3503"/>
      <c r="V225" s="3504"/>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18"/>
      <c r="G226" s="3519"/>
      <c r="H226" s="1"/>
      <c r="I226" s="10"/>
      <c r="J226" s="11" t="s">
        <v>191</v>
      </c>
      <c r="K226" s="3545">
        <f>SUM(K222:K225)</f>
        <v>39000</v>
      </c>
      <c r="L226" s="3546"/>
      <c r="M226" s="3547" t="str">
        <f>IF(P228="","",IF(P226&lt;P228, "WARNING! OE below required minimum.",""))</f>
        <v/>
      </c>
      <c r="N226" s="10" t="s">
        <v>2186</v>
      </c>
      <c r="O226" s="5"/>
      <c r="P226" s="462">
        <f>F219+F228+F239+K217+K226+K236+P218+P221</f>
        <v>1245171</v>
      </c>
      <c r="R226" s="3502"/>
      <c r="S226" s="3503"/>
      <c r="T226" s="3503"/>
      <c r="U226" s="3503"/>
      <c r="V226" s="3504"/>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20" t="s">
        <v>5304</v>
      </c>
      <c r="C227" s="3521"/>
      <c r="D227" s="3521"/>
      <c r="E227" s="3522"/>
      <c r="F227" s="3523">
        <v>11700</v>
      </c>
      <c r="G227" s="3524"/>
      <c r="H227" s="1"/>
      <c r="I227" s="1"/>
      <c r="J227" s="12"/>
      <c r="K227" s="1"/>
      <c r="L227" s="1"/>
      <c r="M227" s="3547"/>
      <c r="N227" s="67" t="s">
        <v>2758</v>
      </c>
      <c r="O227" s="452">
        <f>+P226/O67</f>
        <v>5103.1598360655735</v>
      </c>
      <c r="Q227" s="993"/>
      <c r="R227" s="3502"/>
      <c r="S227" s="3503"/>
      <c r="T227" s="3503"/>
      <c r="U227" s="3503"/>
      <c r="V227" s="3504"/>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31">
        <f>SUM(F222:G227)</f>
        <v>26100</v>
      </c>
      <c r="G228" s="3532"/>
      <c r="H228" s="1"/>
      <c r="I228" s="1"/>
      <c r="J228" s="12"/>
      <c r="K228" s="1"/>
      <c r="L228" s="1"/>
      <c r="M228" s="3547"/>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1098000</v>
      </c>
      <c r="R228" s="3502"/>
      <c r="S228" s="3503"/>
      <c r="T228" s="3503"/>
      <c r="U228" s="3503"/>
      <c r="V228" s="3504"/>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7"/>
      <c r="N229" s="1"/>
      <c r="O229" s="1"/>
      <c r="P229" s="5"/>
      <c r="Q229" s="5"/>
      <c r="R229" s="3502"/>
      <c r="S229" s="3503"/>
      <c r="T229" s="3503"/>
      <c r="U229" s="3503"/>
      <c r="V229" s="3504"/>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5015</v>
      </c>
      <c r="K230" s="1"/>
      <c r="L230" s="1"/>
      <c r="M230" s="1"/>
      <c r="N230" s="10" t="s">
        <v>3481</v>
      </c>
      <c r="O230" s="10"/>
      <c r="P230" s="1449">
        <f>P239</f>
        <v>61000</v>
      </c>
      <c r="Q230" s="994"/>
      <c r="R230" s="3502"/>
      <c r="S230" s="3503"/>
      <c r="T230" s="3503"/>
      <c r="U230" s="3503"/>
      <c r="V230" s="3504"/>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33">
        <v>40000</v>
      </c>
      <c r="G231" s="3534"/>
      <c r="H231" s="1"/>
      <c r="I231" s="1" t="s">
        <v>1368</v>
      </c>
      <c r="J231" s="524">
        <f>K231/12/O67</f>
        <v>6.8306010928961749</v>
      </c>
      <c r="K231" s="3535">
        <v>20000</v>
      </c>
      <c r="L231" s="3536"/>
      <c r="M231" s="3527" t="str">
        <f>IF(P230&lt;P239, "WARNING! RR proposed is below the DCA required minimum.","")</f>
        <v/>
      </c>
      <c r="N231" s="1152" t="s">
        <v>5014</v>
      </c>
      <c r="O231" s="1147"/>
      <c r="P231" s="1153">
        <f>P230/O239</f>
        <v>250</v>
      </c>
      <c r="Q231" s="999"/>
      <c r="R231" s="3502"/>
      <c r="S231" s="3503"/>
      <c r="T231" s="3503"/>
      <c r="U231" s="3503"/>
      <c r="V231" s="3504"/>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37">
        <v>10000</v>
      </c>
      <c r="G232" s="3538"/>
      <c r="H232" s="1"/>
      <c r="I232" s="1" t="s">
        <v>1369</v>
      </c>
      <c r="J232" s="524">
        <f>K232/12/O67</f>
        <v>0</v>
      </c>
      <c r="K232" s="3539"/>
      <c r="L232" s="3540"/>
      <c r="M232" s="3527"/>
      <c r="N232" s="3528" t="s">
        <v>3736</v>
      </c>
      <c r="O232" s="3529"/>
      <c r="P232" s="3530"/>
      <c r="R232" s="3502"/>
      <c r="S232" s="3503"/>
      <c r="T232" s="3503"/>
      <c r="U232" s="3503"/>
      <c r="V232" s="3504"/>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37">
        <v>35000</v>
      </c>
      <c r="G233" s="3538"/>
      <c r="H233" s="1"/>
      <c r="I233" s="1" t="s">
        <v>2352</v>
      </c>
      <c r="J233" s="524">
        <f>K233/12/O67</f>
        <v>64.207650273224047</v>
      </c>
      <c r="K233" s="3539">
        <v>188000</v>
      </c>
      <c r="L233" s="3540"/>
      <c r="M233" s="3527"/>
      <c r="N233" s="1146" t="s">
        <v>2714</v>
      </c>
      <c r="O233" s="990" t="s">
        <v>3848</v>
      </c>
      <c r="P233" s="1148" t="s">
        <v>3438</v>
      </c>
      <c r="Q233" s="990"/>
      <c r="R233" s="3502"/>
      <c r="S233" s="3503"/>
      <c r="T233" s="3503"/>
      <c r="U233" s="3503"/>
      <c r="V233" s="3504"/>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18">
        <v>12000</v>
      </c>
      <c r="G234" s="3519"/>
      <c r="H234" s="1"/>
      <c r="I234" s="1" t="s">
        <v>1371</v>
      </c>
      <c r="J234" s="1"/>
      <c r="K234" s="3539">
        <v>15000</v>
      </c>
      <c r="L234" s="3540"/>
      <c r="M234" s="3527"/>
      <c r="N234" s="731" t="s">
        <v>39</v>
      </c>
      <c r="O234" s="732"/>
      <c r="P234" s="733"/>
      <c r="Q234" s="732"/>
      <c r="R234" s="3502"/>
      <c r="S234" s="3503"/>
      <c r="T234" s="3503"/>
      <c r="U234" s="3503"/>
      <c r="V234" s="3504"/>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18">
        <v>25000</v>
      </c>
      <c r="G235" s="3519"/>
      <c r="H235" s="1"/>
      <c r="I235" s="3541" t="s">
        <v>51</v>
      </c>
      <c r="J235" s="3542"/>
      <c r="K235" s="3543"/>
      <c r="L235" s="3544"/>
      <c r="M235" s="3527"/>
      <c r="N235" s="562" t="s">
        <v>3430</v>
      </c>
      <c r="O235" s="996" t="str">
        <f>CONCATENATE(SUM(ME48:MI48)," units x $",'DCA Underwriting Assumptions'!$Q$64," =")</f>
        <v>0 units x $350 =</v>
      </c>
      <c r="P235" s="734">
        <f>SUM(ME48:MI48)*'DCA Underwriting Assumptions'!$Q$64</f>
        <v>0</v>
      </c>
      <c r="Q235" s="996"/>
      <c r="R235" s="3502"/>
      <c r="S235" s="3503"/>
      <c r="T235" s="3503"/>
      <c r="U235" s="3503"/>
      <c r="V235" s="3504"/>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18"/>
      <c r="G236" s="3519"/>
      <c r="H236" s="1"/>
      <c r="I236" s="1"/>
      <c r="J236" s="11" t="s">
        <v>191</v>
      </c>
      <c r="K236" s="3545">
        <f>SUM(K231:K235)</f>
        <v>223000</v>
      </c>
      <c r="L236" s="3546"/>
      <c r="M236" s="3527"/>
      <c r="N236" s="562" t="s">
        <v>3429</v>
      </c>
      <c r="O236" s="996" t="str">
        <f>CONCATENATE(SUM(MJ48:MN48)," units x $",'DCA Underwriting Assumptions'!$Q$65," =")</f>
        <v>244 units x $250 =</v>
      </c>
      <c r="P236" s="734">
        <f>SUM(MJ48:MN48)*'DCA Underwriting Assumptions'!$Q$65</f>
        <v>61000</v>
      </c>
      <c r="Q236" s="996"/>
      <c r="R236" s="3502"/>
      <c r="S236" s="3503"/>
      <c r="T236" s="3503"/>
      <c r="U236" s="3503"/>
      <c r="V236" s="3504"/>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18">
        <v>25000</v>
      </c>
      <c r="G237" s="3519"/>
      <c r="H237" s="1"/>
      <c r="I237" s="1"/>
      <c r="J237" s="12"/>
      <c r="K237" s="1"/>
      <c r="L237" s="1"/>
      <c r="M237" s="3527"/>
      <c r="N237" s="735" t="s">
        <v>3433</v>
      </c>
      <c r="O237" s="996" t="str">
        <f>CONCATENATE(SUM(MO48:MS48)," units x $",'DCA Underwriting Assumptions'!$Q$66," =")</f>
        <v>0 units x $420 =</v>
      </c>
      <c r="P237" s="734">
        <f>SUM(MO48:MS48)*'DCA Underwriting Assumptions'!$Q$66</f>
        <v>0</v>
      </c>
      <c r="Q237" s="996"/>
      <c r="R237" s="3502"/>
      <c r="S237" s="3503"/>
      <c r="T237" s="3503"/>
      <c r="U237" s="3503"/>
      <c r="V237" s="3504"/>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20" t="s">
        <v>51</v>
      </c>
      <c r="C238" s="3521"/>
      <c r="D238" s="3521"/>
      <c r="E238" s="3522"/>
      <c r="F238" s="3523"/>
      <c r="G238" s="3524"/>
      <c r="H238" s="1"/>
      <c r="I238" s="1"/>
      <c r="J238" s="12"/>
      <c r="K238" s="1"/>
      <c r="L238" s="1"/>
      <c r="M238" s="1"/>
      <c r="N238" s="735" t="s">
        <v>3428</v>
      </c>
      <c r="O238" s="996" t="str">
        <f>CONCATENATE(O113," units x $",'DCA Underwriting Assumptions'!$Q$66," =")</f>
        <v>0 units x $420 =</v>
      </c>
      <c r="P238" s="734">
        <f>O113*'DCA Underwriting Assumptions'!$Q$66</f>
        <v>0</v>
      </c>
      <c r="Q238" s="996"/>
      <c r="R238" s="3502"/>
      <c r="S238" s="3503"/>
      <c r="T238" s="3503"/>
      <c r="U238" s="3503"/>
      <c r="V238" s="3504"/>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25">
        <f>SUM(F231:G238)</f>
        <v>147000</v>
      </c>
      <c r="G239" s="3526"/>
      <c r="H239" s="1"/>
      <c r="I239" s="1"/>
      <c r="J239" s="12"/>
      <c r="K239" s="1"/>
      <c r="L239" s="1"/>
      <c r="M239" s="1"/>
      <c r="N239" s="1149" t="s">
        <v>2717</v>
      </c>
      <c r="O239" s="1150">
        <f>SUM(ME48:MI48)+SUM(MJ48:MN48)+SUM(MO48:MS48)+O113</f>
        <v>244</v>
      </c>
      <c r="P239" s="1151">
        <f>SUM(P235:P238)</f>
        <v>61000</v>
      </c>
      <c r="Q239" s="996"/>
      <c r="R239" s="3506"/>
      <c r="S239" s="3507"/>
      <c r="T239" s="3507"/>
      <c r="U239" s="3507"/>
      <c r="V239" s="3508"/>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1306171</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5000</v>
      </c>
      <c r="C243" s="11"/>
      <c r="D243" s="1"/>
      <c r="E243" s="1"/>
      <c r="F243" s="2581" t="s">
        <v>5001</v>
      </c>
      <c r="G243" s="12"/>
      <c r="H243" s="3577"/>
      <c r="I243" s="3578"/>
      <c r="J243" s="2702" t="s">
        <v>5075</v>
      </c>
      <c r="K243" s="2582"/>
      <c r="N243" s="10" t="s">
        <v>5004</v>
      </c>
      <c r="O243" s="1"/>
      <c r="P243" s="2617">
        <f>H243*K243</f>
        <v>0</v>
      </c>
      <c r="Q243" s="993"/>
      <c r="R243" s="3493"/>
      <c r="S243" s="3494"/>
      <c r="T243" s="3494"/>
      <c r="U243" s="3494"/>
      <c r="V243" s="3495"/>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5076</v>
      </c>
      <c r="C245" s="11"/>
      <c r="D245" s="1"/>
      <c r="E245" s="1"/>
      <c r="F245" s="12"/>
      <c r="G245" s="12"/>
      <c r="H245" s="1"/>
      <c r="I245" s="2683" t="s">
        <v>1771</v>
      </c>
      <c r="J245" s="2581" t="s">
        <v>5078</v>
      </c>
      <c r="K245" s="2683" t="s">
        <v>1771</v>
      </c>
      <c r="L245" s="73" t="s">
        <v>5079</v>
      </c>
      <c r="M245" s="2582"/>
      <c r="N245" s="533" t="s">
        <v>5077</v>
      </c>
      <c r="O245" s="1"/>
      <c r="P245" s="2703"/>
      <c r="Q245" s="993"/>
      <c r="R245" s="3493"/>
      <c r="S245" s="3494"/>
      <c r="T245" s="3494"/>
      <c r="U245" s="3494"/>
      <c r="V245" s="3495"/>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4999</v>
      </c>
      <c r="N247" s="13"/>
    </row>
    <row r="248" spans="1:492" ht="408.75" customHeight="1">
      <c r="A248" s="3181" t="s">
        <v>5306</v>
      </c>
      <c r="B248" s="3181"/>
      <c r="C248" s="3181"/>
      <c r="D248" s="3181"/>
      <c r="E248" s="3181"/>
      <c r="F248" s="3181"/>
      <c r="G248" s="3181"/>
      <c r="H248" s="3181"/>
      <c r="I248" s="3181"/>
      <c r="J248" s="3181"/>
      <c r="K248" s="3181"/>
      <c r="L248" s="3181"/>
      <c r="M248" s="3180"/>
      <c r="N248" s="3180"/>
      <c r="O248" s="3180"/>
      <c r="P248" s="3180"/>
      <c r="Q248" s="3515" t="s">
        <v>4105</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zV+2KbkBjZMCGdf7JaNUeSAopr7y1IeDFQuBdW6zkH9DFjR+I7ZqpjYOv8OprrG/a7I9a35XgsuFqhiw2pUtXQ==" saltValue="ME7ykOGkwTmixIMkcnyW9w==" spinCount="100000" sheet="1" objects="1" scenario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30" zoomScaleNormal="100" workbookViewId="0">
      <selection activeCell="G135" sqref="G1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2019-5 Somersby, College Park, Fulton County</v>
      </c>
      <c r="B1" s="3594"/>
      <c r="C1" s="3594"/>
      <c r="D1" s="3594"/>
      <c r="E1" s="3594"/>
      <c r="F1" s="3594"/>
      <c r="G1" s="3594"/>
      <c r="H1" s="3594"/>
      <c r="I1" s="3594"/>
      <c r="J1" s="3594"/>
      <c r="K1" s="3595"/>
      <c r="L1" s="10"/>
      <c r="M1" s="10"/>
      <c r="N1" s="3596" t="str">
        <f>A1</f>
        <v>PART SEVEN - OPERATING PRO FORMA  -  2019-5 Somersby, College Park, Fulton County</v>
      </c>
      <c r="O1" s="3596"/>
      <c r="P1" s="10"/>
    </row>
    <row r="2" spans="1:19" ht="13.5" customHeight="1">
      <c r="A2" s="556"/>
      <c r="B2" s="556"/>
      <c r="C2" s="556"/>
      <c r="D2" s="556"/>
      <c r="E2" s="556"/>
      <c r="F2" s="556"/>
      <c r="G2" s="556"/>
      <c r="H2" s="556"/>
      <c r="I2" s="556"/>
      <c r="J2" s="556"/>
      <c r="K2" s="556"/>
      <c r="N2" s="3597" t="s">
        <v>1845</v>
      </c>
      <c r="O2" s="3597"/>
    </row>
    <row r="3" spans="1:19" ht="13.5" customHeight="1">
      <c r="A3" s="13" t="s">
        <v>90</v>
      </c>
      <c r="C3" s="3598" t="str">
        <f>'Part I-Project Information'!$B$6</f>
        <v>May 2019 Final</v>
      </c>
      <c r="D3" s="1526" t="s">
        <v>80</v>
      </c>
      <c r="E3" s="243"/>
      <c r="F3" s="1527" t="s">
        <v>4181</v>
      </c>
      <c r="N3" s="13" t="str">
        <f>A3</f>
        <v>I.  OPERATING ASSUMPTIONS</v>
      </c>
      <c r="O3" s="31"/>
    </row>
    <row r="4" spans="1:19" ht="2.4500000000000002" customHeight="1">
      <c r="A4" s="16"/>
      <c r="B4" s="16"/>
      <c r="C4" s="3598"/>
      <c r="H4" s="16"/>
      <c r="I4" s="16"/>
    </row>
    <row r="5" spans="1:19" ht="13.5" customHeight="1">
      <c r="A5" s="16" t="s">
        <v>2188</v>
      </c>
      <c r="B5" s="78">
        <v>0.02</v>
      </c>
      <c r="C5" s="3598"/>
      <c r="D5" s="3500" t="s">
        <v>4182</v>
      </c>
      <c r="E5" s="3500"/>
      <c r="F5" s="3500"/>
      <c r="G5" s="81">
        <v>5000</v>
      </c>
      <c r="H5" s="99" t="s">
        <v>1907</v>
      </c>
      <c r="K5" s="104">
        <f>IF(($B$14+$B$15+$B$16+$B$17)=0,"",B30/($B$14+$B$15+$B$16+$B$17))</f>
        <v>-1.9007642018519957E-3</v>
      </c>
      <c r="N5" s="3497"/>
      <c r="O5" s="3499"/>
    </row>
    <row r="6" spans="1:19">
      <c r="A6" s="16" t="s">
        <v>2189</v>
      </c>
      <c r="B6" s="78">
        <v>0.03</v>
      </c>
      <c r="C6" s="3598"/>
      <c r="D6" s="3500"/>
      <c r="E6" s="3500"/>
      <c r="F6" s="3500"/>
      <c r="G6" s="1528">
        <f>IF(OR('Part III-Sources of Funds'!E5="Yes",'Part III-Sources of Funds'!H5&gt;0),'DCA Underwriting Assumptions'!$Q$96,0)</f>
        <v>0</v>
      </c>
      <c r="H6" s="16"/>
      <c r="I6" s="16"/>
      <c r="J6" s="16"/>
      <c r="K6" s="16"/>
      <c r="N6" s="3502"/>
      <c r="O6" s="3504"/>
    </row>
    <row r="7" spans="1:19">
      <c r="A7" s="16" t="s">
        <v>2191</v>
      </c>
      <c r="B7" s="78">
        <v>0.03</v>
      </c>
      <c r="C7" s="3598"/>
      <c r="D7" s="80" t="s">
        <v>270</v>
      </c>
      <c r="G7" s="83"/>
      <c r="H7" s="99" t="s">
        <v>2374</v>
      </c>
      <c r="K7" s="104">
        <f>IF(($B$14+$B$15+$B$16+$B$17)=0,"",-B21/($B$14+$B$15+$B$16+$B$17))</f>
        <v>4.9999982482557118E-2</v>
      </c>
      <c r="N7" s="3502"/>
      <c r="O7" s="3504"/>
    </row>
    <row r="8" spans="1:19" ht="13.35" customHeight="1">
      <c r="A8" s="16" t="s">
        <v>2190</v>
      </c>
      <c r="B8" s="249">
        <v>7.0000000000000007E-2</v>
      </c>
      <c r="C8" s="2560" t="str">
        <f>IF(B8&lt;0.07, "Must be &gt;= 7%!","")</f>
        <v/>
      </c>
      <c r="D8" s="79" t="s">
        <v>2508</v>
      </c>
      <c r="G8" s="2592" t="s">
        <v>2990</v>
      </c>
      <c r="H8" s="182" t="s">
        <v>1444</v>
      </c>
      <c r="K8" s="2594">
        <v>131526</v>
      </c>
      <c r="N8" s="3502"/>
      <c r="O8" s="3504"/>
    </row>
    <row r="9" spans="1:19">
      <c r="A9" s="16" t="s">
        <v>1418</v>
      </c>
      <c r="B9" s="78">
        <v>0.02</v>
      </c>
      <c r="D9" s="79" t="s">
        <v>1718</v>
      </c>
      <c r="G9" s="2593"/>
      <c r="H9" s="182" t="s">
        <v>2356</v>
      </c>
      <c r="K9" s="2595"/>
      <c r="N9" s="3506"/>
      <c r="O9" s="3508"/>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2624</v>
      </c>
      <c r="O13" s="3223"/>
    </row>
    <row r="14" spans="1:19" ht="13.35" customHeight="1">
      <c r="A14" s="18" t="s">
        <v>2404</v>
      </c>
      <c r="B14" s="19">
        <f>'Part VI-Revenues &amp; Expenses'!$L$49</f>
        <v>2773056</v>
      </c>
      <c r="C14" s="19">
        <f t="shared" ref="C14:K14" si="1">$B$14*(1+$B$5)^(C13-1)</f>
        <v>2828517.12</v>
      </c>
      <c r="D14" s="19">
        <f t="shared" si="1"/>
        <v>2885087.4624000001</v>
      </c>
      <c r="E14" s="19">
        <f t="shared" si="1"/>
        <v>2942789.2116479999</v>
      </c>
      <c r="F14" s="19">
        <f t="shared" si="1"/>
        <v>3001644.99588096</v>
      </c>
      <c r="G14" s="19">
        <f t="shared" si="1"/>
        <v>3061677.8957985793</v>
      </c>
      <c r="H14" s="19">
        <f t="shared" si="1"/>
        <v>3122911.4537145509</v>
      </c>
      <c r="I14" s="19">
        <f t="shared" si="1"/>
        <v>3185369.6827888414</v>
      </c>
      <c r="J14" s="19">
        <f t="shared" si="1"/>
        <v>3249077.0764446184</v>
      </c>
      <c r="K14" s="20">
        <f t="shared" si="1"/>
        <v>3314058.6179735106</v>
      </c>
      <c r="N14" s="3497"/>
      <c r="O14" s="3499"/>
      <c r="S14" s="3589" t="s">
        <v>4187</v>
      </c>
    </row>
    <row r="15" spans="1:19" ht="13.35" customHeight="1">
      <c r="A15" s="21" t="s">
        <v>1016</v>
      </c>
      <c r="B15" s="22">
        <f>MIN(B14*B9,'Part VI-Revenues &amp; Expenses'!$H$173)</f>
        <v>55461.120000000003</v>
      </c>
      <c r="C15" s="22">
        <f t="shared" ref="C15:K15" si="2">$B$15*(1+$B$5)^(C13-1)</f>
        <v>56570.342400000001</v>
      </c>
      <c r="D15" s="22">
        <f t="shared" si="2"/>
        <v>57701.749248</v>
      </c>
      <c r="E15" s="22">
        <f t="shared" si="2"/>
        <v>58855.784232959995</v>
      </c>
      <c r="F15" s="22">
        <f t="shared" si="2"/>
        <v>60032.899917619201</v>
      </c>
      <c r="G15" s="22">
        <f t="shared" si="2"/>
        <v>61233.557915971585</v>
      </c>
      <c r="H15" s="22">
        <f t="shared" si="2"/>
        <v>62458.229074291019</v>
      </c>
      <c r="I15" s="22">
        <f t="shared" si="2"/>
        <v>63707.393655776832</v>
      </c>
      <c r="J15" s="22">
        <f t="shared" si="2"/>
        <v>64981.541528892369</v>
      </c>
      <c r="K15" s="23">
        <f t="shared" si="2"/>
        <v>66281.17235947022</v>
      </c>
      <c r="N15" s="3502"/>
      <c r="O15" s="3504"/>
      <c r="S15" s="3590"/>
    </row>
    <row r="16" spans="1:19" ht="13.35" customHeight="1">
      <c r="A16" s="21" t="s">
        <v>2405</v>
      </c>
      <c r="B16" s="22">
        <f t="shared" ref="B16:K16" si="3">-(B14+B15)*$B$8</f>
        <v>-197996.19840000002</v>
      </c>
      <c r="C16" s="22">
        <f t="shared" si="3"/>
        <v>-201956.12236800001</v>
      </c>
      <c r="D16" s="22">
        <f t="shared" si="3"/>
        <v>-205995.24481536003</v>
      </c>
      <c r="E16" s="22">
        <f t="shared" si="3"/>
        <v>-210115.14971166721</v>
      </c>
      <c r="F16" s="22">
        <f t="shared" si="3"/>
        <v>-214317.45270590056</v>
      </c>
      <c r="G16" s="22">
        <f t="shared" si="3"/>
        <v>-218603.8017600186</v>
      </c>
      <c r="H16" s="22">
        <f t="shared" si="3"/>
        <v>-222975.87779521896</v>
      </c>
      <c r="I16" s="22">
        <f t="shared" si="3"/>
        <v>-227435.3953511233</v>
      </c>
      <c r="J16" s="22">
        <f t="shared" si="3"/>
        <v>-231984.10325814577</v>
      </c>
      <c r="K16" s="23">
        <f t="shared" si="3"/>
        <v>-236623.78532330869</v>
      </c>
      <c r="N16" s="3502"/>
      <c r="O16" s="3504"/>
      <c r="Q16" s="3592" t="s">
        <v>3883</v>
      </c>
      <c r="R16" s="3592" t="s">
        <v>4186</v>
      </c>
      <c r="S16" s="3590"/>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2"/>
      <c r="O17" s="3504"/>
      <c r="Q17" s="3592"/>
      <c r="R17" s="3592"/>
      <c r="S17" s="3591"/>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2"/>
      <c r="O18" s="3504"/>
    </row>
    <row r="19" spans="1:19" ht="13.35" customHeight="1">
      <c r="A19" s="483" t="s">
        <v>4942</v>
      </c>
      <c r="B19" s="22">
        <f>SUM(B14:B18)</f>
        <v>2630520.9216</v>
      </c>
      <c r="C19" s="22">
        <f t="shared" ref="C19:K19" si="4">SUM(C14:C18)</f>
        <v>2683131.3400320001</v>
      </c>
      <c r="D19" s="22">
        <f t="shared" si="4"/>
        <v>2736793.9668326401</v>
      </c>
      <c r="E19" s="22">
        <f t="shared" si="4"/>
        <v>2791529.8461692929</v>
      </c>
      <c r="F19" s="22">
        <f t="shared" si="4"/>
        <v>2847360.4430926787</v>
      </c>
      <c r="G19" s="22">
        <f t="shared" si="4"/>
        <v>2904307.6519545321</v>
      </c>
      <c r="H19" s="22">
        <f t="shared" si="4"/>
        <v>2962393.8049936229</v>
      </c>
      <c r="I19" s="22">
        <f t="shared" si="4"/>
        <v>3021641.6810934953</v>
      </c>
      <c r="J19" s="22">
        <f t="shared" si="4"/>
        <v>3082074.5147153647</v>
      </c>
      <c r="K19" s="23">
        <f t="shared" si="4"/>
        <v>3143716.0050096721</v>
      </c>
      <c r="N19" s="3502"/>
      <c r="O19" s="3504"/>
    </row>
    <row r="20" spans="1:19" ht="13.35" customHeight="1">
      <c r="A20" s="21" t="s">
        <v>614</v>
      </c>
      <c r="B20" s="22">
        <f>-('Part VI-Revenues &amp; Expenses'!$P$226-'Part VI-Revenues &amp; Expenses'!$P$221)</f>
        <v>-1113645</v>
      </c>
      <c r="C20" s="22">
        <f t="shared" ref="C20:K20" si="5">$B$20*(1+$B$6)^(C13-1)</f>
        <v>-1147054.3500000001</v>
      </c>
      <c r="D20" s="22">
        <f t="shared" si="5"/>
        <v>-1181465.9805000001</v>
      </c>
      <c r="E20" s="22">
        <f t="shared" si="5"/>
        <v>-1216909.959915</v>
      </c>
      <c r="F20" s="22">
        <f t="shared" si="5"/>
        <v>-1253417.2587124498</v>
      </c>
      <c r="G20" s="22">
        <f t="shared" si="5"/>
        <v>-1291019.7764738232</v>
      </c>
      <c r="H20" s="22">
        <f t="shared" si="5"/>
        <v>-1329750.3697680382</v>
      </c>
      <c r="I20" s="22">
        <f t="shared" si="5"/>
        <v>-1369642.8808610793</v>
      </c>
      <c r="J20" s="22">
        <f t="shared" si="5"/>
        <v>-1410732.1672869115</v>
      </c>
      <c r="K20" s="23">
        <f t="shared" si="5"/>
        <v>-1453054.132305519</v>
      </c>
      <c r="N20" s="3502"/>
      <c r="O20" s="3504"/>
      <c r="Q20" s="62">
        <v>1</v>
      </c>
      <c r="R20" s="1333">
        <f>-B31</f>
        <v>260005.55726175662</v>
      </c>
      <c r="S20" s="1333">
        <f>B32+R20</f>
        <v>260005.55726175662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-131526</v>
      </c>
      <c r="C21" s="22">
        <f>IF(AND('Part VII-Pro Forma'!$G$8="Yes",'Part VII-Pro Forma'!$G$9="Yes"),"Choose One!",IF('Part VII-Pro Forma'!$G$8="Yes",ROUND((-$K$8*(1+'Part VII-Pro Forma'!$B$6)^('Part VII-Pro Forma'!C13-1)),),IF('Part VII-Pro Forma'!$G$9="Yes",ROUND((-(SUM(C14:C17)*'Part VII-Pro Forma'!$K$9)),),"Choose mgt fee")))</f>
        <v>-135472</v>
      </c>
      <c r="D21" s="22">
        <f>IF(AND('Part VII-Pro Forma'!$G$8="Yes",'Part VII-Pro Forma'!$G$9="Yes"),"Choose One!",IF('Part VII-Pro Forma'!$G$8="Yes",ROUND((-$K$8*(1+'Part VII-Pro Forma'!$B$6)^('Part VII-Pro Forma'!D13-1)),),IF('Part VII-Pro Forma'!$G$9="Yes",ROUND((-(SUM(D14:D17)*'Part VII-Pro Forma'!$K$9)),),"Choose mgt fee")))</f>
        <v>-139536</v>
      </c>
      <c r="E21" s="22">
        <f>IF(AND('Part VII-Pro Forma'!$G$8="Yes",'Part VII-Pro Forma'!$G$9="Yes"),"Choose One!",IF('Part VII-Pro Forma'!$G$8="Yes",ROUND((-$K$8*(1+'Part VII-Pro Forma'!$B$6)^('Part VII-Pro Forma'!E13-1)),),IF('Part VII-Pro Forma'!$G$9="Yes",ROUND((-(SUM(E14:E17)*'Part VII-Pro Forma'!$K$9)),),"Choose mgt fee")))</f>
        <v>-143722</v>
      </c>
      <c r="F21" s="22">
        <f>IF(AND('Part VII-Pro Forma'!$G$8="Yes",'Part VII-Pro Forma'!$G$9="Yes"),"Choose One!",IF('Part VII-Pro Forma'!$G$8="Yes",ROUND((-$K$8*(1+'Part VII-Pro Forma'!$B$6)^('Part VII-Pro Forma'!F13-1)),),IF('Part VII-Pro Forma'!$G$9="Yes",ROUND((-(SUM(F14:F17)*'Part VII-Pro Forma'!$K$9)),),"Choose mgt fee")))</f>
        <v>-148034</v>
      </c>
      <c r="G21" s="22">
        <f>IF(AND('Part VII-Pro Forma'!$G$8="Yes",'Part VII-Pro Forma'!$G$9="Yes"),"Choose One!",IF('Part VII-Pro Forma'!$G$8="Yes",ROUND((-$K$8*(1+'Part VII-Pro Forma'!$B$6)^('Part VII-Pro Forma'!G13-1)),),IF('Part VII-Pro Forma'!$G$9="Yes",ROUND((-(SUM(G14:G17)*'Part VII-Pro Forma'!$K$9)),),"Choose mgt fee")))</f>
        <v>-152475</v>
      </c>
      <c r="H21" s="22">
        <f>IF(AND('Part VII-Pro Forma'!$G$8="Yes",'Part VII-Pro Forma'!$G$9="Yes"),"Choose One!",IF('Part VII-Pro Forma'!$G$8="Yes",ROUND((-$K$8*(1+'Part VII-Pro Forma'!$B$6)^('Part VII-Pro Forma'!H13-1)),),IF('Part VII-Pro Forma'!$G$9="Yes",ROUND((-(SUM(H14:H17)*'Part VII-Pro Forma'!$K$9)),),"Choose mgt fee")))</f>
        <v>-157049</v>
      </c>
      <c r="I21" s="22">
        <f>IF(AND('Part VII-Pro Forma'!$G$8="Yes",'Part VII-Pro Forma'!$G$9="Yes"),"Choose One!",IF('Part VII-Pro Forma'!$G$8="Yes",ROUND((-$K$8*(1+'Part VII-Pro Forma'!$B$6)^('Part VII-Pro Forma'!I13-1)),),IF('Part VII-Pro Forma'!$G$9="Yes",ROUND((-(SUM(I14:I17)*'Part VII-Pro Forma'!$K$9)),),"Choose mgt fee")))</f>
        <v>-161760</v>
      </c>
      <c r="J21" s="22">
        <f>IF(AND('Part VII-Pro Forma'!$G$8="Yes",'Part VII-Pro Forma'!$G$9="Yes"),"Choose One!",IF('Part VII-Pro Forma'!$G$8="Yes",ROUND((-$K$8*(1+'Part VII-Pro Forma'!$B$6)^('Part VII-Pro Forma'!J13-1)),),IF('Part VII-Pro Forma'!$G$9="Yes",ROUND((-(SUM(J14:J17)*'Part VII-Pro Forma'!$K$9)),),"Choose mgt fee")))</f>
        <v>-166613</v>
      </c>
      <c r="K21" s="23">
        <f>IF(AND('Part VII-Pro Forma'!$G$8="Yes",'Part VII-Pro Forma'!$G$9="Yes"),"Choose One!",IF('Part VII-Pro Forma'!$G$8="Yes",ROUND((-$K$8*(1+'Part VII-Pro Forma'!$B$6)^('Part VII-Pro Forma'!K13-1)),),IF('Part VII-Pro Forma'!$G$9="Yes",ROUND((-(SUM(K14:K17)*'Part VII-Pro Forma'!$K$9)),),"Choose mgt fee")))</f>
        <v>-171612</v>
      </c>
      <c r="N21" s="3502"/>
      <c r="O21" s="3504"/>
      <c r="Q21" s="62">
        <v>2</v>
      </c>
      <c r="R21" s="1333">
        <f>-SUM(B31:C31)</f>
        <v>533286.55726175662</v>
      </c>
      <c r="S21" s="1333">
        <f>SUM(B32:C32)+R21</f>
        <v>533286.18295551324</v>
      </c>
    </row>
    <row r="22" spans="1:19" ht="13.35" customHeight="1">
      <c r="A22" s="21" t="s">
        <v>1202</v>
      </c>
      <c r="B22" s="22">
        <f>-('Part VI-Revenues &amp; Expenses'!$P$230)</f>
        <v>-61000</v>
      </c>
      <c r="C22" s="22">
        <f t="shared" ref="C22:K22" si="6">$B$22*(1+$B$7)^(C13-1)</f>
        <v>-62830</v>
      </c>
      <c r="D22" s="22">
        <f t="shared" si="6"/>
        <v>-64714.899999999994</v>
      </c>
      <c r="E22" s="22">
        <f t="shared" si="6"/>
        <v>-66656.346999999994</v>
      </c>
      <c r="F22" s="22">
        <f t="shared" si="6"/>
        <v>-68656.03740999999</v>
      </c>
      <c r="G22" s="22">
        <f t="shared" si="6"/>
        <v>-70715.718532299987</v>
      </c>
      <c r="H22" s="22">
        <f t="shared" si="6"/>
        <v>-72837.190088268995</v>
      </c>
      <c r="I22" s="22">
        <f t="shared" si="6"/>
        <v>-75022.305790917075</v>
      </c>
      <c r="J22" s="22">
        <f t="shared" si="6"/>
        <v>-77272.974964644571</v>
      </c>
      <c r="K22" s="23">
        <f t="shared" si="6"/>
        <v>-79591.164213583907</v>
      </c>
      <c r="N22" s="3502"/>
      <c r="O22" s="3504"/>
      <c r="Q22" s="62">
        <v>3</v>
      </c>
      <c r="R22" s="1333">
        <f>-SUM(B31:D31)</f>
        <v>819714.55726175662</v>
      </c>
      <c r="S22" s="1333">
        <f>SUM(B32:D32)+R22</f>
        <v>819714.40494991001</v>
      </c>
    </row>
    <row r="23" spans="1:19" ht="13.35" customHeight="1">
      <c r="A23" s="483" t="s">
        <v>4941</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02"/>
      <c r="O23" s="3504"/>
      <c r="Q23" s="1125">
        <v>10</v>
      </c>
      <c r="R23" s="1333">
        <f>-SUM(B28:K28)</f>
        <v>0</v>
      </c>
      <c r="S23" s="1333">
        <f>SUM(B29:K29)+R23</f>
        <v>0</v>
      </c>
    </row>
    <row r="24" spans="1:19" ht="13.35" customHeight="1">
      <c r="A24" s="21" t="s">
        <v>1203</v>
      </c>
      <c r="B24" s="22">
        <f>SUM(B19:B23)</f>
        <v>1324349.9216</v>
      </c>
      <c r="C24" s="22">
        <f t="shared" ref="C24:J24" si="7">SUM(C19:C23)</f>
        <v>1337774.990032</v>
      </c>
      <c r="D24" s="22">
        <f t="shared" si="7"/>
        <v>1351077.0863326401</v>
      </c>
      <c r="E24" s="22">
        <f t="shared" si="7"/>
        <v>1364241.5392542928</v>
      </c>
      <c r="F24" s="22">
        <f t="shared" si="7"/>
        <v>1377253.1469702288</v>
      </c>
      <c r="G24" s="22">
        <f t="shared" si="7"/>
        <v>1390097.1569484088</v>
      </c>
      <c r="H24" s="22">
        <f t="shared" si="7"/>
        <v>1402757.2451373157</v>
      </c>
      <c r="I24" s="22">
        <f t="shared" si="7"/>
        <v>1415216.494441499</v>
      </c>
      <c r="J24" s="22">
        <f t="shared" si="7"/>
        <v>1427456.3724638086</v>
      </c>
      <c r="K24" s="2567">
        <f>SUM(K19:K23)</f>
        <v>1439458.7084905694</v>
      </c>
      <c r="N24" s="3502"/>
      <c r="O24" s="3504"/>
      <c r="Q24" s="1125">
        <v>4</v>
      </c>
      <c r="R24" s="1333">
        <f>-SUM(B31:E31)</f>
        <v>1119148.5572617566</v>
      </c>
      <c r="S24" s="1333">
        <f>SUM(B32:E32)+R24</f>
        <v>1119147.9448659595</v>
      </c>
    </row>
    <row r="25" spans="1:19" ht="13.35" customHeight="1">
      <c r="A25" s="483" t="s">
        <v>1591</v>
      </c>
      <c r="B25" s="485">
        <f>IF('Part III-Sources of Funds'!$P$38="", 0,-'Part III-Sources of Funds'!$P$38)</f>
        <v>-1059344.3643382434</v>
      </c>
      <c r="C25" s="485">
        <f>IF('Part III-Sources of Funds'!$P$38="", 0,-'Part III-Sources of Funds'!$P$38)</f>
        <v>-1059344.3643382434</v>
      </c>
      <c r="D25" s="485">
        <f>IF('Part III-Sources of Funds'!$P$38="", 0,-'Part III-Sources of Funds'!$P$38)</f>
        <v>-1059344.3643382434</v>
      </c>
      <c r="E25" s="485">
        <f>IF('Part III-Sources of Funds'!$P$38="", 0,-'Part III-Sources of Funds'!$P$38)</f>
        <v>-1059344.3643382434</v>
      </c>
      <c r="F25" s="485">
        <f>IF('Part III-Sources of Funds'!$P$38="", 0,-'Part III-Sources of Funds'!$P$38)</f>
        <v>-1059344.3643382434</v>
      </c>
      <c r="G25" s="485">
        <f>IF('Part III-Sources of Funds'!$P$38="", 0,-'Part III-Sources of Funds'!$P$38)</f>
        <v>-1059344.3643382434</v>
      </c>
      <c r="H25" s="485">
        <f>IF('Part III-Sources of Funds'!$P$38="", 0,-'Part III-Sources of Funds'!$P$38)</f>
        <v>-1059344.3643382434</v>
      </c>
      <c r="I25" s="485">
        <f>IF('Part III-Sources of Funds'!$P$38="", 0,-'Part III-Sources of Funds'!$P$38)</f>
        <v>-1059344.3643382434</v>
      </c>
      <c r="J25" s="485">
        <f>IF('Part III-Sources of Funds'!$P$38="", 0,-'Part III-Sources of Funds'!$P$38)</f>
        <v>-1059344.3643382434</v>
      </c>
      <c r="K25" s="485">
        <f>IF('Part III-Sources of Funds'!$P$38="", 0,-'Part III-Sources of Funds'!$P$38)</f>
        <v>-1059344.3643382434</v>
      </c>
      <c r="N25" s="3502"/>
      <c r="O25" s="3504"/>
      <c r="Q25" s="1125">
        <v>5</v>
      </c>
      <c r="R25" s="1333">
        <f>-SUM(B31:F31)</f>
        <v>1431429.5572617566</v>
      </c>
      <c r="S25" s="1333">
        <f>SUM(B32:F32)+R25</f>
        <v>1431429.1834479449</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2"/>
      <c r="O26" s="3504"/>
      <c r="Q26" s="1125">
        <v>6</v>
      </c>
      <c r="R26" s="1333">
        <f>-SUM(B31:G31)</f>
        <v>1573026.5572617566</v>
      </c>
      <c r="S26" s="1333">
        <f>SUM(B32:G32)+R26</f>
        <v>1756385.6056866103</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2"/>
      <c r="O27" s="3504"/>
      <c r="Q27" s="1125">
        <v>7</v>
      </c>
      <c r="R27" s="1333">
        <f>-SUM(B31:H31)</f>
        <v>1573026.5572617566</v>
      </c>
      <c r="S27" s="1333">
        <f>SUM(B32:H32)+R27</f>
        <v>2093828.2250030376</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2"/>
      <c r="O28" s="3504"/>
      <c r="Q28" s="1125">
        <v>8</v>
      </c>
      <c r="R28" s="1333">
        <f>-SUM(B31:I31)</f>
        <v>1573026.5572617566</v>
      </c>
      <c r="S28" s="1333">
        <f>SUM(B32:I32)+R28</f>
        <v>2443550.985779169</v>
      </c>
    </row>
    <row r="29" spans="1:19" ht="13.35" customHeight="1">
      <c r="A29" s="21" t="s">
        <v>763</v>
      </c>
      <c r="B29" s="180"/>
      <c r="C29" s="180"/>
      <c r="D29" s="180"/>
      <c r="E29" s="180"/>
      <c r="F29" s="180"/>
      <c r="G29" s="180"/>
      <c r="H29" s="180"/>
      <c r="I29" s="180"/>
      <c r="J29" s="180"/>
      <c r="K29" s="180"/>
      <c r="N29" s="3502"/>
      <c r="O29" s="3504"/>
      <c r="Q29" s="1125">
        <v>9</v>
      </c>
      <c r="R29" s="1333">
        <f>-SUM(B31:J31)</f>
        <v>1573026.5572617566</v>
      </c>
      <c r="S29" s="1333">
        <f>SUM(B32:J32)+R29</f>
        <v>2805329.1434977958</v>
      </c>
    </row>
    <row r="30" spans="1:19" ht="13.35" customHeight="1">
      <c r="A30" s="483" t="s">
        <v>1163</v>
      </c>
      <c r="B30" s="1428">
        <v>-5000</v>
      </c>
      <c r="C30" s="1428">
        <v>-5150</v>
      </c>
      <c r="D30" s="1428">
        <v>-5304.5</v>
      </c>
      <c r="E30" s="1428">
        <v>-5463.6350000000002</v>
      </c>
      <c r="F30" s="1428">
        <v>-5627.5440500000004</v>
      </c>
      <c r="G30" s="1428">
        <v>-5796.3703715000001</v>
      </c>
      <c r="H30" s="1428">
        <v>-5970.2614826449999</v>
      </c>
      <c r="I30" s="1428">
        <v>-6149.3693271243501</v>
      </c>
      <c r="J30" s="1428">
        <v>-6333.8504069380806</v>
      </c>
      <c r="K30" s="1428">
        <v>-6523.865919146223</v>
      </c>
      <c r="N30" s="3502"/>
      <c r="O30" s="3504"/>
      <c r="Q30" s="1125">
        <v>10</v>
      </c>
      <c r="R30" s="1333">
        <f>-SUM(B31:K31)</f>
        <v>1573026.5572617566</v>
      </c>
      <c r="S30" s="1333">
        <f>SUM(B32:K32)+R30</f>
        <v>3178919.6217309758</v>
      </c>
    </row>
    <row r="31" spans="1:19" ht="13.35" customHeight="1">
      <c r="A31" s="483" t="s">
        <v>4084</v>
      </c>
      <c r="B31" s="242">
        <f>-SUM(B24:B30)</f>
        <v>-260005.55726175662</v>
      </c>
      <c r="C31" s="242">
        <v>-273281</v>
      </c>
      <c r="D31" s="242">
        <v>-286428</v>
      </c>
      <c r="E31" s="242">
        <v>-299434</v>
      </c>
      <c r="F31" s="242">
        <v>-312281</v>
      </c>
      <c r="G31" s="242">
        <v>-141597</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2"/>
      <c r="O31" s="3504"/>
      <c r="Q31" s="1125">
        <v>11</v>
      </c>
      <c r="R31" s="1333">
        <f>-SUM(B31:K31)-B63</f>
        <v>1573026.5572617566</v>
      </c>
      <c r="S31" s="1333">
        <f>SUM(B32:K32)+B64+R31</f>
        <v>3564061.3451912021</v>
      </c>
    </row>
    <row r="32" spans="1:19" ht="13.35" customHeight="1">
      <c r="A32" s="21" t="s">
        <v>1164</v>
      </c>
      <c r="B32" s="22">
        <f t="shared" ref="B32:K32" si="8">SUM(B24:B31)</f>
        <v>0</v>
      </c>
      <c r="C32" s="22">
        <f t="shared" si="8"/>
        <v>-0.37430624337866902</v>
      </c>
      <c r="D32" s="22">
        <f t="shared" si="8"/>
        <v>0.22199439676478505</v>
      </c>
      <c r="E32" s="22">
        <f t="shared" si="8"/>
        <v>-0.46008395054377615</v>
      </c>
      <c r="F32" s="22">
        <f t="shared" si="8"/>
        <v>0.23858198535162956</v>
      </c>
      <c r="G32" s="22">
        <f t="shared" si="8"/>
        <v>183359.42223866546</v>
      </c>
      <c r="H32" s="22">
        <f t="shared" si="8"/>
        <v>337442.61931642733</v>
      </c>
      <c r="I32" s="22">
        <f t="shared" si="8"/>
        <v>349722.7607761313</v>
      </c>
      <c r="J32" s="22">
        <f t="shared" si="8"/>
        <v>361778.15771862719</v>
      </c>
      <c r="K32" s="23">
        <f t="shared" si="8"/>
        <v>373590.47823317978</v>
      </c>
      <c r="N32" s="3502"/>
      <c r="O32" s="3504"/>
      <c r="Q32" s="1125">
        <v>12</v>
      </c>
      <c r="R32" s="1333">
        <f>-SUM(B31:K31) - SUM(B63:C63)</f>
        <v>1573026.5572617566</v>
      </c>
      <c r="S32" s="1333">
        <f>SUM(B32:K32) + SUM(B64:C64)+R32</f>
        <v>3960471.5480342833</v>
      </c>
    </row>
    <row r="33" spans="1:19" ht="13.35" customHeight="1">
      <c r="A33" s="21" t="str">
        <f>IF('Part III-Sources of Funds'!$E$38 = "Neither", "", "DCR Mortgage A")</f>
        <v>DCR Mortgage A</v>
      </c>
      <c r="B33" s="24">
        <f t="shared" ref="B33:K33" si="9">IF(B25=0,"",-B24/B25)</f>
        <v>1.2501599726990587</v>
      </c>
      <c r="C33" s="24">
        <f t="shared" si="9"/>
        <v>1.2628329701529002</v>
      </c>
      <c r="D33" s="24">
        <f t="shared" si="9"/>
        <v>1.2753898843617655</v>
      </c>
      <c r="E33" s="24">
        <f t="shared" si="9"/>
        <v>1.2878168659598375</v>
      </c>
      <c r="F33" s="24">
        <f t="shared" si="9"/>
        <v>1.3000995647251856</v>
      </c>
      <c r="G33" s="24">
        <f t="shared" si="9"/>
        <v>1.3122240545611263</v>
      </c>
      <c r="H33" s="24">
        <f t="shared" si="9"/>
        <v>1.3241749258878601</v>
      </c>
      <c r="I33" s="24">
        <f t="shared" si="9"/>
        <v>1.3359362093039158</v>
      </c>
      <c r="J33" s="24">
        <f t="shared" si="9"/>
        <v>1.3474904105951602</v>
      </c>
      <c r="K33" s="25">
        <f t="shared" si="9"/>
        <v>1.3588203769694642</v>
      </c>
      <c r="N33" s="3502"/>
      <c r="O33" s="3504"/>
      <c r="Q33" s="1125">
        <v>13</v>
      </c>
      <c r="R33" s="1333">
        <f>-SUM(B31:K31) - SUM(B63:D63)</f>
        <v>1573026.5572617566</v>
      </c>
      <c r="S33" s="1333">
        <f>SUM(B32:K32) + SUM(B64:D64)+R33</f>
        <v>4367847.0565766841</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502"/>
      <c r="O34" s="3504"/>
      <c r="Q34" s="1125">
        <v>14</v>
      </c>
      <c r="R34" s="1333">
        <f>-SUM(B31:K31) - SUM(B63:E63)</f>
        <v>1573026.5572617566</v>
      </c>
      <c r="S34" s="1333">
        <f>SUM(B32:K32) + SUM(B64:E64)+R34</f>
        <v>4785863.5455630599</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502"/>
      <c r="O35" s="3504"/>
      <c r="Q35" s="1125">
        <v>15</v>
      </c>
      <c r="R35" s="1333">
        <f>-SUM(B31:K31) - SUM(B63:F63)</f>
        <v>1573026.5572617566</v>
      </c>
      <c r="S35" s="1333">
        <f>SUM(B32:K32) + SUM(B64:F64)+R35</f>
        <v>5214171.7670918833</v>
      </c>
    </row>
    <row r="36" spans="1:19" ht="13.35" customHeight="1">
      <c r="A36" s="21" t="s">
        <v>783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502"/>
      <c r="O36" s="3504"/>
      <c r="Q36" s="62">
        <v>16</v>
      </c>
      <c r="R36" s="1333">
        <f>-SUM(B31:K31) - SUM(B63:G63)</f>
        <v>1573026.5572617566</v>
      </c>
      <c r="S36" s="1333">
        <f>SUM(B32:K32) + SUM(B64:G64)+R36</f>
        <v>5660190.5883612838</v>
      </c>
    </row>
    <row r="37" spans="1:19" ht="13.35" customHeight="1">
      <c r="A37" s="483" t="s">
        <v>3712</v>
      </c>
      <c r="B37" s="24">
        <f t="shared" ref="B37:K37" si="13">IF(AND(B25=0,B26=0,B27=0,B28=0),"",-B24/(B25+B26+B27+B28))</f>
        <v>1.2501599726990587</v>
      </c>
      <c r="C37" s="24">
        <f t="shared" si="13"/>
        <v>1.2628329701529002</v>
      </c>
      <c r="D37" s="24">
        <f t="shared" si="13"/>
        <v>1.2753898843617655</v>
      </c>
      <c r="E37" s="24">
        <f t="shared" si="13"/>
        <v>1.2878168659598375</v>
      </c>
      <c r="F37" s="24">
        <f t="shared" si="13"/>
        <v>1.3000995647251856</v>
      </c>
      <c r="G37" s="24">
        <f t="shared" si="13"/>
        <v>1.3122240545611263</v>
      </c>
      <c r="H37" s="24">
        <f t="shared" si="13"/>
        <v>1.3241749258878601</v>
      </c>
      <c r="I37" s="24">
        <f t="shared" si="13"/>
        <v>1.3359362093039158</v>
      </c>
      <c r="J37" s="24">
        <f t="shared" si="13"/>
        <v>1.3474904105951602</v>
      </c>
      <c r="K37" s="25">
        <f t="shared" si="13"/>
        <v>1.3588203769694642</v>
      </c>
      <c r="N37" s="3502"/>
      <c r="O37" s="3504"/>
      <c r="Q37" s="62">
        <v>17</v>
      </c>
      <c r="R37" s="1333">
        <f>-SUM(B31:K31) - SUM(B63:H63)</f>
        <v>1573026.5572617566</v>
      </c>
      <c r="S37" s="1333">
        <f>SUM(B32:K32) + SUM(B64:H64)+R37</f>
        <v>6115966.3469821084</v>
      </c>
    </row>
    <row r="38" spans="1:19" ht="13.35" customHeight="1">
      <c r="A38" s="21" t="s">
        <v>770</v>
      </c>
      <c r="B38" s="296">
        <f t="shared" ref="B38:K38" si="14">IF(OR(B21="Choose mgt fee",B21="Choose One!"),"",(B14+B15+B16+B17+B18) / -(B20+B21+B22))</f>
        <v>2.0139177195022704</v>
      </c>
      <c r="C38" s="296">
        <f t="shared" si="14"/>
        <v>1.9943647941543516</v>
      </c>
      <c r="D38" s="296">
        <f t="shared" si="14"/>
        <v>1.9750022572036063</v>
      </c>
      <c r="E38" s="296">
        <f t="shared" si="14"/>
        <v>1.9558275876322568</v>
      </c>
      <c r="F38" s="296">
        <f t="shared" si="14"/>
        <v>1.9368385223329392</v>
      </c>
      <c r="G38" s="296">
        <f t="shared" si="14"/>
        <v>1.9180342901683476</v>
      </c>
      <c r="H38" s="296">
        <f t="shared" si="14"/>
        <v>1.8994129024947677</v>
      </c>
      <c r="I38" s="296">
        <f t="shared" si="14"/>
        <v>1.8809725508543591</v>
      </c>
      <c r="J38" s="296">
        <f t="shared" si="14"/>
        <v>1.8627104562756502</v>
      </c>
      <c r="K38" s="297">
        <f t="shared" si="14"/>
        <v>1.8446252284972597</v>
      </c>
      <c r="N38" s="3502"/>
      <c r="O38" s="3504"/>
      <c r="Q38" s="62">
        <v>18</v>
      </c>
      <c r="R38" s="1333">
        <f>-SUM(B31:K31) - SUM(B63:I63)</f>
        <v>1573026.5572617566</v>
      </c>
      <c r="S38" s="1333">
        <f>SUM(B32:K32) + SUM(B64:I64)+R38</f>
        <v>6581085.1241105627</v>
      </c>
    </row>
    <row r="39" spans="1:19" ht="13.35" customHeight="1">
      <c r="A39" s="483" t="s">
        <v>2617</v>
      </c>
      <c r="B39" s="240">
        <f>IF('Part III-Sources of Funds'!$I$38="","",-FV('Part III-Sources of Funds'!$K$38/12,12,B25/12,'Part III-Sources of Funds'!$I$38))</f>
        <v>20757532.064481884</v>
      </c>
      <c r="C39" s="240">
        <f>IF('Part III-Sources of Funds'!$I$38="","",-FV('Part III-Sources of Funds'!$K$38/12,12,C25/12,B39))</f>
        <v>20440257.805174336</v>
      </c>
      <c r="D39" s="240">
        <f>IF('Part III-Sources of Funds'!$I$38="","",-FV('Part III-Sources of Funds'!$K$38/12,12,D25/12,C39))</f>
        <v>20111371.3142302</v>
      </c>
      <c r="E39" s="240">
        <f>IF('Part III-Sources of Funds'!$I$38="","",-FV('Part III-Sources of Funds'!$K$38/12,12,E25/12,D39))</f>
        <v>19770447.584200475</v>
      </c>
      <c r="F39" s="240">
        <f>IF('Part III-Sources of Funds'!$I$38="","",-FV('Part III-Sources of Funds'!$K$38/12,12,F25/12,E39))</f>
        <v>19417046.052371908</v>
      </c>
      <c r="G39" s="240">
        <f>IF('Part III-Sources of Funds'!$I$38="","",-FV('Part III-Sources of Funds'!$K$38/12,12,G25/12,F39))</f>
        <v>19050710.03144462</v>
      </c>
      <c r="H39" s="240">
        <f>IF('Part III-Sources of Funds'!$I$38="","",-FV('Part III-Sources of Funds'!$K$38/12,12,H25/12,G39))</f>
        <v>18670966.119372562</v>
      </c>
      <c r="I39" s="240">
        <f>IF('Part III-Sources of Funds'!$I$38="","",-FV('Part III-Sources of Funds'!$K$38/12,12,I25/12,H39))</f>
        <v>18277323.587604128</v>
      </c>
      <c r="J39" s="240">
        <f>IF('Part III-Sources of Funds'!$I$38="","",-FV('Part III-Sources of Funds'!$K$38/12,12,J25/12,I39))</f>
        <v>17869273.746932402</v>
      </c>
      <c r="K39" s="240">
        <f>IF('Part III-Sources of Funds'!$I$38="","",-FV('Part III-Sources of Funds'!$K$38/12,12,K25/12,J39))</f>
        <v>17446289.290135514</v>
      </c>
      <c r="N39" s="3502"/>
      <c r="O39" s="3504"/>
      <c r="Q39" s="1125">
        <v>19</v>
      </c>
      <c r="R39" s="1333">
        <f>-SUM(B31:K31) - SUM(B63:J63)</f>
        <v>1573026.5572617566</v>
      </c>
      <c r="S39" s="1333">
        <f>SUM(B32:K32) + SUM(B64:J64)+R39</f>
        <v>7055103.9119982524</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2"/>
      <c r="O40" s="3504"/>
      <c r="Q40" s="1125">
        <v>20</v>
      </c>
      <c r="R40" s="1333">
        <f>-SUM(B31:K31) - SUM(B63:K63)</f>
        <v>1573026.5572617566</v>
      </c>
      <c r="S40" s="1333">
        <f>SUM(B32:K32) + SUM(B64:K64)+R40</f>
        <v>7537552.6980982581</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2"/>
      <c r="O41" s="3504"/>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2"/>
      <c r="O42" s="3504"/>
    </row>
    <row r="43" spans="1:19" ht="13.35" customHeight="1">
      <c r="A43" s="483" t="s">
        <v>4085</v>
      </c>
      <c r="B43" s="242">
        <f>IF('Part III-Sources of Funds'!$I$43="","",-FV('Part III-Sources of Funds'!$K$43/12,12,B31/12,'Part III-Sources of Funds'!$I$43))</f>
        <v>1313021.4427382434</v>
      </c>
      <c r="C43" s="242">
        <f>IF('Part III-Sources of Funds'!$I$43="","",IF(-FV('Part III-Sources of Funds'!$K$43/12,12,C31/12,B43)&gt;0,-FV('Part III-Sources of Funds'!$K$43/12,12,C31/12,B43),0))</f>
        <v>1039740.4427382434</v>
      </c>
      <c r="D43" s="242">
        <f>IF('Part III-Sources of Funds'!$I$43="","",IF(-FV('Part III-Sources of Funds'!$K$43/12,12,D31/12,C43)&gt;0,-FV('Part III-Sources of Funds'!$K$43/12,12,D31/12,C43),0))</f>
        <v>753312.44273824338</v>
      </c>
      <c r="E43" s="242">
        <f>IF('Part III-Sources of Funds'!$I$43="","",IF(-FV('Part III-Sources of Funds'!$K$43/12,12,E31/12,D43)&gt;0,-FV('Part III-Sources of Funds'!$K$43/12,12,E31/12,D43),0))</f>
        <v>453878.44273824338</v>
      </c>
      <c r="F43" s="242">
        <f>IF('Part III-Sources of Funds'!$I$43="","",IF(-FV('Part III-Sources of Funds'!$K$43/12,12,F31/12,E43)&gt;0,-FV('Part III-Sources of Funds'!$K$43/12,12,F31/12,E43),0))</f>
        <v>141597.44273824338</v>
      </c>
      <c r="G43" s="242">
        <f>IF('Part III-Sources of Funds'!$I$43="","",IF(-FV('Part III-Sources of Funds'!$K$43/12,12,G31/12,F43)&gt;0,-FV('Part III-Sources of Funds'!$K$43/12,12,G31/12,F43),0))</f>
        <v>0.44273824337869883</v>
      </c>
      <c r="H43" s="242">
        <f>IF('Part III-Sources of Funds'!$I$43="","",IF(-FV('Part III-Sources of Funds'!$K$43/12,12,H31/12,G43)&gt;0,-FV('Part III-Sources of Funds'!$K$43/12,12,H31/12,G43),0))</f>
        <v>0.44273824337869883</v>
      </c>
      <c r="I43" s="242">
        <f>IF('Part III-Sources of Funds'!$I$43="","",IF(-FV('Part III-Sources of Funds'!$K$43/12,12,I31/12,H43)&gt;0,-FV('Part III-Sources of Funds'!$K$43/12,12,I31/12,H43),0))</f>
        <v>0.44273824337869883</v>
      </c>
      <c r="J43" s="242">
        <f>IF('Part III-Sources of Funds'!$I$43="","",IF(-FV('Part III-Sources of Funds'!$K$43/12,12,J31/12,I43)&gt;0,-FV('Part III-Sources of Funds'!$K$43/12,12,J31/12,I43),0))</f>
        <v>0.44273824337869883</v>
      </c>
      <c r="K43" s="242">
        <f>IF('Part III-Sources of Funds'!$I$43="","",IF(-FV('Part III-Sources of Funds'!$K$43/12,12,K31/12,J43)&gt;0,-FV('Part III-Sources of Funds'!$K$43/12,12,K31/12,J43),0))</f>
        <v>0.44273824337869883</v>
      </c>
      <c r="N43" s="3506"/>
      <c r="O43" s="3508"/>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223" t="s">
        <v>2622</v>
      </c>
      <c r="O45" s="3223"/>
    </row>
    <row r="46" spans="1:19" ht="13.35" customHeight="1">
      <c r="A46" s="18" t="s">
        <v>2404</v>
      </c>
      <c r="B46" s="19">
        <f t="shared" ref="B46:K46" si="16">$B$14*(1+$B$5)^(B45-1)</f>
        <v>3380339.7903329814</v>
      </c>
      <c r="C46" s="19">
        <f t="shared" si="16"/>
        <v>3447946.5861396403</v>
      </c>
      <c r="D46" s="19">
        <f t="shared" si="16"/>
        <v>3516905.5178624336</v>
      </c>
      <c r="E46" s="19">
        <f t="shared" si="16"/>
        <v>3587243.6282196818</v>
      </c>
      <c r="F46" s="19">
        <f t="shared" si="16"/>
        <v>3658988.5007840758</v>
      </c>
      <c r="G46" s="19">
        <f t="shared" si="16"/>
        <v>3732168.2707997565</v>
      </c>
      <c r="H46" s="19">
        <f t="shared" si="16"/>
        <v>3806811.6362157525</v>
      </c>
      <c r="I46" s="19">
        <f t="shared" si="16"/>
        <v>3882947.8689400675</v>
      </c>
      <c r="J46" s="19">
        <f t="shared" si="16"/>
        <v>3960606.8263188684</v>
      </c>
      <c r="K46" s="20">
        <f t="shared" si="16"/>
        <v>4039818.9628452458</v>
      </c>
      <c r="N46" s="3497"/>
      <c r="O46" s="3499"/>
    </row>
    <row r="47" spans="1:19" ht="13.35" customHeight="1">
      <c r="A47" s="21" t="s">
        <v>1016</v>
      </c>
      <c r="B47" s="22">
        <f t="shared" ref="B47:K47" si="17">$B$15*(1+$B$5)^(B45-1)</f>
        <v>67606.795806659633</v>
      </c>
      <c r="C47" s="22">
        <f t="shared" si="17"/>
        <v>68958.931722792811</v>
      </c>
      <c r="D47" s="22">
        <f t="shared" si="17"/>
        <v>70338.110357248675</v>
      </c>
      <c r="E47" s="22">
        <f t="shared" si="17"/>
        <v>71744.872564393649</v>
      </c>
      <c r="F47" s="22">
        <f t="shared" si="17"/>
        <v>73179.770015681526</v>
      </c>
      <c r="G47" s="22">
        <f t="shared" si="17"/>
        <v>74643.36541599514</v>
      </c>
      <c r="H47" s="22">
        <f t="shared" si="17"/>
        <v>76136.23272431505</v>
      </c>
      <c r="I47" s="22">
        <f t="shared" si="17"/>
        <v>77658.957378801351</v>
      </c>
      <c r="J47" s="22">
        <f t="shared" si="17"/>
        <v>79212.136526377377</v>
      </c>
      <c r="K47" s="23">
        <f t="shared" si="17"/>
        <v>80796.379256904926</v>
      </c>
      <c r="N47" s="3502"/>
      <c r="O47" s="3504"/>
    </row>
    <row r="48" spans="1:19" ht="13.35" customHeight="1">
      <c r="A48" s="21" t="s">
        <v>2405</v>
      </c>
      <c r="B48" s="22">
        <f t="shared" ref="B48:K48" si="18">-(B46+B47)*$B$8</f>
        <v>-241356.26102977491</v>
      </c>
      <c r="C48" s="22">
        <f t="shared" si="18"/>
        <v>-246183.38625037033</v>
      </c>
      <c r="D48" s="22">
        <f t="shared" si="18"/>
        <v>-251107.05397537778</v>
      </c>
      <c r="E48" s="22">
        <f t="shared" si="18"/>
        <v>-256129.19505488529</v>
      </c>
      <c r="F48" s="22">
        <f t="shared" si="18"/>
        <v>-261251.77895598306</v>
      </c>
      <c r="G48" s="22">
        <f t="shared" si="18"/>
        <v>-266476.81453510263</v>
      </c>
      <c r="H48" s="22">
        <f t="shared" si="18"/>
        <v>-271806.35082580475</v>
      </c>
      <c r="I48" s="22">
        <f t="shared" si="18"/>
        <v>-277242.47784232086</v>
      </c>
      <c r="J48" s="22">
        <f t="shared" si="18"/>
        <v>-282787.32739916723</v>
      </c>
      <c r="K48" s="23">
        <f t="shared" si="18"/>
        <v>-288443.07394715061</v>
      </c>
      <c r="N48" s="3502"/>
      <c r="O48" s="3504"/>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2"/>
      <c r="O49" s="3504"/>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2"/>
      <c r="O50" s="3504"/>
    </row>
    <row r="51" spans="1:19" ht="13.35" customHeight="1">
      <c r="A51" s="483" t="s">
        <v>4942</v>
      </c>
      <c r="B51" s="22">
        <f t="shared" ref="B51:K51" si="19">SUM(B46:B50)</f>
        <v>3206590.3251098664</v>
      </c>
      <c r="C51" s="22">
        <f t="shared" si="19"/>
        <v>3270722.1316120629</v>
      </c>
      <c r="D51" s="22">
        <f t="shared" si="19"/>
        <v>3336136.5742443046</v>
      </c>
      <c r="E51" s="22">
        <f t="shared" si="19"/>
        <v>3402859.3057291899</v>
      </c>
      <c r="F51" s="22">
        <f t="shared" si="19"/>
        <v>3470916.4918437744</v>
      </c>
      <c r="G51" s="22">
        <f t="shared" si="19"/>
        <v>3540334.8216806487</v>
      </c>
      <c r="H51" s="22">
        <f t="shared" si="19"/>
        <v>3611141.5181142627</v>
      </c>
      <c r="I51" s="22">
        <f t="shared" si="19"/>
        <v>3683364.3484765482</v>
      </c>
      <c r="J51" s="22">
        <f t="shared" si="19"/>
        <v>3757031.6354460786</v>
      </c>
      <c r="K51" s="23">
        <f t="shared" si="19"/>
        <v>3832172.2681550002</v>
      </c>
      <c r="N51" s="3502"/>
      <c r="O51" s="3504"/>
    </row>
    <row r="52" spans="1:19" ht="13.35" customHeight="1">
      <c r="A52" s="21" t="s">
        <v>614</v>
      </c>
      <c r="B52" s="22">
        <f t="shared" ref="B52:K52" si="20">$B$20*(1+$B$6)^(B45-1)</f>
        <v>-1496645.7562746846</v>
      </c>
      <c r="C52" s="22">
        <f t="shared" si="20"/>
        <v>-1541545.1289629252</v>
      </c>
      <c r="D52" s="22">
        <f t="shared" si="20"/>
        <v>-1587791.4828318127</v>
      </c>
      <c r="E52" s="22">
        <f t="shared" si="20"/>
        <v>-1635425.227316767</v>
      </c>
      <c r="F52" s="22">
        <f t="shared" si="20"/>
        <v>-1684487.9841362701</v>
      </c>
      <c r="G52" s="22">
        <f t="shared" si="20"/>
        <v>-1735022.6236603584</v>
      </c>
      <c r="H52" s="22">
        <f t="shared" si="20"/>
        <v>-1787073.3023701687</v>
      </c>
      <c r="I52" s="22">
        <f t="shared" si="20"/>
        <v>-1840685.5014412738</v>
      </c>
      <c r="J52" s="22">
        <f t="shared" si="20"/>
        <v>-1895906.0664845121</v>
      </c>
      <c r="K52" s="23">
        <f t="shared" si="20"/>
        <v>-1952783.2484790473</v>
      </c>
      <c r="N52" s="3502"/>
      <c r="O52" s="3504"/>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-176760</v>
      </c>
      <c r="C53" s="22">
        <f>IF(AND('Part VII-Pro Forma'!$G$8="Yes",'Part VII-Pro Forma'!$G$9="Yes"),"Choose One!",IF('Part VII-Pro Forma'!$G$8="Yes",ROUND((-$K$8*(1+'Part VII-Pro Forma'!$B$6)^('Part VII-Pro Forma'!C45-1)),),IF('Part VII-Pro Forma'!$G$9="Yes",ROUND((-(SUM(C46:C49)*'Part VII-Pro Forma'!$K$9)),),"Choose mgt fee")))</f>
        <v>-182063</v>
      </c>
      <c r="D53" s="22">
        <f>IF(AND('Part VII-Pro Forma'!$G$8="Yes",'Part VII-Pro Forma'!$G$9="Yes"),"Choose One!",IF('Part VII-Pro Forma'!$G$8="Yes",ROUND((-$K$8*(1+'Part VII-Pro Forma'!$B$6)^('Part VII-Pro Forma'!D45-1)),),IF('Part VII-Pro Forma'!$G$9="Yes",ROUND((-(SUM(D46:D49)*'Part VII-Pro Forma'!$K$9)),),"Choose mgt fee")))</f>
        <v>-187525</v>
      </c>
      <c r="E53" s="22">
        <f>IF(AND('Part VII-Pro Forma'!$G$8="Yes",'Part VII-Pro Forma'!$G$9="Yes"),"Choose One!",IF('Part VII-Pro Forma'!$G$8="Yes",ROUND((-$K$8*(1+'Part VII-Pro Forma'!$B$6)^('Part VII-Pro Forma'!E45-1)),),IF('Part VII-Pro Forma'!$G$9="Yes",ROUND((-(SUM(E46:E49)*'Part VII-Pro Forma'!$K$9)),),"Choose mgt fee")))</f>
        <v>-193150</v>
      </c>
      <c r="F53" s="22">
        <f>IF(AND('Part VII-Pro Forma'!$G$8="Yes",'Part VII-Pro Forma'!$G$9="Yes"),"Choose One!",IF('Part VII-Pro Forma'!$G$8="Yes",ROUND((-$K$8*(1+'Part VII-Pro Forma'!$B$6)^('Part VII-Pro Forma'!F45-1)),),IF('Part VII-Pro Forma'!$G$9="Yes",ROUND((-(SUM(F46:F49)*'Part VII-Pro Forma'!$K$9)),),"Choose mgt fee")))</f>
        <v>-198945</v>
      </c>
      <c r="G53" s="22">
        <f>IF(AND('Part VII-Pro Forma'!$G$8="Yes",'Part VII-Pro Forma'!$G$9="Yes"),"Choose One!",IF('Part VII-Pro Forma'!$G$8="Yes",ROUND((-$K$8*(1+'Part VII-Pro Forma'!$B$6)^('Part VII-Pro Forma'!G45-1)),),IF('Part VII-Pro Forma'!$G$9="Yes",ROUND((-(SUM(G46:G49)*'Part VII-Pro Forma'!$K$9)),),"Choose mgt fee")))</f>
        <v>-204913</v>
      </c>
      <c r="H53" s="22">
        <f>IF(AND('Part VII-Pro Forma'!$G$8="Yes",'Part VII-Pro Forma'!$G$9="Yes"),"Choose One!",IF('Part VII-Pro Forma'!$G$8="Yes",ROUND((-$K$8*(1+'Part VII-Pro Forma'!$B$6)^('Part VII-Pro Forma'!H45-1)),),IF('Part VII-Pro Forma'!$G$9="Yes",ROUND((-(SUM(H46:H49)*'Part VII-Pro Forma'!$K$9)),),"Choose mgt fee")))</f>
        <v>-211061</v>
      </c>
      <c r="I53" s="22">
        <f>IF(AND('Part VII-Pro Forma'!$G$8="Yes",'Part VII-Pro Forma'!$G$9="Yes"),"Choose One!",IF('Part VII-Pro Forma'!$G$8="Yes",ROUND((-$K$8*(1+'Part VII-Pro Forma'!$B$6)^('Part VII-Pro Forma'!I45-1)),),IF('Part VII-Pro Forma'!$G$9="Yes",ROUND((-(SUM(I46:I49)*'Part VII-Pro Forma'!$K$9)),),"Choose mgt fee")))</f>
        <v>-217392</v>
      </c>
      <c r="J53" s="22">
        <f>IF(AND('Part VII-Pro Forma'!$G$8="Yes",'Part VII-Pro Forma'!$G$9="Yes"),"Choose One!",IF('Part VII-Pro Forma'!$G$8="Yes",ROUND((-$K$8*(1+'Part VII-Pro Forma'!$B$6)^('Part VII-Pro Forma'!J45-1)),),IF('Part VII-Pro Forma'!$G$9="Yes",ROUND((-(SUM(J46:J49)*'Part VII-Pro Forma'!$K$9)),),"Choose mgt fee")))</f>
        <v>-223914</v>
      </c>
      <c r="K53" s="23">
        <f>IF(AND('Part VII-Pro Forma'!$G$8="Yes",'Part VII-Pro Forma'!$G$9="Yes"),"Choose One!",IF('Part VII-Pro Forma'!$G$8="Yes",ROUND((-$K$8*(1+'Part VII-Pro Forma'!$B$6)^('Part VII-Pro Forma'!K45-1)),),IF('Part VII-Pro Forma'!$G$9="Yes",ROUND((-(SUM(K46:K49)*'Part VII-Pro Forma'!$K$9)),),"Choose mgt fee")))</f>
        <v>-230632</v>
      </c>
      <c r="N53" s="3502"/>
      <c r="O53" s="3504"/>
    </row>
    <row r="54" spans="1:19" ht="13.35" customHeight="1">
      <c r="A54" s="21" t="s">
        <v>1202</v>
      </c>
      <c r="B54" s="22">
        <f t="shared" ref="B54:K54" si="21">$B$22*(1+$B$7)^(B45-1)</f>
        <v>-81978.899139991423</v>
      </c>
      <c r="C54" s="22">
        <f t="shared" si="21"/>
        <v>-84438.266114191181</v>
      </c>
      <c r="D54" s="22">
        <f t="shared" si="21"/>
        <v>-86971.4140976169</v>
      </c>
      <c r="E54" s="22">
        <f t="shared" si="21"/>
        <v>-89580.556520545404</v>
      </c>
      <c r="F54" s="22">
        <f t="shared" si="21"/>
        <v>-92267.973216161772</v>
      </c>
      <c r="G54" s="22">
        <f t="shared" si="21"/>
        <v>-95036.012412646625</v>
      </c>
      <c r="H54" s="22">
        <f t="shared" si="21"/>
        <v>-97887.092785026005</v>
      </c>
      <c r="I54" s="22">
        <f t="shared" si="21"/>
        <v>-100823.7055685768</v>
      </c>
      <c r="J54" s="22">
        <f t="shared" si="21"/>
        <v>-103848.41673563409</v>
      </c>
      <c r="K54" s="23">
        <f t="shared" si="21"/>
        <v>-106963.86923770311</v>
      </c>
      <c r="N54" s="3502"/>
      <c r="O54" s="3504"/>
    </row>
    <row r="55" spans="1:19" ht="13.35" customHeight="1">
      <c r="A55" s="483" t="s">
        <v>4941</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02"/>
      <c r="O55" s="3504"/>
      <c r="Q55" s="1125">
        <v>10</v>
      </c>
      <c r="R55" s="1333">
        <f>-SUM(B60:K60)</f>
        <v>0</v>
      </c>
      <c r="S55" s="1333">
        <f>SUM(B61:K61)+R55</f>
        <v>0</v>
      </c>
    </row>
    <row r="56" spans="1:19" ht="13.35" customHeight="1">
      <c r="A56" s="21" t="s">
        <v>1203</v>
      </c>
      <c r="B56" s="22">
        <f>SUM(B51:B55)</f>
        <v>1451205.6696951904</v>
      </c>
      <c r="C56" s="22">
        <f t="shared" ref="C56" si="22">SUM(C51:C55)</f>
        <v>1462675.7365349466</v>
      </c>
      <c r="D56" s="22">
        <f t="shared" ref="D56" si="23">SUM(D51:D55)</f>
        <v>1473848.6773148749</v>
      </c>
      <c r="E56" s="22">
        <f t="shared" ref="E56" si="24">SUM(E51:E55)</f>
        <v>1484703.5218918775</v>
      </c>
      <c r="F56" s="22">
        <f t="shared" ref="F56" si="25">SUM(F51:F55)</f>
        <v>1495215.5344913425</v>
      </c>
      <c r="G56" s="22">
        <f t="shared" ref="G56" si="26">SUM(G51:G55)</f>
        <v>1505363.1856076438</v>
      </c>
      <c r="H56" s="22">
        <f t="shared" ref="H56" si="27">SUM(H51:H55)</f>
        <v>1515120.122959068</v>
      </c>
      <c r="I56" s="22">
        <f t="shared" ref="I56" si="28">SUM(I51:I55)</f>
        <v>1524463.1414666977</v>
      </c>
      <c r="J56" s="22">
        <f t="shared" ref="J56" si="29">SUM(J51:J55)</f>
        <v>1533363.1522259326</v>
      </c>
      <c r="K56" s="2567">
        <f>SUM(K51:K55)</f>
        <v>1541793.1504382498</v>
      </c>
      <c r="N56" s="3502"/>
      <c r="O56" s="3504"/>
    </row>
    <row r="57" spans="1:19" ht="13.35" customHeight="1">
      <c r="A57" s="21" t="str">
        <f>$A25</f>
        <v>Mortgage A</v>
      </c>
      <c r="B57" s="485">
        <f>IF('Part III-Sources of Funds'!$P$38="", 0,-'Part III-Sources of Funds'!$P$38)</f>
        <v>-1059344.3643382434</v>
      </c>
      <c r="C57" s="485">
        <f>IF('Part III-Sources of Funds'!$P$38="", 0,-'Part III-Sources of Funds'!$P$38)</f>
        <v>-1059344.3643382434</v>
      </c>
      <c r="D57" s="485">
        <f>IF('Part III-Sources of Funds'!$P$38="", 0,-'Part III-Sources of Funds'!$P$38)</f>
        <v>-1059344.3643382434</v>
      </c>
      <c r="E57" s="485">
        <f>IF('Part III-Sources of Funds'!$P$38="", 0,-'Part III-Sources of Funds'!$P$38)</f>
        <v>-1059344.3643382434</v>
      </c>
      <c r="F57" s="485">
        <f>IF('Part III-Sources of Funds'!$P$38="", 0,-'Part III-Sources of Funds'!$P$38)</f>
        <v>-1059344.3643382434</v>
      </c>
      <c r="G57" s="485">
        <f>IF('Part III-Sources of Funds'!$P$38="", 0,-'Part III-Sources of Funds'!$P$38)</f>
        <v>-1059344.3643382434</v>
      </c>
      <c r="H57" s="485">
        <f>IF('Part III-Sources of Funds'!$P$38="", 0,-'Part III-Sources of Funds'!$P$38)</f>
        <v>-1059344.3643382434</v>
      </c>
      <c r="I57" s="485">
        <f>IF('Part III-Sources of Funds'!$P$38="", 0,-'Part III-Sources of Funds'!$P$38)</f>
        <v>-1059344.3643382434</v>
      </c>
      <c r="J57" s="485">
        <f>IF('Part III-Sources of Funds'!$P$38="", 0,-'Part III-Sources of Funds'!$P$38)</f>
        <v>-1059344.3643382434</v>
      </c>
      <c r="K57" s="485">
        <f>IF('Part III-Sources of Funds'!$P$38="", 0,-'Part III-Sources of Funds'!$P$38)</f>
        <v>-1059344.3643382434</v>
      </c>
      <c r="N57" s="3502"/>
      <c r="O57" s="3504"/>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2"/>
      <c r="O58" s="3504"/>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2"/>
      <c r="O59" s="3504"/>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2"/>
      <c r="O60" s="3504"/>
    </row>
    <row r="61" spans="1:19" ht="13.35" customHeight="1">
      <c r="A61" s="21" t="s">
        <v>763</v>
      </c>
      <c r="B61" s="180"/>
      <c r="C61" s="180"/>
      <c r="D61" s="180"/>
      <c r="E61" s="180"/>
      <c r="F61" s="180"/>
      <c r="G61" s="180"/>
      <c r="H61" s="180"/>
      <c r="I61" s="180"/>
      <c r="J61" s="180"/>
      <c r="K61" s="180"/>
      <c r="N61" s="3502"/>
      <c r="O61" s="3504"/>
    </row>
    <row r="62" spans="1:19" ht="13.35" customHeight="1">
      <c r="A62" s="483" t="s">
        <v>1163</v>
      </c>
      <c r="B62" s="241">
        <v>-6719.5818967206096</v>
      </c>
      <c r="C62" s="241">
        <v>-6921.1693536222283</v>
      </c>
      <c r="D62" s="241">
        <v>-7128.8044342308949</v>
      </c>
      <c r="E62" s="241">
        <v>-7342.6685672578224</v>
      </c>
      <c r="F62" s="241">
        <v>-7562.9486242755574</v>
      </c>
      <c r="G62" s="241"/>
      <c r="H62" s="241"/>
      <c r="I62" s="241"/>
      <c r="J62" s="241"/>
      <c r="K62" s="241"/>
      <c r="N62" s="3502"/>
      <c r="O62" s="3504"/>
      <c r="Q62" s="1125"/>
      <c r="R62" s="1333"/>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2"/>
      <c r="O63" s="3504"/>
    </row>
    <row r="64" spans="1:19" ht="13.35" customHeight="1">
      <c r="A64" s="21" t="s">
        <v>1164</v>
      </c>
      <c r="B64" s="22">
        <f t="shared" ref="B64:K64" si="30">SUM(B56:B63)</f>
        <v>385141.72346022638</v>
      </c>
      <c r="C64" s="22">
        <f t="shared" si="30"/>
        <v>396410.20284308097</v>
      </c>
      <c r="D64" s="22">
        <f t="shared" si="30"/>
        <v>407375.50854240067</v>
      </c>
      <c r="E64" s="22">
        <f t="shared" si="30"/>
        <v>418016.48898637632</v>
      </c>
      <c r="F64" s="22">
        <f t="shared" si="30"/>
        <v>428308.22152882355</v>
      </c>
      <c r="G64" s="22">
        <f t="shared" si="30"/>
        <v>446018.82126940042</v>
      </c>
      <c r="H64" s="22">
        <f t="shared" si="30"/>
        <v>455775.75862082466</v>
      </c>
      <c r="I64" s="22">
        <f t="shared" si="30"/>
        <v>465118.7771284543</v>
      </c>
      <c r="J64" s="22">
        <f t="shared" si="30"/>
        <v>474018.78788768919</v>
      </c>
      <c r="K64" s="729">
        <f t="shared" si="30"/>
        <v>482448.78610000643</v>
      </c>
      <c r="N64" s="3502"/>
      <c r="O64" s="3504"/>
    </row>
    <row r="65" spans="1:15" ht="13.35" customHeight="1">
      <c r="A65" s="21" t="str">
        <f>$A33</f>
        <v>DCR Mortgage A</v>
      </c>
      <c r="B65" s="24">
        <f t="shared" ref="B65:K65" si="31">IF(B57=0,"",-B56/B57)</f>
        <v>1.3699092745933821</v>
      </c>
      <c r="C65" s="24">
        <f t="shared" si="31"/>
        <v>1.3807367894467992</v>
      </c>
      <c r="D65" s="24">
        <f t="shared" si="31"/>
        <v>1.3912838232122622</v>
      </c>
      <c r="E65" s="24">
        <f t="shared" si="31"/>
        <v>1.4015305804919722</v>
      </c>
      <c r="F65" s="24">
        <f t="shared" si="31"/>
        <v>1.4114537112069137</v>
      </c>
      <c r="G65" s="24">
        <f t="shared" si="31"/>
        <v>1.4210328919321922</v>
      </c>
      <c r="H65" s="24">
        <f t="shared" si="31"/>
        <v>1.4302432466382553</v>
      </c>
      <c r="I65" s="24">
        <f t="shared" si="31"/>
        <v>1.4390628701923638</v>
      </c>
      <c r="J65" s="24">
        <f t="shared" si="31"/>
        <v>1.4474643032474164</v>
      </c>
      <c r="K65" s="25">
        <f t="shared" si="31"/>
        <v>1.4554220538109768</v>
      </c>
      <c r="N65" s="3502"/>
      <c r="O65" s="3504"/>
    </row>
    <row r="66" spans="1:15" ht="13.35" customHeight="1">
      <c r="A66" s="21" t="str">
        <f>$A34</f>
        <v>DCR Mortgage B</v>
      </c>
      <c r="B66" s="24" t="str">
        <f t="shared" ref="B66:K66" si="32">IF(B58=0,"",-(B56+B57)/B58)</f>
        <v/>
      </c>
      <c r="C66" s="24" t="str">
        <f t="shared" si="32"/>
        <v/>
      </c>
      <c r="D66" s="24" t="str">
        <f t="shared" si="32"/>
        <v/>
      </c>
      <c r="E66" s="24" t="str">
        <f t="shared" si="32"/>
        <v/>
      </c>
      <c r="F66" s="24" t="str">
        <f t="shared" si="32"/>
        <v/>
      </c>
      <c r="G66" s="24" t="str">
        <f t="shared" si="32"/>
        <v/>
      </c>
      <c r="H66" s="24" t="str">
        <f t="shared" si="32"/>
        <v/>
      </c>
      <c r="I66" s="24" t="str">
        <f t="shared" si="32"/>
        <v/>
      </c>
      <c r="J66" s="24" t="str">
        <f t="shared" si="32"/>
        <v/>
      </c>
      <c r="K66" s="25" t="str">
        <f t="shared" si="32"/>
        <v/>
      </c>
      <c r="N66" s="3502"/>
      <c r="O66" s="3504"/>
    </row>
    <row r="67" spans="1:15" ht="13.35" customHeight="1">
      <c r="A67" s="21" t="str">
        <f>$A35</f>
        <v>DCR Mortgage C</v>
      </c>
      <c r="B67" s="24" t="str">
        <f t="shared" ref="B67:K67" si="33">IF(B59=0,"",-(B56+B57+B58)/B59)</f>
        <v/>
      </c>
      <c r="C67" s="24" t="str">
        <f t="shared" si="33"/>
        <v/>
      </c>
      <c r="D67" s="24" t="str">
        <f t="shared" si="33"/>
        <v/>
      </c>
      <c r="E67" s="24" t="str">
        <f t="shared" si="33"/>
        <v/>
      </c>
      <c r="F67" s="24" t="str">
        <f t="shared" si="33"/>
        <v/>
      </c>
      <c r="G67" s="24" t="str">
        <f t="shared" si="33"/>
        <v/>
      </c>
      <c r="H67" s="24" t="str">
        <f t="shared" si="33"/>
        <v/>
      </c>
      <c r="I67" s="24" t="str">
        <f t="shared" si="33"/>
        <v/>
      </c>
      <c r="J67" s="24" t="str">
        <f t="shared" si="33"/>
        <v/>
      </c>
      <c r="K67" s="25" t="str">
        <f t="shared" si="33"/>
        <v/>
      </c>
      <c r="N67" s="3502"/>
      <c r="O67" s="3504"/>
    </row>
    <row r="68" spans="1:15" ht="13.35" customHeight="1">
      <c r="A68" s="21" t="str">
        <f>$A36</f>
        <v>DCR Other Source</v>
      </c>
      <c r="B68" s="24" t="str">
        <f t="shared" ref="B68:K68" si="34">IF(B60=0,"",-(B56+B57+B58+B59)/B60)</f>
        <v/>
      </c>
      <c r="C68" s="24" t="str">
        <f t="shared" si="34"/>
        <v/>
      </c>
      <c r="D68" s="24" t="str">
        <f t="shared" si="34"/>
        <v/>
      </c>
      <c r="E68" s="24" t="str">
        <f t="shared" si="34"/>
        <v/>
      </c>
      <c r="F68" s="24" t="str">
        <f t="shared" si="34"/>
        <v/>
      </c>
      <c r="G68" s="24" t="str">
        <f t="shared" si="34"/>
        <v/>
      </c>
      <c r="H68" s="24" t="str">
        <f t="shared" si="34"/>
        <v/>
      </c>
      <c r="I68" s="24" t="str">
        <f t="shared" si="34"/>
        <v/>
      </c>
      <c r="J68" s="24" t="str">
        <f t="shared" si="34"/>
        <v/>
      </c>
      <c r="K68" s="25" t="str">
        <f t="shared" si="34"/>
        <v/>
      </c>
      <c r="N68" s="3502"/>
      <c r="O68" s="3504"/>
    </row>
    <row r="69" spans="1:15" ht="13.35" customHeight="1">
      <c r="A69" s="483" t="s">
        <v>3712</v>
      </c>
      <c r="B69" s="24">
        <f t="shared" ref="B69:K69" si="35">IF(AND(B57=0,B58=0,B59=0,B60=0),"",-B56/(B57+B58+B59+B60))</f>
        <v>1.3699092745933821</v>
      </c>
      <c r="C69" s="24">
        <f t="shared" si="35"/>
        <v>1.3807367894467992</v>
      </c>
      <c r="D69" s="24">
        <f t="shared" si="35"/>
        <v>1.3912838232122622</v>
      </c>
      <c r="E69" s="24">
        <f t="shared" si="35"/>
        <v>1.4015305804919722</v>
      </c>
      <c r="F69" s="24">
        <f t="shared" si="35"/>
        <v>1.4114537112069137</v>
      </c>
      <c r="G69" s="24">
        <f t="shared" si="35"/>
        <v>1.4210328919321922</v>
      </c>
      <c r="H69" s="24">
        <f t="shared" si="35"/>
        <v>1.4302432466382553</v>
      </c>
      <c r="I69" s="24">
        <f t="shared" si="35"/>
        <v>1.4390628701923638</v>
      </c>
      <c r="J69" s="24">
        <f t="shared" si="35"/>
        <v>1.4474643032474164</v>
      </c>
      <c r="K69" s="25">
        <f t="shared" si="35"/>
        <v>1.4554220538109768</v>
      </c>
      <c r="N69" s="3502"/>
      <c r="O69" s="3504"/>
    </row>
    <row r="70" spans="1:15" ht="13.35" customHeight="1">
      <c r="A70" s="21" t="s">
        <v>770</v>
      </c>
      <c r="B70" s="296">
        <f t="shared" ref="B70:K70" si="36">IF(OR(B53="Choose mgt fee",B53="Choose One!"),"",(B46+B47+B48+B49+B50) / -(B52+B53+B54))</f>
        <v>1.8267166203252305</v>
      </c>
      <c r="C70" s="296">
        <f t="shared" si="36"/>
        <v>1.8089813074030996</v>
      </c>
      <c r="D70" s="296">
        <f t="shared" si="36"/>
        <v>1.7914182762745656</v>
      </c>
      <c r="E70" s="296">
        <f t="shared" si="36"/>
        <v>1.7740265594704179</v>
      </c>
      <c r="F70" s="296">
        <f t="shared" si="36"/>
        <v>1.7568025560381511</v>
      </c>
      <c r="G70" s="296">
        <f t="shared" si="36"/>
        <v>1.7397465197660567</v>
      </c>
      <c r="H70" s="296">
        <f t="shared" si="36"/>
        <v>1.7228552754571882</v>
      </c>
      <c r="I70" s="296">
        <f t="shared" si="36"/>
        <v>1.7061291811393859</v>
      </c>
      <c r="J70" s="296">
        <f t="shared" si="36"/>
        <v>1.6895646378031286</v>
      </c>
      <c r="K70" s="297">
        <f t="shared" si="36"/>
        <v>1.6731606739303679</v>
      </c>
      <c r="N70" s="3502"/>
      <c r="O70" s="3504"/>
    </row>
    <row r="71" spans="1:15" ht="13.35" customHeight="1">
      <c r="A71" s="483" t="s">
        <v>2617</v>
      </c>
      <c r="B71" s="240">
        <f>IF('Part III-Sources of Funds'!$I$38="","",-FV('Part III-Sources of Funds'!$K$38/12,12,B57/12,K39))</f>
        <v>17007823.610557675</v>
      </c>
      <c r="C71" s="240">
        <f>IF('Part III-Sources of Funds'!$I$38="","",-FV('Part III-Sources of Funds'!$K$38/12,12,C57/12,B71))</f>
        <v>16553310.095750269</v>
      </c>
      <c r="D71" s="240">
        <f>IF('Part III-Sources of Funds'!$I$38="","",-FV('Part III-Sources of Funds'!$K$38/12,12,D57/12,C71))</f>
        <v>16082161.395260222</v>
      </c>
      <c r="E71" s="240">
        <f>IF('Part III-Sources of Funds'!$I$38="","",-FV('Part III-Sources of Funds'!$K$38/12,12,E57/12,D71))</f>
        <v>15593768.661619458</v>
      </c>
      <c r="F71" s="240">
        <f>IF('Part III-Sources of Funds'!$I$38="","",-FV('Part III-Sources of Funds'!$K$38/12,12,F57/12,E71))</f>
        <v>15087500.763554577</v>
      </c>
      <c r="G71" s="240">
        <f>IF('Part III-Sources of Funds'!$I$38="","",-FV('Part III-Sources of Funds'!$K$38/12,12,G57/12,F71))</f>
        <v>14562703.470400009</v>
      </c>
      <c r="H71" s="240">
        <f>IF('Part III-Sources of Funds'!$I$38="","",-FV('Part III-Sources of Funds'!$K$38/12,12,H57/12,G71))</f>
        <v>14018698.60666072</v>
      </c>
      <c r="I71" s="240">
        <f>IF('Part III-Sources of Funds'!$I$38="","",-FV('Part III-Sources of Funds'!$K$38/12,12,I57/12,H71))</f>
        <v>13454783.175631925</v>
      </c>
      <c r="J71" s="240">
        <f>IF('Part III-Sources of Funds'!$I$38="","",-FV('Part III-Sources of Funds'!$K$38/12,12,J57/12,I71))</f>
        <v>12870228.450943306</v>
      </c>
      <c r="K71" s="240">
        <f>IF('Part III-Sources of Funds'!$I$38="","",-FV('Part III-Sources of Funds'!$K$38/12,12,K57/12,J71))</f>
        <v>12264279.034853749</v>
      </c>
      <c r="N71" s="3502"/>
      <c r="O71" s="3504"/>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2"/>
      <c r="O72" s="3504"/>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2"/>
      <c r="O73" s="3504"/>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2"/>
      <c r="O74" s="3504"/>
    </row>
    <row r="75" spans="1:15" ht="13.35" customHeight="1">
      <c r="A75" s="483" t="s">
        <v>4085</v>
      </c>
      <c r="B75" s="242">
        <f>IF('Part III-Sources of Funds'!$I$43="","",IF(-FV('Part III-Sources of Funds'!$K$43/12,12,B63/12,K43)&gt;0,-FV('Part III-Sources of Funds'!$K$43/12,12,B63/12,K43),0))</f>
        <v>0.44273824337869883</v>
      </c>
      <c r="C75" s="242">
        <f>IF('Part III-Sources of Funds'!$I$43="","",IF(-FV('Part III-Sources of Funds'!$K$43/12,12,C63/12,B75)&gt;0,-FV('Part III-Sources of Funds'!$K$43/12,12,C63/12,B75),0))</f>
        <v>0.44273824337869883</v>
      </c>
      <c r="D75" s="242">
        <f>IF('Part III-Sources of Funds'!$I$43="","",IF(-FV('Part III-Sources of Funds'!$K$43/12,12,D63/12,C75)&gt;0,-FV('Part III-Sources of Funds'!$K$43/12,12,D63/12,C75),0))</f>
        <v>0.44273824337869883</v>
      </c>
      <c r="E75" s="242">
        <f>IF('Part III-Sources of Funds'!$I$43="","",IF(-FV('Part III-Sources of Funds'!$K$43/12,12,E63/12,D75)&gt;0,-FV('Part III-Sources of Funds'!$K$43/12,12,E63/12,D75),0))</f>
        <v>0.44273824337869883</v>
      </c>
      <c r="F75" s="242">
        <f>IF('Part III-Sources of Funds'!$I$43="","",IF(-FV('Part III-Sources of Funds'!$K$43/12,12,F63/12,E75)&gt;0,-FV('Part III-Sources of Funds'!$K$43/12,12,F63/12,E75),0))</f>
        <v>0.44273824337869883</v>
      </c>
      <c r="G75" s="242">
        <f>IF('Part III-Sources of Funds'!$I$43="","",IF(-FV('Part III-Sources of Funds'!$K$43/12,12,G63/12,F75)&gt;0,-FV('Part III-Sources of Funds'!$K$43/12,12,G63/12,F75),0))</f>
        <v>0.44273824337869883</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6"/>
      <c r="O75" s="3508"/>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7">B77+1</f>
        <v>22</v>
      </c>
      <c r="D77" s="15">
        <f t="shared" si="37"/>
        <v>23</v>
      </c>
      <c r="E77" s="15">
        <f t="shared" si="37"/>
        <v>24</v>
      </c>
      <c r="F77" s="15">
        <f t="shared" si="37"/>
        <v>25</v>
      </c>
      <c r="G77" s="15">
        <f t="shared" si="37"/>
        <v>26</v>
      </c>
      <c r="H77" s="15">
        <f t="shared" si="37"/>
        <v>27</v>
      </c>
      <c r="I77" s="15">
        <f t="shared" si="37"/>
        <v>28</v>
      </c>
      <c r="J77" s="15">
        <f t="shared" si="37"/>
        <v>29</v>
      </c>
      <c r="K77" s="15">
        <f t="shared" si="37"/>
        <v>30</v>
      </c>
      <c r="N77" s="3223" t="s">
        <v>2623</v>
      </c>
      <c r="O77" s="3223"/>
    </row>
    <row r="78" spans="1:15" ht="13.35" customHeight="1">
      <c r="A78" s="18" t="s">
        <v>2404</v>
      </c>
      <c r="B78" s="19">
        <f t="shared" ref="B78:K78" si="38">$B$14*(1+$B$5)^(B77-1)</f>
        <v>4120615.3421021509</v>
      </c>
      <c r="C78" s="19">
        <f t="shared" si="38"/>
        <v>4203027.6489441935</v>
      </c>
      <c r="D78" s="19">
        <f t="shared" si="38"/>
        <v>4287088.2019230779</v>
      </c>
      <c r="E78" s="19">
        <f t="shared" si="38"/>
        <v>4372829.9659615383</v>
      </c>
      <c r="F78" s="19">
        <f t="shared" si="38"/>
        <v>4460286.56528077</v>
      </c>
      <c r="G78" s="19">
        <f t="shared" si="38"/>
        <v>4549492.296586385</v>
      </c>
      <c r="H78" s="19">
        <f t="shared" si="38"/>
        <v>4640482.1425181134</v>
      </c>
      <c r="I78" s="19">
        <f t="shared" si="38"/>
        <v>4733291.7853684742</v>
      </c>
      <c r="J78" s="19">
        <f t="shared" si="38"/>
        <v>4827957.6210758453</v>
      </c>
      <c r="K78" s="20">
        <f t="shared" si="38"/>
        <v>4924516.7734973617</v>
      </c>
      <c r="N78" s="3497"/>
      <c r="O78" s="3499"/>
    </row>
    <row r="79" spans="1:15" ht="13.35" customHeight="1">
      <c r="A79" s="21" t="s">
        <v>1016</v>
      </c>
      <c r="B79" s="22">
        <f t="shared" ref="B79:K79" si="39">$B$15*(1+$B$5)^(B77-1)</f>
        <v>82412.306842043021</v>
      </c>
      <c r="C79" s="22">
        <f t="shared" si="39"/>
        <v>84060.552978883876</v>
      </c>
      <c r="D79" s="22">
        <f t="shared" si="39"/>
        <v>85741.764038461566</v>
      </c>
      <c r="E79" s="22">
        <f t="shared" si="39"/>
        <v>87456.59931923078</v>
      </c>
      <c r="F79" s="22">
        <f t="shared" si="39"/>
        <v>89205.731305615394</v>
      </c>
      <c r="G79" s="22">
        <f t="shared" si="39"/>
        <v>90989.845931727701</v>
      </c>
      <c r="H79" s="22">
        <f t="shared" si="39"/>
        <v>92809.642850362274</v>
      </c>
      <c r="I79" s="22">
        <f t="shared" si="39"/>
        <v>94665.835707369493</v>
      </c>
      <c r="J79" s="22">
        <f t="shared" si="39"/>
        <v>96559.152421516905</v>
      </c>
      <c r="K79" s="23">
        <f t="shared" si="39"/>
        <v>98490.335469947226</v>
      </c>
      <c r="N79" s="3502"/>
      <c r="O79" s="3504"/>
    </row>
    <row r="80" spans="1:15" ht="13.35" customHeight="1">
      <c r="A80" s="21" t="s">
        <v>2405</v>
      </c>
      <c r="B80" s="22">
        <f t="shared" ref="B80:K80" si="40">-(B78+B79)*$B$8</f>
        <v>-294211.93542609358</v>
      </c>
      <c r="C80" s="22">
        <f t="shared" si="40"/>
        <v>-300096.1741346154</v>
      </c>
      <c r="D80" s="22">
        <f t="shared" si="40"/>
        <v>-306098.09761730779</v>
      </c>
      <c r="E80" s="22">
        <f t="shared" si="40"/>
        <v>-312220.05956965388</v>
      </c>
      <c r="F80" s="22">
        <f t="shared" si="40"/>
        <v>-318464.46076104697</v>
      </c>
      <c r="G80" s="22">
        <f t="shared" si="40"/>
        <v>-324833.74997626792</v>
      </c>
      <c r="H80" s="22">
        <f t="shared" si="40"/>
        <v>-331330.42497579334</v>
      </c>
      <c r="I80" s="22">
        <f t="shared" si="40"/>
        <v>-337957.03347530909</v>
      </c>
      <c r="J80" s="22">
        <f t="shared" si="40"/>
        <v>-344716.17414481542</v>
      </c>
      <c r="K80" s="23">
        <f t="shared" si="40"/>
        <v>-351610.49762771168</v>
      </c>
      <c r="N80" s="3502"/>
      <c r="O80" s="3504"/>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2"/>
      <c r="O81" s="3504"/>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2"/>
      <c r="O82" s="3504"/>
    </row>
    <row r="83" spans="1:19" ht="13.35" customHeight="1">
      <c r="A83" s="483" t="s">
        <v>4942</v>
      </c>
      <c r="B83" s="22">
        <f t="shared" ref="B83:K83" si="41">SUM(B78:B82)</f>
        <v>3908815.7135180999</v>
      </c>
      <c r="C83" s="22">
        <f t="shared" si="41"/>
        <v>3986992.0277884617</v>
      </c>
      <c r="D83" s="22">
        <f t="shared" si="41"/>
        <v>4066731.8683442315</v>
      </c>
      <c r="E83" s="22">
        <f t="shared" si="41"/>
        <v>4148066.505711115</v>
      </c>
      <c r="F83" s="22">
        <f t="shared" si="41"/>
        <v>4231027.835825338</v>
      </c>
      <c r="G83" s="22">
        <f t="shared" si="41"/>
        <v>4315648.3925418444</v>
      </c>
      <c r="H83" s="22">
        <f t="shared" si="41"/>
        <v>4401961.3603926823</v>
      </c>
      <c r="I83" s="22">
        <f t="shared" si="41"/>
        <v>4490000.5876005348</v>
      </c>
      <c r="J83" s="22">
        <f t="shared" si="41"/>
        <v>4579800.599352547</v>
      </c>
      <c r="K83" s="23">
        <f t="shared" si="41"/>
        <v>4671396.611339597</v>
      </c>
      <c r="N83" s="3502"/>
      <c r="O83" s="3504"/>
    </row>
    <row r="84" spans="1:19" ht="13.35" customHeight="1">
      <c r="A84" s="21" t="s">
        <v>614</v>
      </c>
      <c r="B84" s="22">
        <f t="shared" ref="B84:K84" si="42">$B$20*(1+$B$6)^(B77-1)</f>
        <v>-2011366.7459334186</v>
      </c>
      <c r="C84" s="22">
        <f t="shared" si="42"/>
        <v>-2071707.7483114211</v>
      </c>
      <c r="D84" s="22">
        <f t="shared" si="42"/>
        <v>-2133858.9807607639</v>
      </c>
      <c r="E84" s="22">
        <f t="shared" si="42"/>
        <v>-2197874.750183587</v>
      </c>
      <c r="F84" s="22">
        <f t="shared" si="42"/>
        <v>-2263810.992689094</v>
      </c>
      <c r="G84" s="22">
        <f t="shared" si="42"/>
        <v>-2331725.3224697672</v>
      </c>
      <c r="H84" s="22">
        <f t="shared" si="42"/>
        <v>-2401677.0821438604</v>
      </c>
      <c r="I84" s="22">
        <f t="shared" si="42"/>
        <v>-2473727.3946081758</v>
      </c>
      <c r="J84" s="22">
        <f t="shared" si="42"/>
        <v>-2547939.2164464211</v>
      </c>
      <c r="K84" s="23">
        <f t="shared" si="42"/>
        <v>-2624377.3929398134</v>
      </c>
      <c r="N84" s="3502"/>
      <c r="O84" s="3504"/>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-237551</v>
      </c>
      <c r="C85" s="22">
        <f>IF(AND('Part VII-Pro Forma'!$G$8="Yes",'Part VII-Pro Forma'!$G$9="Yes"),"Choose One!",IF('Part VII-Pro Forma'!$G$8="Yes",ROUND((-$K$8*(1+'Part VII-Pro Forma'!$B$6)^('Part VII-Pro Forma'!C77-1)),),IF('Part VII-Pro Forma'!$G$9="Yes",ROUND((-(SUM(C78:C81)*'Part VII-Pro Forma'!$K$9)),),"Choose mgt fee")))</f>
        <v>-244677</v>
      </c>
      <c r="D85" s="22">
        <f>IF(AND('Part VII-Pro Forma'!$G$8="Yes",'Part VII-Pro Forma'!$G$9="Yes"),"Choose One!",IF('Part VII-Pro Forma'!$G$8="Yes",ROUND((-$K$8*(1+'Part VII-Pro Forma'!$B$6)^('Part VII-Pro Forma'!D77-1)),),IF('Part VII-Pro Forma'!$G$9="Yes",ROUND((-(SUM(D78:D81)*'Part VII-Pro Forma'!$K$9)),),"Choose mgt fee")))</f>
        <v>-252017</v>
      </c>
      <c r="E85" s="22">
        <f>IF(AND('Part VII-Pro Forma'!$G$8="Yes",'Part VII-Pro Forma'!$G$9="Yes"),"Choose One!",IF('Part VII-Pro Forma'!$G$8="Yes",ROUND((-$K$8*(1+'Part VII-Pro Forma'!$B$6)^('Part VII-Pro Forma'!E77-1)),),IF('Part VII-Pro Forma'!$G$9="Yes",ROUND((-(SUM(E78:E81)*'Part VII-Pro Forma'!$K$9)),),"Choose mgt fee")))</f>
        <v>-259578</v>
      </c>
      <c r="F85" s="22">
        <f>IF(AND('Part VII-Pro Forma'!$G$8="Yes",'Part VII-Pro Forma'!$G$9="Yes"),"Choose One!",IF('Part VII-Pro Forma'!$G$8="Yes",ROUND((-$K$8*(1+'Part VII-Pro Forma'!$B$6)^('Part VII-Pro Forma'!F77-1)),),IF('Part VII-Pro Forma'!$G$9="Yes",ROUND((-(SUM(F78:F81)*'Part VII-Pro Forma'!$K$9)),),"Choose mgt fee")))</f>
        <v>-267365</v>
      </c>
      <c r="G85" s="22">
        <f>IF(AND('Part VII-Pro Forma'!$G$8="Yes",'Part VII-Pro Forma'!$G$9="Yes"),"Choose One!",IF('Part VII-Pro Forma'!$G$8="Yes",ROUND((-$K$8*(1+'Part VII-Pro Forma'!$B$6)^('Part VII-Pro Forma'!G77-1)),),IF('Part VII-Pro Forma'!$G$9="Yes",ROUND((-(SUM(G78:G81)*'Part VII-Pro Forma'!$K$9)),),"Choose mgt fee")))</f>
        <v>-275386</v>
      </c>
      <c r="H85" s="22">
        <f>IF(AND('Part VII-Pro Forma'!$G$8="Yes",'Part VII-Pro Forma'!$G$9="Yes"),"Choose One!",IF('Part VII-Pro Forma'!$G$8="Yes",ROUND((-$K$8*(1+'Part VII-Pro Forma'!$B$6)^('Part VII-Pro Forma'!H77-1)),),IF('Part VII-Pro Forma'!$G$9="Yes",ROUND((-(SUM(H78:H81)*'Part VII-Pro Forma'!$K$9)),),"Choose mgt fee")))</f>
        <v>-283648</v>
      </c>
      <c r="I85" s="22">
        <f>IF(AND('Part VII-Pro Forma'!$G$8="Yes",'Part VII-Pro Forma'!$G$9="Yes"),"Choose One!",IF('Part VII-Pro Forma'!$G$8="Yes",ROUND((-$K$8*(1+'Part VII-Pro Forma'!$B$6)^('Part VII-Pro Forma'!I77-1)),),IF('Part VII-Pro Forma'!$G$9="Yes",ROUND((-(SUM(I78:I81)*'Part VII-Pro Forma'!$K$9)),),"Choose mgt fee")))</f>
        <v>-292157</v>
      </c>
      <c r="J85" s="22">
        <f>IF(AND('Part VII-Pro Forma'!$G$8="Yes",'Part VII-Pro Forma'!$G$9="Yes"),"Choose One!",IF('Part VII-Pro Forma'!$G$8="Yes",ROUND((-$K$8*(1+'Part VII-Pro Forma'!$B$6)^('Part VII-Pro Forma'!J77-1)),),IF('Part VII-Pro Forma'!$G$9="Yes",ROUND((-(SUM(J78:J81)*'Part VII-Pro Forma'!$K$9)),),"Choose mgt fee")))</f>
        <v>-300922</v>
      </c>
      <c r="K85" s="23">
        <f>IF(AND('Part VII-Pro Forma'!$G$8="Yes",'Part VII-Pro Forma'!$G$9="Yes"),"Choose One!",IF('Part VII-Pro Forma'!$G$8="Yes",ROUND((-$K$8*(1+'Part VII-Pro Forma'!$B$6)^('Part VII-Pro Forma'!K77-1)),),IF('Part VII-Pro Forma'!$G$9="Yes",ROUND((-(SUM(K78:K81)*'Part VII-Pro Forma'!$K$9)),),"Choose mgt fee")))</f>
        <v>-309950</v>
      </c>
      <c r="N85" s="3502"/>
      <c r="O85" s="3504"/>
    </row>
    <row r="86" spans="1:19" ht="13.35" customHeight="1">
      <c r="A86" s="21" t="s">
        <v>1202</v>
      </c>
      <c r="B86" s="22">
        <f t="shared" ref="B86:K86" si="43">$B$22*(1+$B$7)^(B77-1)</f>
        <v>-110172.78531483421</v>
      </c>
      <c r="C86" s="22">
        <f t="shared" si="43"/>
        <v>-113477.96887427922</v>
      </c>
      <c r="D86" s="22">
        <f t="shared" si="43"/>
        <v>-116882.30794050761</v>
      </c>
      <c r="E86" s="22">
        <f t="shared" si="43"/>
        <v>-120388.77717872284</v>
      </c>
      <c r="F86" s="22">
        <f t="shared" si="43"/>
        <v>-124000.44049408451</v>
      </c>
      <c r="G86" s="22">
        <f t="shared" si="43"/>
        <v>-127720.45370890705</v>
      </c>
      <c r="H86" s="22">
        <f t="shared" si="43"/>
        <v>-131552.06732017428</v>
      </c>
      <c r="I86" s="22">
        <f t="shared" si="43"/>
        <v>-135498.62933977949</v>
      </c>
      <c r="J86" s="22">
        <f t="shared" si="43"/>
        <v>-139563.58821997288</v>
      </c>
      <c r="K86" s="23">
        <f t="shared" si="43"/>
        <v>-143750.49586657205</v>
      </c>
      <c r="N86" s="3502"/>
      <c r="O86" s="3504"/>
    </row>
    <row r="87" spans="1:19" ht="13.35" customHeight="1">
      <c r="A87" s="483" t="s">
        <v>4941</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02"/>
      <c r="O87" s="3504"/>
      <c r="Q87" s="1125">
        <v>10</v>
      </c>
      <c r="R87" s="1333">
        <f>-SUM(B92:K92)</f>
        <v>0</v>
      </c>
      <c r="S87" s="1333">
        <f>SUM(B93:K93)+R87</f>
        <v>0</v>
      </c>
    </row>
    <row r="88" spans="1:19" ht="13.35" customHeight="1">
      <c r="A88" s="21" t="s">
        <v>1203</v>
      </c>
      <c r="B88" s="22">
        <f>SUM(B83:B87)</f>
        <v>1549725.182269847</v>
      </c>
      <c r="C88" s="22">
        <f t="shared" ref="C88" si="44">SUM(C83:C87)</f>
        <v>1557129.3106027613</v>
      </c>
      <c r="D88" s="22">
        <f t="shared" ref="D88" si="45">SUM(D83:D87)</f>
        <v>1563973.5796429601</v>
      </c>
      <c r="E88" s="22">
        <f t="shared" ref="E88" si="46">SUM(E83:E87)</f>
        <v>1570224.9783488051</v>
      </c>
      <c r="F88" s="22">
        <f t="shared" ref="F88" si="47">SUM(F83:F87)</f>
        <v>1575851.4026421595</v>
      </c>
      <c r="G88" s="22">
        <f t="shared" ref="G88" si="48">SUM(G83:G87)</f>
        <v>1580816.6163631701</v>
      </c>
      <c r="H88" s="22">
        <f t="shared" ref="H88" si="49">SUM(H83:H87)</f>
        <v>1585084.2109286475</v>
      </c>
      <c r="I88" s="22">
        <f t="shared" ref="I88" si="50">SUM(I83:I87)</f>
        <v>1588617.5636525794</v>
      </c>
      <c r="J88" s="22">
        <f t="shared" ref="J88" si="51">SUM(J83:J87)</f>
        <v>1591375.7946861531</v>
      </c>
      <c r="K88" s="2567">
        <f>SUM(K83:K87)</f>
        <v>1593318.7225332116</v>
      </c>
      <c r="N88" s="3502"/>
      <c r="O88" s="3504"/>
    </row>
    <row r="89" spans="1:19" ht="13.35" customHeight="1">
      <c r="A89" s="21" t="str">
        <f>$A57</f>
        <v>Mortgage A</v>
      </c>
      <c r="B89" s="485">
        <f>IF('Part III-Sources of Funds'!$P$38="", 0,-'Part III-Sources of Funds'!$P$38)</f>
        <v>-1059344.3643382434</v>
      </c>
      <c r="C89" s="485">
        <f>IF('Part III-Sources of Funds'!$P$38="", 0,-'Part III-Sources of Funds'!$P$38)</f>
        <v>-1059344.3643382434</v>
      </c>
      <c r="D89" s="485">
        <f>IF('Part III-Sources of Funds'!$P$38="", 0,-'Part III-Sources of Funds'!$P$38)</f>
        <v>-1059344.3643382434</v>
      </c>
      <c r="E89" s="485">
        <f>IF('Part III-Sources of Funds'!$P$38="", 0,-'Part III-Sources of Funds'!$P$38)</f>
        <v>-1059344.3643382434</v>
      </c>
      <c r="F89" s="485">
        <f>IF('Part III-Sources of Funds'!$P$38="", 0,-'Part III-Sources of Funds'!$P$38)</f>
        <v>-1059344.3643382434</v>
      </c>
      <c r="G89" s="485">
        <f>IF('Part III-Sources of Funds'!$P$38="", 0,-'Part III-Sources of Funds'!$P$38)</f>
        <v>-1059344.3643382434</v>
      </c>
      <c r="H89" s="485">
        <f>IF('Part III-Sources of Funds'!$P$38="", 0,-'Part III-Sources of Funds'!$P$38)</f>
        <v>-1059344.3643382434</v>
      </c>
      <c r="I89" s="485">
        <f>IF('Part III-Sources of Funds'!$P$38="", 0,-'Part III-Sources of Funds'!$P$38)</f>
        <v>-1059344.3643382434</v>
      </c>
      <c r="J89" s="485">
        <f>IF('Part III-Sources of Funds'!$P$38="", 0,-'Part III-Sources of Funds'!$P$38)</f>
        <v>-1059344.3643382434</v>
      </c>
      <c r="K89" s="485">
        <f>IF('Part III-Sources of Funds'!$P$38="", 0,-'Part III-Sources of Funds'!$P$38)</f>
        <v>-1059344.3643382434</v>
      </c>
      <c r="N89" s="3502"/>
      <c r="O89" s="3504"/>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2"/>
      <c r="O90" s="3504"/>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2"/>
      <c r="O91" s="3504"/>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2"/>
      <c r="O92" s="3504"/>
    </row>
    <row r="93" spans="1:19" ht="13.35" customHeight="1">
      <c r="A93" s="21" t="s">
        <v>763</v>
      </c>
      <c r="B93" s="180"/>
      <c r="C93" s="180"/>
      <c r="D93" s="180"/>
      <c r="E93" s="180"/>
      <c r="F93" s="180"/>
      <c r="G93" s="180"/>
      <c r="H93" s="180"/>
      <c r="I93" s="180"/>
      <c r="J93" s="180"/>
      <c r="K93" s="180"/>
      <c r="N93" s="3502"/>
      <c r="O93" s="3504"/>
    </row>
    <row r="94" spans="1:19" ht="13.35" customHeight="1">
      <c r="A94" s="483" t="s">
        <v>1163</v>
      </c>
      <c r="B94" s="242">
        <f>+K62</f>
        <v>0</v>
      </c>
      <c r="C94" s="242">
        <f t="shared" ref="C94:K94" si="52">+B94</f>
        <v>0</v>
      </c>
      <c r="D94" s="242">
        <f t="shared" si="52"/>
        <v>0</v>
      </c>
      <c r="E94" s="242">
        <f t="shared" si="52"/>
        <v>0</v>
      </c>
      <c r="F94" s="242">
        <f t="shared" si="52"/>
        <v>0</v>
      </c>
      <c r="G94" s="242">
        <f t="shared" si="52"/>
        <v>0</v>
      </c>
      <c r="H94" s="242">
        <f t="shared" si="52"/>
        <v>0</v>
      </c>
      <c r="I94" s="242">
        <f t="shared" si="52"/>
        <v>0</v>
      </c>
      <c r="J94" s="242">
        <f t="shared" si="52"/>
        <v>0</v>
      </c>
      <c r="K94" s="242">
        <f t="shared" si="52"/>
        <v>0</v>
      </c>
      <c r="N94" s="3502"/>
      <c r="O94" s="3504"/>
    </row>
    <row r="95" spans="1:19" ht="13.35" customHeight="1">
      <c r="A95" s="21" t="s">
        <v>1164</v>
      </c>
      <c r="B95" s="22">
        <f t="shared" ref="B95:K95" si="53">SUM(B88:B94)</f>
        <v>490380.81793160364</v>
      </c>
      <c r="C95" s="22">
        <f t="shared" si="53"/>
        <v>497784.94626451796</v>
      </c>
      <c r="D95" s="22">
        <f t="shared" si="53"/>
        <v>504629.21530471672</v>
      </c>
      <c r="E95" s="22">
        <f t="shared" si="53"/>
        <v>510880.61401056172</v>
      </c>
      <c r="F95" s="22">
        <f t="shared" si="53"/>
        <v>516507.03830391611</v>
      </c>
      <c r="G95" s="22">
        <f t="shared" si="53"/>
        <v>521472.25202492671</v>
      </c>
      <c r="H95" s="22">
        <f t="shared" si="53"/>
        <v>525739.84659040417</v>
      </c>
      <c r="I95" s="22">
        <f t="shared" si="53"/>
        <v>529273.19931433606</v>
      </c>
      <c r="J95" s="22">
        <f t="shared" si="53"/>
        <v>532031.43034790969</v>
      </c>
      <c r="K95" s="23">
        <f t="shared" si="53"/>
        <v>533974.3581949682</v>
      </c>
      <c r="N95" s="3502"/>
      <c r="O95" s="3504"/>
    </row>
    <row r="96" spans="1:19" ht="13.35" customHeight="1">
      <c r="A96" s="21" t="str">
        <f>$A65</f>
        <v>DCR Mortgage A</v>
      </c>
      <c r="B96" s="24">
        <f t="shared" ref="B96:K96" si="54">IF(B89=0,"",-B88/B89)</f>
        <v>1.4629097340201902</v>
      </c>
      <c r="C96" s="24">
        <f t="shared" si="54"/>
        <v>1.4698990838314194</v>
      </c>
      <c r="D96" s="24">
        <f t="shared" si="54"/>
        <v>1.4763599376109875</v>
      </c>
      <c r="E96" s="24">
        <f t="shared" si="54"/>
        <v>1.4822611335924756</v>
      </c>
      <c r="F96" s="24">
        <f t="shared" si="54"/>
        <v>1.4875723661649631</v>
      </c>
      <c r="G96" s="24">
        <f t="shared" si="54"/>
        <v>1.4922594291146134</v>
      </c>
      <c r="H96" s="24">
        <f t="shared" si="54"/>
        <v>1.4962879534633915</v>
      </c>
      <c r="I96" s="24">
        <f t="shared" si="54"/>
        <v>1.499623368124458</v>
      </c>
      <c r="J96" s="24">
        <f t="shared" si="54"/>
        <v>1.5022270833340032</v>
      </c>
      <c r="K96" s="25">
        <f t="shared" si="54"/>
        <v>1.5040611685592287</v>
      </c>
      <c r="N96" s="3502"/>
      <c r="O96" s="3504"/>
    </row>
    <row r="97" spans="1:15" ht="13.35" customHeight="1">
      <c r="A97" s="21" t="str">
        <f>$A66</f>
        <v>DCR Mortgage B</v>
      </c>
      <c r="B97" s="24" t="str">
        <f t="shared" ref="B97:K97" si="55">IF(B90=0,"",-(B88+B89)/B90)</f>
        <v/>
      </c>
      <c r="C97" s="24" t="str">
        <f t="shared" si="55"/>
        <v/>
      </c>
      <c r="D97" s="24" t="str">
        <f t="shared" si="55"/>
        <v/>
      </c>
      <c r="E97" s="24" t="str">
        <f t="shared" si="55"/>
        <v/>
      </c>
      <c r="F97" s="24" t="str">
        <f t="shared" si="55"/>
        <v/>
      </c>
      <c r="G97" s="24" t="str">
        <f t="shared" si="55"/>
        <v/>
      </c>
      <c r="H97" s="24" t="str">
        <f t="shared" si="55"/>
        <v/>
      </c>
      <c r="I97" s="24" t="str">
        <f t="shared" si="55"/>
        <v/>
      </c>
      <c r="J97" s="24" t="str">
        <f t="shared" si="55"/>
        <v/>
      </c>
      <c r="K97" s="25" t="str">
        <f t="shared" si="55"/>
        <v/>
      </c>
      <c r="N97" s="3502"/>
      <c r="O97" s="3504"/>
    </row>
    <row r="98" spans="1:15" ht="13.35" customHeight="1">
      <c r="A98" s="21" t="str">
        <f>$A67</f>
        <v>DCR Mortgage C</v>
      </c>
      <c r="B98" s="24" t="str">
        <f t="shared" ref="B98:K98" si="56">IF(B91=0,"",-(B88+B89+B90)/B91)</f>
        <v/>
      </c>
      <c r="C98" s="24" t="str">
        <f t="shared" si="56"/>
        <v/>
      </c>
      <c r="D98" s="24" t="str">
        <f t="shared" si="56"/>
        <v/>
      </c>
      <c r="E98" s="24" t="str">
        <f t="shared" si="56"/>
        <v/>
      </c>
      <c r="F98" s="24" t="str">
        <f t="shared" si="56"/>
        <v/>
      </c>
      <c r="G98" s="24" t="str">
        <f t="shared" si="56"/>
        <v/>
      </c>
      <c r="H98" s="24" t="str">
        <f t="shared" si="56"/>
        <v/>
      </c>
      <c r="I98" s="24" t="str">
        <f t="shared" si="56"/>
        <v/>
      </c>
      <c r="J98" s="24" t="str">
        <f t="shared" si="56"/>
        <v/>
      </c>
      <c r="K98" s="25" t="str">
        <f t="shared" si="56"/>
        <v/>
      </c>
      <c r="N98" s="3502"/>
      <c r="O98" s="3504"/>
    </row>
    <row r="99" spans="1:15" ht="13.35" customHeight="1">
      <c r="A99" s="21" t="str">
        <f>$A68</f>
        <v>DCR Other Source</v>
      </c>
      <c r="B99" s="24" t="str">
        <f t="shared" ref="B99:K99" si="57">IF(B92=0,"",-(B88+B89+B90+B91)/B92)</f>
        <v/>
      </c>
      <c r="C99" s="24" t="str">
        <f t="shared" si="57"/>
        <v/>
      </c>
      <c r="D99" s="24" t="str">
        <f t="shared" si="57"/>
        <v/>
      </c>
      <c r="E99" s="24" t="str">
        <f t="shared" si="57"/>
        <v/>
      </c>
      <c r="F99" s="24" t="str">
        <f t="shared" si="57"/>
        <v/>
      </c>
      <c r="G99" s="24" t="str">
        <f t="shared" si="57"/>
        <v/>
      </c>
      <c r="H99" s="24" t="str">
        <f t="shared" si="57"/>
        <v/>
      </c>
      <c r="I99" s="24" t="str">
        <f t="shared" si="57"/>
        <v/>
      </c>
      <c r="J99" s="24" t="str">
        <f t="shared" si="57"/>
        <v/>
      </c>
      <c r="K99" s="25" t="str">
        <f t="shared" si="57"/>
        <v/>
      </c>
      <c r="N99" s="3502"/>
      <c r="O99" s="3504"/>
    </row>
    <row r="100" spans="1:15" ht="13.35" customHeight="1">
      <c r="A100" s="483" t="s">
        <v>3712</v>
      </c>
      <c r="B100" s="24">
        <f t="shared" ref="B100:K100" si="58">IF(AND(B89=0,B90=0,B91=0,B92=0),"",-B88/(B89+B90+B91+B92))</f>
        <v>1.4629097340201902</v>
      </c>
      <c r="C100" s="24">
        <f t="shared" si="58"/>
        <v>1.4698990838314194</v>
      </c>
      <c r="D100" s="24">
        <f t="shared" si="58"/>
        <v>1.4763599376109875</v>
      </c>
      <c r="E100" s="24">
        <f t="shared" si="58"/>
        <v>1.4822611335924756</v>
      </c>
      <c r="F100" s="24">
        <f t="shared" si="58"/>
        <v>1.4875723661649631</v>
      </c>
      <c r="G100" s="24">
        <f t="shared" si="58"/>
        <v>1.4922594291146134</v>
      </c>
      <c r="H100" s="24">
        <f t="shared" si="58"/>
        <v>1.4962879534633915</v>
      </c>
      <c r="I100" s="24">
        <f t="shared" si="58"/>
        <v>1.499623368124458</v>
      </c>
      <c r="J100" s="24">
        <f t="shared" si="58"/>
        <v>1.5022270833340032</v>
      </c>
      <c r="K100" s="25">
        <f t="shared" si="58"/>
        <v>1.5040611685592287</v>
      </c>
      <c r="N100" s="3502"/>
      <c r="O100" s="3504"/>
    </row>
    <row r="101" spans="1:15" ht="13.35" customHeight="1">
      <c r="A101" s="21" t="s">
        <v>770</v>
      </c>
      <c r="B101" s="296">
        <f>IF(OR(B85="Choose mgt fee",B85="Choose One!"),"",(B78+B79+B80+B81+B82) / -(B84+B85+B86))</f>
        <v>1.6569163674485392</v>
      </c>
      <c r="C101" s="296">
        <f t="shared" ref="C101:K101" si="59">IF(OR(C85="Choose mgt fee",C85="Choose One!"),"",(C78+C79+C80+C81+C82) / -(C84+C85+C86))</f>
        <v>1.6408301586709595</v>
      </c>
      <c r="D101" s="296">
        <f t="shared" si="59"/>
        <v>1.6248999700464624</v>
      </c>
      <c r="E101" s="296">
        <f t="shared" si="59"/>
        <v>1.6091239363171737</v>
      </c>
      <c r="F101" s="296">
        <f t="shared" si="59"/>
        <v>1.593501577879304</v>
      </c>
      <c r="G101" s="296">
        <f t="shared" si="59"/>
        <v>1.5780306599230807</v>
      </c>
      <c r="H101" s="296">
        <f t="shared" si="59"/>
        <v>1.5627097409023467</v>
      </c>
      <c r="I101" s="296">
        <f t="shared" si="59"/>
        <v>1.5475380363572004</v>
      </c>
      <c r="J101" s="296">
        <f t="shared" si="59"/>
        <v>1.5325132465107492</v>
      </c>
      <c r="K101" s="297">
        <f t="shared" si="59"/>
        <v>1.5176343094914559</v>
      </c>
      <c r="N101" s="3502"/>
      <c r="O101" s="3504"/>
    </row>
    <row r="102" spans="1:15" ht="13.35" customHeight="1">
      <c r="A102" s="483" t="s">
        <v>2617</v>
      </c>
      <c r="B102" s="240">
        <f>IF('Part III-Sources of Funds'!$I$38="","",-FV('Part III-Sources of Funds'!$K$38/12,12,B89/12,K71))</f>
        <v>11636151.882079709</v>
      </c>
      <c r="C102" s="240">
        <f>IF('Part III-Sources of Funds'!$I$38="","",-FV('Part III-Sources of Funds'!$K$38/12,12,C89/12,B102))</f>
        <v>10985035.287895702</v>
      </c>
      <c r="D102" s="240">
        <f>IF('Part III-Sources of Funds'!$I$38="","",-FV('Part III-Sources of Funds'!$K$38/12,12,D89/12,C102))</f>
        <v>10310087.839199286</v>
      </c>
      <c r="E102" s="240">
        <f>IF('Part III-Sources of Funds'!$I$38="","",-FV('Part III-Sources of Funds'!$K$38/12,12,E89/12,D102))</f>
        <v>9610437.3271850571</v>
      </c>
      <c r="F102" s="240">
        <f>IF('Part III-Sources of Funds'!$I$38="","",-FV('Part III-Sources of Funds'!$K$38/12,12,F89/12,E102))</f>
        <v>8885179.6202225275</v>
      </c>
      <c r="G102" s="240">
        <f>IF('Part III-Sources of Funds'!$I$38="","",-FV('Part III-Sources of Funds'!$K$38/12,12,G89/12,F102))</f>
        <v>8133377.495481356</v>
      </c>
      <c r="H102" s="240">
        <f>IF('Part III-Sources of Funds'!$I$38="","",-FV('Part III-Sources of Funds'!$K$38/12,12,H89/12,G102))</f>
        <v>7354059.427794083</v>
      </c>
      <c r="I102" s="240">
        <f>IF('Part III-Sources of Funds'!$I$38="","",-FV('Part III-Sources of Funds'!$K$38/12,12,I89/12,H102))</f>
        <v>6546218.334191272</v>
      </c>
      <c r="J102" s="240">
        <f>IF('Part III-Sources of Funds'!$I$38="","",-FV('Part III-Sources of Funds'!$K$38/12,12,J89/12,I102))</f>
        <v>5708810.2724866569</v>
      </c>
      <c r="K102" s="240">
        <f>IF('Part III-Sources of Funds'!$I$38="","",-FV('Part III-Sources of Funds'!$K$38/12,12,K89/12,J102))</f>
        <v>4840753.0922305323</v>
      </c>
      <c r="N102" s="3502"/>
      <c r="O102" s="3504"/>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2"/>
      <c r="O103" s="3504"/>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2"/>
      <c r="O104" s="3504"/>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6"/>
      <c r="O105" s="3508"/>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3" t="s">
        <v>3702</v>
      </c>
      <c r="O107" s="3223"/>
    </row>
    <row r="108" spans="1:15" ht="13.35" customHeight="1">
      <c r="A108" s="18" t="s">
        <v>2404</v>
      </c>
      <c r="B108" s="19">
        <f>$B$14*(1+$B$5)^(B107-1)</f>
        <v>5023007.1089673089</v>
      </c>
      <c r="C108" s="19">
        <f>$B$14*(1+$B$5)^(C107-1)</f>
        <v>5123467.2511466537</v>
      </c>
      <c r="D108" s="19">
        <f>$B$14*(1+$B$5)^(D107-1)</f>
        <v>5225936.5961695882</v>
      </c>
      <c r="E108" s="19">
        <f>$B$14*(1+$B$5)^(E107-1)</f>
        <v>5330455.3280929802</v>
      </c>
      <c r="F108" s="729">
        <f>$B$14*(1+$B$5)^(F107-1)</f>
        <v>5437064.4346548393</v>
      </c>
      <c r="G108" s="17"/>
      <c r="H108" s="17"/>
      <c r="I108" s="17"/>
      <c r="J108" s="17"/>
      <c r="K108" s="17"/>
      <c r="N108" s="3497"/>
      <c r="O108" s="3499"/>
    </row>
    <row r="109" spans="1:15" ht="13.35" customHeight="1">
      <c r="A109" s="21" t="s">
        <v>1016</v>
      </c>
      <c r="B109" s="22">
        <f>$B$15*(1+$B$5)^(B107-1)</f>
        <v>100460.14217934618</v>
      </c>
      <c r="C109" s="22">
        <f>$B$15*(1+$B$5)^(C107-1)</f>
        <v>102469.34502293308</v>
      </c>
      <c r="D109" s="22">
        <f>$B$15*(1+$B$5)^(D107-1)</f>
        <v>104518.73192339177</v>
      </c>
      <c r="E109" s="22">
        <f>$B$15*(1+$B$5)^(E107-1)</f>
        <v>106609.1065618596</v>
      </c>
      <c r="F109" s="23">
        <f>$B$15*(1+$B$5)^(F107-1)</f>
        <v>108741.28869309679</v>
      </c>
      <c r="G109" s="17"/>
      <c r="H109" s="17"/>
      <c r="I109" s="17"/>
      <c r="J109" s="17"/>
      <c r="K109" s="17"/>
      <c r="N109" s="3502"/>
      <c r="O109" s="3504"/>
    </row>
    <row r="110" spans="1:15" ht="13.35" customHeight="1">
      <c r="A110" s="21" t="s">
        <v>2405</v>
      </c>
      <c r="B110" s="22">
        <f>-(B108+B109)*$B$8</f>
        <v>-358642.70758026594</v>
      </c>
      <c r="C110" s="22">
        <f>-(C108+C109)*$B$8</f>
        <v>-365815.5617318711</v>
      </c>
      <c r="D110" s="22">
        <f>-(D108+D109)*$B$8</f>
        <v>-373131.87296650867</v>
      </c>
      <c r="E110" s="22">
        <f>-(E108+E109)*$B$8</f>
        <v>-380594.51042583882</v>
      </c>
      <c r="F110" s="23">
        <f>-(F108+F109)*$B$8</f>
        <v>-388206.40063435555</v>
      </c>
      <c r="G110" s="17"/>
      <c r="H110" s="17"/>
      <c r="I110" s="17"/>
      <c r="J110" s="17"/>
      <c r="K110" s="17"/>
      <c r="N110" s="3502"/>
      <c r="O110" s="3504"/>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2"/>
      <c r="O111" s="3504"/>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2"/>
      <c r="O112" s="3504"/>
    </row>
    <row r="113" spans="1:19" ht="13.35" customHeight="1">
      <c r="A113" s="483" t="s">
        <v>4942</v>
      </c>
      <c r="B113" s="22">
        <f>SUM(B108:B112)</f>
        <v>4764824.5435663899</v>
      </c>
      <c r="C113" s="22">
        <f>SUM(C108:C112)</f>
        <v>4860121.0344377151</v>
      </c>
      <c r="D113" s="22">
        <f>SUM(D108:D112)</f>
        <v>4957323.4551264718</v>
      </c>
      <c r="E113" s="22">
        <f>SUM(E108:E112)</f>
        <v>5056469.9242290007</v>
      </c>
      <c r="F113" s="23">
        <f>SUM(F108:F112)</f>
        <v>5157599.32271358</v>
      </c>
      <c r="G113" s="17"/>
      <c r="H113" s="17"/>
      <c r="I113" s="17"/>
      <c r="J113" s="17"/>
      <c r="K113" s="17"/>
      <c r="N113" s="3502"/>
      <c r="O113" s="3504"/>
    </row>
    <row r="114" spans="1:19" ht="13.35" customHeight="1">
      <c r="A114" s="21" t="s">
        <v>614</v>
      </c>
      <c r="B114" s="22">
        <f>$B$20*(1+$B$6)^(B107-1)</f>
        <v>-2703108.714728008</v>
      </c>
      <c r="C114" s="22">
        <f>$B$20*(1+$B$6)^(C107-1)</f>
        <v>-2784201.9761698488</v>
      </c>
      <c r="D114" s="22">
        <f>$B$20*(1+$B$6)^(D107-1)</f>
        <v>-2867728.0354549433</v>
      </c>
      <c r="E114" s="22">
        <f>$B$20*(1+$B$6)^(E107-1)</f>
        <v>-2953759.8765185918</v>
      </c>
      <c r="F114" s="23">
        <f>$B$20*(1+$B$6)^(F107-1)</f>
        <v>-3042372.6728141494</v>
      </c>
      <c r="G114" s="17"/>
      <c r="H114" s="17"/>
      <c r="I114" s="17"/>
      <c r="J114" s="17"/>
      <c r="K114" s="17"/>
      <c r="N114" s="3502"/>
      <c r="O114" s="3504"/>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-319248</v>
      </c>
      <c r="C115" s="22">
        <f>IF(AND('Part VII-Pro Forma'!$G$8="Yes",'Part VII-Pro Forma'!$G$9="Yes"),"Choose One!",IF('Part VII-Pro Forma'!$G$8="Yes",ROUND((-$K$8*(1+'Part VII-Pro Forma'!$B$6)^('Part VII-Pro Forma'!C107-1)),),IF('Part VII-Pro Forma'!$G$9="Yes",ROUND((-(SUM(C108:C111)*'Part VII-Pro Forma'!$K$9)),),"Choose mgt fee")))</f>
        <v>-328826</v>
      </c>
      <c r="D115" s="22">
        <f>IF(AND('Part VII-Pro Forma'!$G$8="Yes",'Part VII-Pro Forma'!$G$9="Yes"),"Choose One!",IF('Part VII-Pro Forma'!$G$8="Yes",ROUND((-$K$8*(1+'Part VII-Pro Forma'!$B$6)^('Part VII-Pro Forma'!D107-1)),),IF('Part VII-Pro Forma'!$G$9="Yes",ROUND((-(SUM(D108:D111)*'Part VII-Pro Forma'!$K$9)),),"Choose mgt fee")))</f>
        <v>-338690</v>
      </c>
      <c r="E115" s="22">
        <f>IF(AND('Part VII-Pro Forma'!$G$8="Yes",'Part VII-Pro Forma'!$G$9="Yes"),"Choose One!",IF('Part VII-Pro Forma'!$G$8="Yes",ROUND((-$K$8*(1+'Part VII-Pro Forma'!$B$6)^('Part VII-Pro Forma'!E107-1)),),IF('Part VII-Pro Forma'!$G$9="Yes",ROUND((-(SUM(E108:E111)*'Part VII-Pro Forma'!$K$9)),),"Choose mgt fee")))</f>
        <v>-348851</v>
      </c>
      <c r="F115" s="23">
        <f>IF(AND('Part VII-Pro Forma'!$G$8="Yes",'Part VII-Pro Forma'!$G$9="Yes"),"Choose One!",IF('Part VII-Pro Forma'!$G$8="Yes",ROUND((-$K$8*(1+'Part VII-Pro Forma'!$B$6)^('Part VII-Pro Forma'!F107-1)),),IF('Part VII-Pro Forma'!$G$9="Yes",ROUND((-(SUM(F108:F111)*'Part VII-Pro Forma'!$K$9)),),"Choose mgt fee")))</f>
        <v>-359317</v>
      </c>
      <c r="G115" s="17"/>
      <c r="H115" s="17"/>
      <c r="I115" s="17"/>
      <c r="J115" s="17"/>
      <c r="K115" s="17"/>
      <c r="N115" s="3502"/>
      <c r="O115" s="3504"/>
    </row>
    <row r="116" spans="1:19" ht="13.35" customHeight="1">
      <c r="A116" s="21" t="s">
        <v>1202</v>
      </c>
      <c r="B116" s="22">
        <f>$B$22*(1+$B$7)^(B107-1)</f>
        <v>-148063.0107425692</v>
      </c>
      <c r="C116" s="22">
        <f>$B$22*(1+$B$7)^(C107-1)</f>
        <v>-152504.90106484632</v>
      </c>
      <c r="D116" s="22">
        <f>$B$22*(1+$B$7)^(D107-1)</f>
        <v>-157080.04809679167</v>
      </c>
      <c r="E116" s="22">
        <f>$B$22*(1+$B$7)^(E107-1)</f>
        <v>-161792.44953969543</v>
      </c>
      <c r="F116" s="23">
        <f>$B$22*(1+$B$7)^(F107-1)</f>
        <v>-166646.22302588625</v>
      </c>
      <c r="G116" s="17"/>
      <c r="H116" s="17"/>
      <c r="I116" s="17"/>
      <c r="J116" s="17"/>
      <c r="K116" s="17"/>
      <c r="N116" s="3502"/>
      <c r="O116" s="3504"/>
    </row>
    <row r="117" spans="1:19" ht="13.35" customHeight="1">
      <c r="A117" s="483" t="s">
        <v>4941</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02"/>
      <c r="O117" s="3504"/>
      <c r="Q117" s="1125">
        <v>10</v>
      </c>
      <c r="R117" s="1333">
        <f>-SUM(B122:K122)</f>
        <v>0</v>
      </c>
      <c r="S117" s="1333">
        <f>SUM(B123:K123)+R117</f>
        <v>0</v>
      </c>
    </row>
    <row r="118" spans="1:19" ht="13.35" customHeight="1">
      <c r="A118" s="21" t="s">
        <v>1203</v>
      </c>
      <c r="B118" s="22">
        <f t="shared" ref="B118" si="60">SUM(B113:B117)</f>
        <v>1594404.8180958128</v>
      </c>
      <c r="C118" s="22">
        <f t="shared" ref="C118" si="61">SUM(C113:C117)</f>
        <v>1594588.1572030201</v>
      </c>
      <c r="D118" s="22">
        <f t="shared" ref="D118" si="62">SUM(D113:D117)</f>
        <v>1593825.3715747369</v>
      </c>
      <c r="E118" s="22">
        <f t="shared" ref="E118" si="63">SUM(E113:E117)</f>
        <v>1592066.5981707135</v>
      </c>
      <c r="F118" s="2567">
        <f>SUM(F113:F117)</f>
        <v>1589263.4268735442</v>
      </c>
      <c r="G118" s="17"/>
      <c r="H118" s="17"/>
      <c r="I118" s="17"/>
      <c r="J118" s="17"/>
      <c r="K118" s="17"/>
      <c r="N118" s="3502"/>
      <c r="O118" s="3504"/>
    </row>
    <row r="119" spans="1:19" ht="13.35" customHeight="1">
      <c r="A119" s="21" t="str">
        <f>$A89</f>
        <v>Mortgage A</v>
      </c>
      <c r="B119" s="485">
        <f>IF('Part III-Sources of Funds'!$P$38="", 0,-'Part III-Sources of Funds'!$P$38)</f>
        <v>-1059344.3643382434</v>
      </c>
      <c r="C119" s="485">
        <f>IF('Part III-Sources of Funds'!$P$38="", 0,-'Part III-Sources of Funds'!$P$38)</f>
        <v>-1059344.3643382434</v>
      </c>
      <c r="D119" s="485">
        <f>IF('Part III-Sources of Funds'!$P$38="", 0,-'Part III-Sources of Funds'!$P$38)</f>
        <v>-1059344.3643382434</v>
      </c>
      <c r="E119" s="485">
        <f>IF('Part III-Sources of Funds'!$P$38="", 0,-'Part III-Sources of Funds'!$P$38)</f>
        <v>-1059344.3643382434</v>
      </c>
      <c r="F119" s="485">
        <f>IF('Part III-Sources of Funds'!$P$38="", 0,-'Part III-Sources of Funds'!$P$38)</f>
        <v>-1059344.3643382434</v>
      </c>
      <c r="G119" s="17"/>
      <c r="H119" s="17"/>
      <c r="I119" s="17"/>
      <c r="J119" s="17"/>
      <c r="K119" s="17"/>
      <c r="N119" s="3502"/>
      <c r="O119" s="3504"/>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2"/>
      <c r="O120" s="3504"/>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2"/>
      <c r="O121" s="3504"/>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2"/>
      <c r="O122" s="3504"/>
    </row>
    <row r="123" spans="1:19" ht="13.35" customHeight="1">
      <c r="A123" s="21" t="s">
        <v>763</v>
      </c>
      <c r="B123" s="180"/>
      <c r="C123" s="180"/>
      <c r="D123" s="180"/>
      <c r="E123" s="180"/>
      <c r="F123" s="180"/>
      <c r="G123" s="17"/>
      <c r="H123" s="17"/>
      <c r="I123" s="17"/>
      <c r="J123" s="17"/>
      <c r="K123" s="17"/>
      <c r="N123" s="3502"/>
      <c r="O123" s="3504"/>
    </row>
    <row r="124" spans="1:19" ht="13.35" customHeight="1">
      <c r="A124" s="21" t="s">
        <v>1163</v>
      </c>
      <c r="B124" s="242">
        <f>+K94</f>
        <v>0</v>
      </c>
      <c r="C124" s="242">
        <f>+B124</f>
        <v>0</v>
      </c>
      <c r="D124" s="242">
        <f>+C124</f>
        <v>0</v>
      </c>
      <c r="E124" s="242">
        <f>+D124</f>
        <v>0</v>
      </c>
      <c r="F124" s="242">
        <f>+E124</f>
        <v>0</v>
      </c>
      <c r="G124" s="17"/>
      <c r="H124" s="17"/>
      <c r="I124" s="17"/>
      <c r="J124" s="17"/>
      <c r="K124" s="17"/>
      <c r="N124" s="3502"/>
      <c r="O124" s="3504"/>
    </row>
    <row r="125" spans="1:19" ht="13.35" customHeight="1">
      <c r="A125" s="21" t="s">
        <v>1164</v>
      </c>
      <c r="B125" s="22">
        <f>SUM(B118:B124)</f>
        <v>535060.45375756943</v>
      </c>
      <c r="C125" s="22">
        <f>SUM(C118:C124)</f>
        <v>535243.79286477668</v>
      </c>
      <c r="D125" s="22">
        <f>SUM(D118:D124)</f>
        <v>534481.00723649352</v>
      </c>
      <c r="E125" s="22">
        <f>SUM(E118:E124)</f>
        <v>532722.23383247014</v>
      </c>
      <c r="F125" s="23">
        <f>SUM(F118:F124)</f>
        <v>529919.06253530085</v>
      </c>
      <c r="G125" s="17"/>
      <c r="H125" s="17"/>
      <c r="I125" s="17"/>
      <c r="J125" s="17"/>
      <c r="K125" s="17"/>
      <c r="N125" s="3502"/>
      <c r="O125" s="3504"/>
    </row>
    <row r="126" spans="1:19" ht="13.35" customHeight="1">
      <c r="A126" s="21" t="str">
        <f>$A96</f>
        <v>DCR Mortgage A</v>
      </c>
      <c r="B126" s="24">
        <f>IF(B119=0,"",-B118/B119)</f>
        <v>1.5050864211580657</v>
      </c>
      <c r="C126" s="24">
        <f>IF(C119=0,"",-C118/C119)</f>
        <v>1.5052594896269973</v>
      </c>
      <c r="D126" s="24">
        <f>IF(D119=0,"",-D118/D119)</f>
        <v>1.5045394351725994</v>
      </c>
      <c r="E126" s="24">
        <f>IF(E119=0,"",-E118/E119)</f>
        <v>1.5028791880771026</v>
      </c>
      <c r="F126" s="25">
        <f>IF(F119=0,"",-F118/F119)</f>
        <v>1.500233050152991</v>
      </c>
      <c r="G126" s="17"/>
      <c r="H126" s="17"/>
      <c r="I126" s="17"/>
      <c r="J126" s="17"/>
      <c r="K126" s="17"/>
      <c r="N126" s="3502"/>
      <c r="O126" s="350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2"/>
      <c r="O127" s="350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2"/>
      <c r="O128" s="3504"/>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2"/>
      <c r="O129" s="3504"/>
    </row>
    <row r="130" spans="1:18" ht="13.35" customHeight="1">
      <c r="A130" s="483" t="s">
        <v>3712</v>
      </c>
      <c r="B130" s="24">
        <f>IF(AND(B119=0,B120=0,B121=0,B122=0),"",-B118/(B119+B120+B121+B122))</f>
        <v>1.5050864211580657</v>
      </c>
      <c r="C130" s="24">
        <f>IF(AND(C119=0,C120=0,C121=0,C122=0),"",-C118/(C119+C120+C121+C122))</f>
        <v>1.5052594896269973</v>
      </c>
      <c r="D130" s="24">
        <f>IF(AND(D119=0,D120=0,D121=0,D122=0),"",-D118/(D119+D120+D121+D122))</f>
        <v>1.5045394351725994</v>
      </c>
      <c r="E130" s="24">
        <f>IF(AND(E119=0,E120=0,E121=0,E122=0),"",-E118/(E119+E120+E121+E122))</f>
        <v>1.5028791880771026</v>
      </c>
      <c r="F130" s="25">
        <f>IF(AND(F119=0,F120=0,F121=0,F122=0),"",-F118/(F119+F120+F121+F122))</f>
        <v>1.500233050152991</v>
      </c>
      <c r="G130" s="17"/>
      <c r="H130" s="17"/>
      <c r="I130" s="17"/>
      <c r="J130" s="17"/>
      <c r="K130" s="17"/>
      <c r="N130" s="3502"/>
      <c r="O130" s="3504"/>
    </row>
    <row r="131" spans="1:18" ht="13.35" customHeight="1">
      <c r="A131" s="21" t="s">
        <v>770</v>
      </c>
      <c r="B131" s="296">
        <f>IF(OR(B115="Choose mgt fee",B115="Choose One!"),"",(B108+B109+B110+B111+B112) / -(B114+B115+B116))</f>
        <v>1.5029002328261629</v>
      </c>
      <c r="C131" s="296">
        <f>IF(OR(C115="Choose mgt fee",C115="Choose One!"),"",(C108+C109+C110+C111+C112) / -(C114+C115+C116))</f>
        <v>1.4883087132025272</v>
      </c>
      <c r="D131" s="296">
        <f>IF(OR(D115="Choose mgt fee",D115="Choose One!"),"",(D108+D109+D110+D111+D112) / -(D114+D115+D116))</f>
        <v>1.4738594558352516</v>
      </c>
      <c r="E131" s="296">
        <f>IF(OR(E115="Choose mgt fee",E115="Choose One!"),"",(E108+E109+E110+E111+E112) / -(E114+E115+E116))</f>
        <v>1.4595500143403128</v>
      </c>
      <c r="F131" s="730">
        <f>IF(OR(F115="Choose mgt fee",F115="Choose One!"),"",(F108+F109+F110+F111+F112) / -(F114+F115+F116))</f>
        <v>1.4453794354747564</v>
      </c>
      <c r="G131" s="17"/>
      <c r="H131" s="17"/>
      <c r="I131" s="17"/>
      <c r="J131" s="17"/>
      <c r="K131" s="17"/>
      <c r="N131" s="3502"/>
      <c r="O131" s="3504"/>
    </row>
    <row r="132" spans="1:18" ht="13.35" customHeight="1">
      <c r="A132" s="483" t="s">
        <v>2617</v>
      </c>
      <c r="B132" s="240">
        <f>IF('Part III-Sources of Funds'!$I$38="","",-FV('Part III-Sources of Funds'!$K$38/12,12,B119/12,K102))</f>
        <v>3940925.036288064</v>
      </c>
      <c r="C132" s="240">
        <f>IF('Part III-Sources of Funds'!$I$38="","",-FV('Part III-Sources of Funds'!$K$38/12,12,C119/12,B132))</f>
        <v>3008163.2912353952</v>
      </c>
      <c r="D132" s="240">
        <f>IF('Part III-Sources of Funds'!$I$38="","",-FV('Part III-Sources of Funds'!$K$38/12,12,D119/12,C132))</f>
        <v>2041262.484700277</v>
      </c>
      <c r="E132" s="240">
        <f>IF('Part III-Sources of Funds'!$I$38="","",-FV('Part III-Sources of Funds'!$K$38/12,12,E119/12,D132))</f>
        <v>1038973.1277053966</v>
      </c>
      <c r="F132" s="240">
        <f>IF('Part III-Sources of Funds'!$I$38="","",-FV('Part III-Sources of Funds'!$K$38/12,12,F119/12,E132))</f>
        <v>1.5015248209238052E-6</v>
      </c>
      <c r="G132" s="17"/>
      <c r="H132" s="17"/>
      <c r="I132" s="17"/>
      <c r="J132" s="17"/>
      <c r="K132" s="17"/>
      <c r="N132" s="3502"/>
      <c r="O132" s="3504"/>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2"/>
      <c r="O133" s="3504"/>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2"/>
      <c r="O134" s="3504"/>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6"/>
      <c r="O135" s="3508"/>
    </row>
    <row r="136" spans="1:18" ht="4.3499999999999996" customHeight="1"/>
    <row r="137" spans="1:18" ht="12" customHeight="1">
      <c r="A137" s="13" t="s">
        <v>571</v>
      </c>
      <c r="B137" s="13"/>
      <c r="G137" s="13" t="s">
        <v>1031</v>
      </c>
    </row>
    <row r="138" spans="1:18" ht="12" customHeight="1">
      <c r="B138" s="31"/>
    </row>
    <row r="139" spans="1:18" ht="409.5" customHeight="1">
      <c r="A139" s="3077" t="s">
        <v>5354</v>
      </c>
      <c r="B139" s="3584"/>
      <c r="C139" s="3584"/>
      <c r="D139" s="3584"/>
      <c r="E139" s="3584"/>
      <c r="F139" s="3585"/>
      <c r="G139" s="3586"/>
      <c r="H139" s="3587"/>
      <c r="I139" s="3587"/>
      <c r="J139" s="3587"/>
      <c r="K139" s="3588"/>
      <c r="N139" s="3162" t="s">
        <v>2693</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7" zoomScale="115" zoomScaleNormal="115" workbookViewId="0">
      <selection activeCell="A480" sqref="A480:Q48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2019-5 Somersby, College Park, Fulton County</v>
      </c>
      <c r="B1" s="3289"/>
      <c r="C1" s="3289"/>
      <c r="D1" s="3289"/>
      <c r="E1" s="3289"/>
      <c r="F1" s="3289"/>
      <c r="G1" s="3289"/>
      <c r="H1" s="3289"/>
      <c r="I1" s="3289"/>
      <c r="J1" s="3289"/>
      <c r="K1" s="3289"/>
      <c r="L1" s="3289"/>
      <c r="M1" s="3289"/>
      <c r="N1" s="3289"/>
      <c r="O1" s="3289"/>
      <c r="P1" s="3289"/>
      <c r="Q1" s="3289"/>
      <c r="R1" s="3735" t="str">
        <f>'Part I-Project Information'!$B$6</f>
        <v>May 2019 Final</v>
      </c>
      <c r="S1" s="3735"/>
    </row>
    <row r="2" spans="1:32" s="27" customFormat="1" ht="3" customHeight="1">
      <c r="R2" s="3735"/>
      <c r="S2" s="3735"/>
      <c r="AE2" s="120"/>
      <c r="AF2" s="120"/>
    </row>
    <row r="3" spans="1:32" ht="13.5" customHeight="1">
      <c r="A3" s="372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3"/>
      <c r="C3" s="3723"/>
      <c r="D3" s="3723"/>
      <c r="E3" s="3723"/>
      <c r="F3" s="3723"/>
      <c r="G3" s="3723"/>
      <c r="H3" s="372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3"/>
      <c r="J3" s="3723"/>
      <c r="K3" s="3723"/>
      <c r="L3" s="3723"/>
      <c r="M3" s="3723"/>
      <c r="N3" s="3724"/>
      <c r="O3" s="3725" t="s">
        <v>935</v>
      </c>
      <c r="P3" s="3726"/>
      <c r="Q3" s="2620" t="s">
        <v>1843</v>
      </c>
      <c r="R3" s="3735"/>
      <c r="S3" s="3735"/>
    </row>
    <row r="4" spans="1:32" ht="3" customHeight="1">
      <c r="A4" s="1378"/>
      <c r="B4" s="3727"/>
      <c r="C4" s="3727"/>
      <c r="D4" s="3727"/>
      <c r="E4" s="1378"/>
      <c r="F4" s="1378"/>
      <c r="G4" s="1378"/>
      <c r="H4" s="1378"/>
      <c r="I4" s="1378"/>
      <c r="J4" s="1378"/>
      <c r="K4" s="1378"/>
      <c r="L4" s="1378"/>
      <c r="M4" s="1378"/>
      <c r="N4" s="1378"/>
      <c r="P4" s="1378"/>
      <c r="Q4" s="1378"/>
      <c r="R4" s="3735"/>
      <c r="S4" s="3735"/>
    </row>
    <row r="5" spans="1:32" ht="11.1" hidden="1" customHeight="1">
      <c r="A5" s="1378"/>
      <c r="B5" s="1378"/>
      <c r="C5" s="1378"/>
      <c r="D5" s="1378"/>
      <c r="E5" s="1378"/>
      <c r="F5" s="1378"/>
      <c r="G5" s="1378"/>
      <c r="H5" s="1378"/>
      <c r="I5" s="1378"/>
      <c r="J5" s="1378"/>
      <c r="K5" s="1378"/>
      <c r="L5" s="1378"/>
      <c r="M5" s="1378"/>
      <c r="N5" s="1378"/>
      <c r="P5" s="1378"/>
      <c r="Q5" s="1378"/>
      <c r="R5" s="3735"/>
      <c r="S5" s="3735"/>
    </row>
    <row r="6" spans="1:32" ht="17.25" customHeight="1">
      <c r="A6" s="129" t="s">
        <v>567</v>
      </c>
      <c r="J6" s="3730" t="s">
        <v>3844</v>
      </c>
      <c r="K6" s="3730"/>
      <c r="L6" s="3730"/>
      <c r="M6" s="3730"/>
      <c r="N6" s="3730"/>
      <c r="O6" s="3731"/>
      <c r="P6" s="3728"/>
      <c r="Q6" s="3729"/>
      <c r="R6" s="3735"/>
      <c r="S6" s="3735"/>
    </row>
    <row r="7" spans="1:32" ht="12.6" customHeight="1">
      <c r="A7" s="130" t="s">
        <v>3451</v>
      </c>
      <c r="C7" s="131"/>
      <c r="D7" s="131"/>
      <c r="H7" s="1603"/>
      <c r="I7" s="1603"/>
      <c r="J7" s="1603"/>
      <c r="K7" s="1603"/>
      <c r="L7" s="1603"/>
      <c r="M7" s="1378"/>
      <c r="N7" s="1378"/>
    </row>
    <row r="8" spans="1:32" ht="24.6" customHeight="1">
      <c r="A8" s="3732" t="s">
        <v>1408</v>
      </c>
      <c r="B8" s="3733"/>
      <c r="C8" s="3733"/>
      <c r="D8" s="3733"/>
      <c r="E8" s="3733"/>
      <c r="F8" s="3733"/>
      <c r="G8" s="3733"/>
      <c r="H8" s="3733"/>
      <c r="I8" s="3733"/>
      <c r="J8" s="3733"/>
      <c r="K8" s="3733"/>
      <c r="L8" s="3733"/>
      <c r="M8" s="3733"/>
      <c r="N8" s="3733"/>
      <c r="O8" s="3733"/>
      <c r="P8" s="3733"/>
      <c r="Q8" s="3734"/>
      <c r="R8" s="3515" t="s">
        <v>2031</v>
      </c>
      <c r="S8" s="2881"/>
    </row>
    <row r="9" spans="1:32" ht="24.6" customHeight="1">
      <c r="A9" s="3720" t="s">
        <v>226</v>
      </c>
      <c r="B9" s="3721"/>
      <c r="C9" s="3721"/>
      <c r="D9" s="3721"/>
      <c r="E9" s="3721"/>
      <c r="F9" s="3721"/>
      <c r="G9" s="3721"/>
      <c r="H9" s="3721"/>
      <c r="I9" s="3721"/>
      <c r="J9" s="3721"/>
      <c r="K9" s="3721"/>
      <c r="L9" s="3721"/>
      <c r="M9" s="3721"/>
      <c r="N9" s="3721"/>
      <c r="O9" s="3721"/>
      <c r="P9" s="3721"/>
      <c r="Q9" s="3722"/>
      <c r="R9" s="3515"/>
      <c r="S9" s="2881"/>
    </row>
    <row r="10" spans="1:32" ht="24.6" customHeight="1">
      <c r="A10" s="3720" t="s">
        <v>1404</v>
      </c>
      <c r="B10" s="3721"/>
      <c r="C10" s="3721"/>
      <c r="D10" s="3721"/>
      <c r="E10" s="3721"/>
      <c r="F10" s="3721"/>
      <c r="G10" s="3721"/>
      <c r="H10" s="3721"/>
      <c r="I10" s="3721"/>
      <c r="J10" s="3721"/>
      <c r="K10" s="3721"/>
      <c r="L10" s="3721"/>
      <c r="M10" s="3721"/>
      <c r="N10" s="3721"/>
      <c r="O10" s="3721"/>
      <c r="P10" s="3721"/>
      <c r="Q10" s="3722"/>
      <c r="R10" s="3515"/>
      <c r="S10" s="2881"/>
    </row>
    <row r="11" spans="1:32" ht="24.6" customHeight="1">
      <c r="A11" s="3720" t="s">
        <v>1405</v>
      </c>
      <c r="B11" s="3721"/>
      <c r="C11" s="3721"/>
      <c r="D11" s="3721"/>
      <c r="E11" s="3721"/>
      <c r="F11" s="3721"/>
      <c r="G11" s="3721"/>
      <c r="H11" s="3721"/>
      <c r="I11" s="3721"/>
      <c r="J11" s="3721"/>
      <c r="K11" s="3721"/>
      <c r="L11" s="3721"/>
      <c r="M11" s="3721"/>
      <c r="N11" s="3721"/>
      <c r="O11" s="3721"/>
      <c r="P11" s="3721"/>
      <c r="Q11" s="3722"/>
      <c r="R11" s="3515"/>
      <c r="S11" s="2881"/>
    </row>
    <row r="12" spans="1:32" ht="24" customHeight="1">
      <c r="A12" s="3720" t="s">
        <v>1406</v>
      </c>
      <c r="B12" s="3721"/>
      <c r="C12" s="3721"/>
      <c r="D12" s="3721"/>
      <c r="E12" s="3721"/>
      <c r="F12" s="3721"/>
      <c r="G12" s="3721"/>
      <c r="H12" s="3721"/>
      <c r="I12" s="3721"/>
      <c r="J12" s="3721"/>
      <c r="K12" s="3721"/>
      <c r="L12" s="3721"/>
      <c r="M12" s="3721"/>
      <c r="N12" s="3721"/>
      <c r="O12" s="3721"/>
      <c r="P12" s="3721"/>
      <c r="Q12" s="3722"/>
      <c r="R12" s="1375"/>
      <c r="S12" s="1375"/>
    </row>
    <row r="13" spans="1:32" ht="11.25" customHeight="1">
      <c r="A13" s="3720" t="s">
        <v>1407</v>
      </c>
      <c r="B13" s="3721"/>
      <c r="C13" s="3721"/>
      <c r="D13" s="3721"/>
      <c r="E13" s="3721"/>
      <c r="F13" s="3721"/>
      <c r="G13" s="3721"/>
      <c r="H13" s="3721"/>
      <c r="I13" s="3721"/>
      <c r="J13" s="3721"/>
      <c r="K13" s="3721"/>
      <c r="L13" s="3721"/>
      <c r="M13" s="3721"/>
      <c r="N13" s="3721"/>
      <c r="O13" s="3721"/>
      <c r="P13" s="3721"/>
      <c r="Q13" s="3722"/>
      <c r="R13" s="1375"/>
      <c r="S13" s="1375"/>
    </row>
    <row r="14" spans="1:32" ht="11.25" customHeight="1">
      <c r="A14" s="3720" t="s">
        <v>1409</v>
      </c>
      <c r="B14" s="3721"/>
      <c r="C14" s="3721"/>
      <c r="D14" s="3721"/>
      <c r="E14" s="3721"/>
      <c r="F14" s="3721"/>
      <c r="G14" s="3721"/>
      <c r="H14" s="3721"/>
      <c r="I14" s="3721"/>
      <c r="J14" s="3721"/>
      <c r="K14" s="3721"/>
      <c r="L14" s="3721"/>
      <c r="M14" s="3721"/>
      <c r="N14" s="3721"/>
      <c r="O14" s="3721"/>
      <c r="P14" s="3721"/>
      <c r="Q14" s="3722"/>
    </row>
    <row r="15" spans="1:32" ht="11.25" customHeight="1">
      <c r="A15" s="3720" t="s">
        <v>2018</v>
      </c>
      <c r="B15" s="3721"/>
      <c r="C15" s="3721"/>
      <c r="D15" s="3721"/>
      <c r="E15" s="3721"/>
      <c r="F15" s="3721"/>
      <c r="G15" s="3721"/>
      <c r="H15" s="3721"/>
      <c r="I15" s="3721"/>
      <c r="J15" s="3721"/>
      <c r="K15" s="3721"/>
      <c r="L15" s="3721"/>
      <c r="M15" s="3721"/>
      <c r="N15" s="3721"/>
      <c r="O15" s="3721"/>
      <c r="P15" s="3721"/>
      <c r="Q15" s="3722"/>
      <c r="R15" s="3515" t="s">
        <v>2031</v>
      </c>
      <c r="S15" s="3146"/>
    </row>
    <row r="16" spans="1:32" ht="11.25" customHeight="1">
      <c r="A16" s="3720" t="s">
        <v>2019</v>
      </c>
      <c r="B16" s="3721"/>
      <c r="C16" s="3721"/>
      <c r="D16" s="3721"/>
      <c r="E16" s="3721"/>
      <c r="F16" s="3721"/>
      <c r="G16" s="3721"/>
      <c r="H16" s="3721"/>
      <c r="I16" s="3721"/>
      <c r="J16" s="3721"/>
      <c r="K16" s="3721"/>
      <c r="L16" s="3721"/>
      <c r="M16" s="3721"/>
      <c r="N16" s="3721"/>
      <c r="O16" s="3721"/>
      <c r="P16" s="3721"/>
      <c r="Q16" s="3722"/>
      <c r="R16" s="3515"/>
      <c r="S16" s="3146"/>
    </row>
    <row r="17" spans="1:31" ht="11.25" customHeight="1">
      <c r="A17" s="3720" t="s">
        <v>2020</v>
      </c>
      <c r="B17" s="3721"/>
      <c r="C17" s="3721"/>
      <c r="D17" s="3721"/>
      <c r="E17" s="3721"/>
      <c r="F17" s="3721"/>
      <c r="G17" s="3721"/>
      <c r="H17" s="3721"/>
      <c r="I17" s="3721"/>
      <c r="J17" s="3721"/>
      <c r="K17" s="3721"/>
      <c r="L17" s="3721"/>
      <c r="M17" s="3721"/>
      <c r="N17" s="3721"/>
      <c r="O17" s="3721"/>
      <c r="P17" s="3721"/>
      <c r="Q17" s="3722"/>
      <c r="R17" s="3515"/>
      <c r="S17" s="3146"/>
    </row>
    <row r="18" spans="1:31" ht="11.25" customHeight="1">
      <c r="A18" s="3720" t="s">
        <v>2021</v>
      </c>
      <c r="B18" s="3721"/>
      <c r="C18" s="3721"/>
      <c r="D18" s="3721"/>
      <c r="E18" s="3721"/>
      <c r="F18" s="3721"/>
      <c r="G18" s="3721"/>
      <c r="H18" s="3721"/>
      <c r="I18" s="3721"/>
      <c r="J18" s="3721"/>
      <c r="K18" s="3721"/>
      <c r="L18" s="3721"/>
      <c r="M18" s="3721"/>
      <c r="N18" s="3721"/>
      <c r="O18" s="3721"/>
      <c r="P18" s="3721"/>
      <c r="Q18" s="3722"/>
      <c r="R18" s="3515"/>
      <c r="S18" s="3146"/>
    </row>
    <row r="19" spans="1:31" ht="11.25" customHeight="1">
      <c r="A19" s="3720" t="s">
        <v>2022</v>
      </c>
      <c r="B19" s="3721"/>
      <c r="C19" s="3721"/>
      <c r="D19" s="3721"/>
      <c r="E19" s="3721"/>
      <c r="F19" s="3721"/>
      <c r="G19" s="3721"/>
      <c r="H19" s="3721"/>
      <c r="I19" s="3721"/>
      <c r="J19" s="3721"/>
      <c r="K19" s="3721"/>
      <c r="L19" s="3721"/>
      <c r="M19" s="3721"/>
      <c r="N19" s="3721"/>
      <c r="O19" s="3721"/>
      <c r="P19" s="3721"/>
      <c r="Q19" s="3722"/>
      <c r="R19" s="3515"/>
      <c r="S19" s="3146"/>
    </row>
    <row r="20" spans="1:31" ht="11.25" customHeight="1">
      <c r="A20" s="3720" t="s">
        <v>2023</v>
      </c>
      <c r="B20" s="3721"/>
      <c r="C20" s="3721"/>
      <c r="D20" s="3721"/>
      <c r="E20" s="3721"/>
      <c r="F20" s="3721"/>
      <c r="G20" s="3721"/>
      <c r="H20" s="3721"/>
      <c r="I20" s="3721"/>
      <c r="J20" s="3721"/>
      <c r="K20" s="3721"/>
      <c r="L20" s="3721"/>
      <c r="M20" s="3721"/>
      <c r="N20" s="3721"/>
      <c r="O20" s="3721"/>
      <c r="P20" s="3721"/>
      <c r="Q20" s="3722"/>
      <c r="R20" s="3515"/>
      <c r="S20" s="3146"/>
    </row>
    <row r="21" spans="1:31" ht="11.25" customHeight="1">
      <c r="A21" s="3720" t="s">
        <v>2024</v>
      </c>
      <c r="B21" s="3721"/>
      <c r="C21" s="3721"/>
      <c r="D21" s="3721"/>
      <c r="E21" s="3721"/>
      <c r="F21" s="3721"/>
      <c r="G21" s="3721"/>
      <c r="H21" s="3721"/>
      <c r="I21" s="3721"/>
      <c r="J21" s="3721"/>
      <c r="K21" s="3721"/>
      <c r="L21" s="3721"/>
      <c r="M21" s="3721"/>
      <c r="N21" s="3721"/>
      <c r="O21" s="3721"/>
      <c r="P21" s="3721"/>
      <c r="Q21" s="3722"/>
    </row>
    <row r="22" spans="1:31" ht="11.25" customHeight="1">
      <c r="A22" s="3720" t="s">
        <v>2025</v>
      </c>
      <c r="B22" s="3721"/>
      <c r="C22" s="3721"/>
      <c r="D22" s="3721"/>
      <c r="E22" s="3721"/>
      <c r="F22" s="3721"/>
      <c r="G22" s="3721"/>
      <c r="H22" s="3721"/>
      <c r="I22" s="3721"/>
      <c r="J22" s="3721"/>
      <c r="K22" s="3721"/>
      <c r="L22" s="3721"/>
      <c r="M22" s="3721"/>
      <c r="N22" s="3721"/>
      <c r="O22" s="3721"/>
      <c r="P22" s="3721"/>
      <c r="Q22" s="3722"/>
      <c r="R22" s="3515" t="s">
        <v>2031</v>
      </c>
      <c r="S22" s="3146"/>
    </row>
    <row r="23" spans="1:31" ht="11.25" customHeight="1">
      <c r="A23" s="3720" t="s">
        <v>2026</v>
      </c>
      <c r="B23" s="3721"/>
      <c r="C23" s="3721"/>
      <c r="D23" s="3721"/>
      <c r="E23" s="3721"/>
      <c r="F23" s="3721"/>
      <c r="G23" s="3721"/>
      <c r="H23" s="3721"/>
      <c r="I23" s="3721"/>
      <c r="J23" s="3721"/>
      <c r="K23" s="3721"/>
      <c r="L23" s="3721"/>
      <c r="M23" s="3721"/>
      <c r="N23" s="3721"/>
      <c r="O23" s="3721"/>
      <c r="P23" s="3721"/>
      <c r="Q23" s="3722"/>
      <c r="R23" s="3515"/>
      <c r="S23" s="3146"/>
    </row>
    <row r="24" spans="1:31" ht="11.25" customHeight="1">
      <c r="A24" s="3720" t="s">
        <v>2027</v>
      </c>
      <c r="B24" s="3721"/>
      <c r="C24" s="3721"/>
      <c r="D24" s="3721"/>
      <c r="E24" s="3721"/>
      <c r="F24" s="3721"/>
      <c r="G24" s="3721"/>
      <c r="H24" s="3721"/>
      <c r="I24" s="3721"/>
      <c r="J24" s="3721"/>
      <c r="K24" s="3721"/>
      <c r="L24" s="3721"/>
      <c r="M24" s="3721"/>
      <c r="N24" s="3721"/>
      <c r="O24" s="3721"/>
      <c r="P24" s="3721"/>
      <c r="Q24" s="3722"/>
      <c r="R24" s="3515"/>
      <c r="S24" s="3146"/>
    </row>
    <row r="25" spans="1:31" ht="11.25" customHeight="1">
      <c r="A25" s="3720" t="s">
        <v>2028</v>
      </c>
      <c r="B25" s="3721"/>
      <c r="C25" s="3721"/>
      <c r="D25" s="3721"/>
      <c r="E25" s="3721"/>
      <c r="F25" s="3721"/>
      <c r="G25" s="3721"/>
      <c r="H25" s="3721"/>
      <c r="I25" s="3721"/>
      <c r="J25" s="3721"/>
      <c r="K25" s="3721"/>
      <c r="L25" s="3721"/>
      <c r="M25" s="3721"/>
      <c r="N25" s="3721"/>
      <c r="O25" s="3721"/>
      <c r="P25" s="3721"/>
      <c r="Q25" s="3722"/>
      <c r="R25" s="3515"/>
      <c r="S25" s="3146"/>
    </row>
    <row r="26" spans="1:31" ht="11.25" customHeight="1">
      <c r="A26" s="3720" t="s">
        <v>2029</v>
      </c>
      <c r="B26" s="3721"/>
      <c r="C26" s="3721"/>
      <c r="D26" s="3721"/>
      <c r="E26" s="3721"/>
      <c r="F26" s="3721"/>
      <c r="G26" s="3721"/>
      <c r="H26" s="3721"/>
      <c r="I26" s="3721"/>
      <c r="J26" s="3721"/>
      <c r="K26" s="3721"/>
      <c r="L26" s="3721"/>
      <c r="M26" s="3721"/>
      <c r="N26" s="3721"/>
      <c r="O26" s="3721"/>
      <c r="P26" s="3721"/>
      <c r="Q26" s="3722"/>
      <c r="R26" s="3515"/>
      <c r="S26" s="3146"/>
    </row>
    <row r="27" spans="1:31" ht="11.25" customHeight="1">
      <c r="A27" s="3743" t="s">
        <v>2030</v>
      </c>
      <c r="B27" s="3744"/>
      <c r="C27" s="3744"/>
      <c r="D27" s="3744"/>
      <c r="E27" s="3744"/>
      <c r="F27" s="3744"/>
      <c r="G27" s="3744"/>
      <c r="H27" s="3744"/>
      <c r="I27" s="3744"/>
      <c r="J27" s="3744"/>
      <c r="K27" s="3744"/>
      <c r="L27" s="3744"/>
      <c r="M27" s="3744"/>
      <c r="N27" s="3744"/>
      <c r="O27" s="3744"/>
      <c r="P27" s="3744"/>
      <c r="Q27" s="3745"/>
      <c r="R27" s="3515"/>
      <c r="S27" s="314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03"/>
      <c r="Q29" s="3604"/>
    </row>
    <row r="30" spans="1:31" ht="3" customHeight="1"/>
    <row r="31" spans="1:31" ht="11.25" customHeight="1">
      <c r="B31" s="67" t="s">
        <v>3753</v>
      </c>
      <c r="C31" s="67"/>
      <c r="D31" s="67"/>
      <c r="E31" s="67"/>
      <c r="F31" s="67"/>
      <c r="G31" s="1385"/>
      <c r="H31" s="1385"/>
      <c r="I31" s="1385"/>
      <c r="J31" s="1385"/>
      <c r="K31" s="1378"/>
      <c r="L31" s="1378"/>
      <c r="M31" s="1378"/>
      <c r="N31" s="1378"/>
      <c r="O31" s="1378"/>
      <c r="P31" s="1020"/>
      <c r="S31" s="162"/>
      <c r="T31" s="162"/>
    </row>
    <row r="32" spans="1:31" ht="108.75" customHeight="1">
      <c r="A32" s="3644" t="s">
        <v>5284</v>
      </c>
      <c r="B32" s="3645"/>
      <c r="C32" s="3645"/>
      <c r="D32" s="3645"/>
      <c r="E32" s="3645"/>
      <c r="F32" s="3645"/>
      <c r="G32" s="3645"/>
      <c r="H32" s="3645"/>
      <c r="I32" s="3645"/>
      <c r="J32" s="3645"/>
      <c r="K32" s="3645"/>
      <c r="L32" s="3645"/>
      <c r="M32" s="3645"/>
      <c r="N32" s="3645"/>
      <c r="O32" s="3645"/>
      <c r="P32" s="3645"/>
      <c r="Q32" s="3646"/>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6"/>
      <c r="B34" s="3746"/>
      <c r="C34" s="3746"/>
      <c r="D34" s="3746"/>
      <c r="E34" s="3746"/>
      <c r="F34" s="3746"/>
      <c r="G34" s="3746"/>
      <c r="H34" s="3746"/>
      <c r="I34" s="3746"/>
      <c r="J34" s="3746"/>
      <c r="K34" s="3746"/>
      <c r="L34" s="3746"/>
      <c r="M34" s="3746"/>
      <c r="N34" s="3746"/>
      <c r="O34" s="3746"/>
      <c r="P34" s="3746"/>
      <c r="Q34" s="3746"/>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3"/>
      <c r="Q36" s="3604"/>
    </row>
    <row r="37" spans="1:295" ht="11.25" customHeight="1">
      <c r="A37" s="3607"/>
      <c r="B37" s="3607"/>
      <c r="C37" s="3607"/>
      <c r="D37" s="3607"/>
      <c r="E37" s="3607"/>
      <c r="F37" s="2624"/>
      <c r="G37" s="3747" t="s">
        <v>2715</v>
      </c>
      <c r="H37" s="3748"/>
      <c r="I37" s="719"/>
      <c r="J37" s="42"/>
      <c r="K37" s="3749" t="s">
        <v>3634</v>
      </c>
      <c r="L37" s="3750"/>
      <c r="M37" s="3750"/>
      <c r="N37" s="3751"/>
    </row>
    <row r="38" spans="1:295" ht="11.25" customHeight="1">
      <c r="A38" s="3607"/>
      <c r="B38" s="3607"/>
      <c r="C38" s="3607"/>
      <c r="D38" s="3607"/>
      <c r="E38" s="3607"/>
      <c r="F38" s="2624"/>
      <c r="G38" s="3752" t="s">
        <v>346</v>
      </c>
      <c r="H38" s="3753"/>
      <c r="I38" s="719"/>
      <c r="J38" s="42"/>
      <c r="K38" s="3754" t="s">
        <v>3635</v>
      </c>
      <c r="L38" s="3755"/>
      <c r="M38" s="3755"/>
      <c r="N38" s="3756"/>
      <c r="P38" s="596" t="s">
        <v>2735</v>
      </c>
      <c r="Q38" s="98" t="s">
        <v>2990</v>
      </c>
    </row>
    <row r="39" spans="1:295" ht="4.5" customHeight="1">
      <c r="A39" s="2624"/>
      <c r="B39" s="2624"/>
      <c r="C39" s="2624"/>
      <c r="D39" s="2624"/>
      <c r="E39" s="2624"/>
      <c r="F39" s="2624"/>
      <c r="G39" s="235"/>
      <c r="H39" s="235"/>
      <c r="I39" s="235"/>
      <c r="J39" s="42"/>
      <c r="K39" s="3611"/>
      <c r="L39" s="3611"/>
      <c r="M39" s="3611"/>
      <c r="N39" s="3611"/>
    </row>
    <row r="40" spans="1:295" s="84" customFormat="1" ht="10.5" customHeight="1">
      <c r="D40" s="720" t="s">
        <v>2714</v>
      </c>
      <c r="E40" s="35"/>
      <c r="F40" s="721" t="s">
        <v>3453</v>
      </c>
      <c r="G40" s="3757" t="s">
        <v>5042</v>
      </c>
      <c r="H40" s="3757"/>
      <c r="I40" s="3757"/>
      <c r="J40" s="35"/>
      <c r="K40" s="721" t="s">
        <v>3453</v>
      </c>
      <c r="L40" s="3757" t="s">
        <v>5041</v>
      </c>
      <c r="M40" s="3757"/>
      <c r="N40" s="3757"/>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2" t="s">
        <v>3358</v>
      </c>
      <c r="B41" s="3742"/>
      <c r="C41" s="3742"/>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64" t="s">
        <v>3891</v>
      </c>
      <c r="Q41" s="3764"/>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2"/>
      <c r="B42" s="3742"/>
      <c r="C42" s="3742"/>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58" t="str">
        <f>IF('Part I-Project Information'!$F$38="","",VLOOKUP('Part I-Project Information'!$J$39,'DCA Underwriting Assumptions'!$G$158:$N$317,8,FALSE))</f>
        <v>Atlanta</v>
      </c>
      <c r="Q42" s="3759"/>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2"/>
      <c r="B43" s="3742"/>
      <c r="C43" s="3742"/>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60"/>
      <c r="Q43" s="3761"/>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2"/>
      <c r="B44" s="3742"/>
      <c r="C44" s="3742"/>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5" t="s">
        <v>5040</v>
      </c>
      <c r="Q44" s="3605"/>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87">
        <f>'Part IV-A-Uses of Funds'!$G$132</f>
        <v>49998466.819839999</v>
      </c>
      <c r="Q45" s="3788"/>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89"/>
      <c r="Q46" s="3790"/>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2" t="s">
        <v>3353</v>
      </c>
      <c r="B48" s="3742"/>
      <c r="C48" s="3742"/>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65" t="s">
        <v>4745</v>
      </c>
      <c r="T48" s="3766"/>
      <c r="U48" s="3766"/>
      <c r="V48" s="3767"/>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2"/>
      <c r="B49" s="3742"/>
      <c r="C49" s="3742"/>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12" t="s">
        <v>4088</v>
      </c>
      <c r="Q49" s="3312"/>
      <c r="S49" s="3768"/>
      <c r="T49" s="3769"/>
      <c r="U49" s="3769"/>
      <c r="V49" s="3770"/>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2"/>
      <c r="B50" s="3742"/>
      <c r="C50" s="3742"/>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776"/>
      <c r="Q50" s="3777"/>
      <c r="R50" s="466"/>
      <c r="S50" s="3768"/>
      <c r="T50" s="3769"/>
      <c r="U50" s="3769"/>
      <c r="V50" s="3770"/>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78"/>
      <c r="Q51" s="3779"/>
      <c r="S51" s="3768"/>
      <c r="T51" s="3769"/>
      <c r="U51" s="3769"/>
      <c r="V51" s="3770"/>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86" t="s">
        <v>3629</v>
      </c>
      <c r="Q52" s="3786"/>
      <c r="S52" s="3768"/>
      <c r="T52" s="3769"/>
      <c r="U52" s="3769"/>
      <c r="V52" s="3770"/>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68"/>
      <c r="T53" s="3769"/>
      <c r="U53" s="3769"/>
      <c r="V53" s="3770"/>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8"/>
      <c r="T54" s="3769"/>
      <c r="U54" s="3769"/>
      <c r="V54" s="3770"/>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68"/>
      <c r="T55" s="3769"/>
      <c r="U55" s="3769"/>
      <c r="V55" s="3770"/>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86" t="s">
        <v>3630</v>
      </c>
      <c r="Q56" s="3786"/>
      <c r="S56" s="3768"/>
      <c r="T56" s="3769"/>
      <c r="U56" s="3769"/>
      <c r="V56" s="3770"/>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3246</v>
      </c>
      <c r="Q57" s="1342" t="s">
        <v>256</v>
      </c>
      <c r="S57" s="3768"/>
      <c r="T57" s="3769"/>
      <c r="U57" s="3769"/>
      <c r="V57" s="3770"/>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771"/>
      <c r="T58" s="3772"/>
      <c r="U58" s="3772"/>
      <c r="V58" s="3773"/>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36" t="s">
        <v>2770</v>
      </c>
      <c r="Q59" s="3736"/>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6"/>
      <c r="Q60" s="3736"/>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6"/>
      <c r="Q61" s="3736"/>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37"/>
      <c r="Q62" s="3737"/>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64</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64 units = </v>
      </c>
      <c r="I63" s="2623">
        <f>IF(F63="","",F63*G63)</f>
        <v>10349120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38">
        <f>IF(P50&gt;1,P50, IF(OR('Part IX Scoring Criteria'!$O$71='Part IX Scoring Criteria'!$M$71,AND('Part IV-A-Uses of Funds'!$T$165="Yes",'Part IX Scoring Criteria'!$O$420&gt;0)),H69+M69,H69))</f>
        <v>51930500</v>
      </c>
      <c r="Q63" s="3739"/>
      <c r="R63" s="3783"/>
      <c r="S63" s="3784"/>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120</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120 units = </v>
      </c>
      <c r="I64" s="2623">
        <f t="shared" ref="I64:I66" si="6">IF(F64="","",F64*G64)</f>
        <v>24948840</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40"/>
      <c r="Q64" s="3741"/>
      <c r="R64" s="3783"/>
      <c r="S64" s="3784"/>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60</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60 units = </v>
      </c>
      <c r="I65" s="2623">
        <f t="shared" si="6"/>
        <v>16632540</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80" t="s">
        <v>4240</v>
      </c>
      <c r="Q65" s="3780"/>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81"/>
      <c r="Q66" s="3781"/>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244</v>
      </c>
      <c r="G67" s="722"/>
      <c r="H67" s="1335"/>
      <c r="I67" s="1338">
        <f>SUM(I62:I66)</f>
        <v>51930500</v>
      </c>
      <c r="J67" s="1337"/>
      <c r="K67" s="1334">
        <f>SUM(K62:K66)</f>
        <v>0</v>
      </c>
      <c r="L67" s="1337"/>
      <c r="M67" s="1335"/>
      <c r="N67" s="1338">
        <f>SUM(N62:N66)</f>
        <v>0</v>
      </c>
      <c r="O67" s="652"/>
      <c r="P67" s="3781"/>
      <c r="Q67" s="3781"/>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1"/>
      <c r="Q68" s="3781"/>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244</v>
      </c>
      <c r="G69" s="370"/>
      <c r="H69" s="3785">
        <f>I46+I53+I60+I67</f>
        <v>51930500</v>
      </c>
      <c r="I69" s="3785"/>
      <c r="J69" s="3785"/>
      <c r="K69" s="713">
        <f>K46+K53+K60+K67</f>
        <v>0</v>
      </c>
      <c r="L69" s="714"/>
      <c r="M69" s="3785">
        <f>N46+N53+N60+N67</f>
        <v>0</v>
      </c>
      <c r="N69" s="3785"/>
      <c r="O69" s="3785"/>
      <c r="P69" s="3781"/>
      <c r="Q69" s="3781"/>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5"/>
      <c r="J70" s="1385"/>
      <c r="K70" s="140" t="s">
        <v>1866</v>
      </c>
      <c r="L70" s="1378"/>
      <c r="M70" s="1378"/>
      <c r="N70" s="1378"/>
      <c r="O70" s="1378"/>
      <c r="P70" s="3782"/>
      <c r="Q70" s="3782"/>
    </row>
    <row r="71" spans="1:295" ht="10.5" customHeight="1">
      <c r="A71" s="3644" t="s">
        <v>5315</v>
      </c>
      <c r="B71" s="3645"/>
      <c r="C71" s="3645"/>
      <c r="D71" s="3645"/>
      <c r="E71" s="3645"/>
      <c r="F71" s="3645"/>
      <c r="G71" s="3645"/>
      <c r="H71" s="3645"/>
      <c r="I71" s="3645"/>
      <c r="J71" s="3646"/>
      <c r="K71" s="3600"/>
      <c r="L71" s="3601"/>
      <c r="M71" s="3601"/>
      <c r="N71" s="3601"/>
      <c r="O71" s="3601"/>
      <c r="P71" s="3601"/>
      <c r="Q71" s="3602"/>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1" t="str">
        <f>'Part I-Project Information'!$H$82</f>
        <v>Family</v>
      </c>
      <c r="K73" s="3791"/>
      <c r="L73" s="3791"/>
      <c r="O73" s="135" t="s">
        <v>1867</v>
      </c>
      <c r="P73" s="3603"/>
      <c r="Q73" s="3604"/>
    </row>
    <row r="74" spans="1:295" ht="10.5" customHeight="1">
      <c r="B74" s="97" t="s">
        <v>3753</v>
      </c>
      <c r="D74" s="97"/>
      <c r="E74" s="97"/>
      <c r="F74" s="97"/>
      <c r="G74" s="97"/>
      <c r="H74" s="40"/>
      <c r="I74" s="1385"/>
      <c r="J74" s="1385"/>
      <c r="K74" s="140" t="s">
        <v>1866</v>
      </c>
      <c r="L74" s="1378"/>
      <c r="M74" s="1378"/>
      <c r="N74" s="1378"/>
      <c r="O74" s="1378"/>
      <c r="P74" s="1378"/>
      <c r="Q74" s="1020"/>
    </row>
    <row r="75" spans="1:295" ht="10.5" customHeight="1">
      <c r="A75" s="3644" t="s">
        <v>5316</v>
      </c>
      <c r="B75" s="3645"/>
      <c r="C75" s="3645"/>
      <c r="D75" s="3645"/>
      <c r="E75" s="3645"/>
      <c r="F75" s="3645"/>
      <c r="G75" s="3645"/>
      <c r="H75" s="3645"/>
      <c r="I75" s="3645"/>
      <c r="J75" s="3646"/>
      <c r="K75" s="3600"/>
      <c r="L75" s="3601"/>
      <c r="M75" s="3601"/>
      <c r="N75" s="3601"/>
      <c r="O75" s="3601"/>
      <c r="P75" s="3601"/>
      <c r="Q75" s="3602"/>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4754</v>
      </c>
      <c r="M77" s="2414" t="s">
        <v>4755</v>
      </c>
      <c r="O77" s="135" t="s">
        <v>1867</v>
      </c>
      <c r="P77" s="3603"/>
      <c r="Q77" s="3604"/>
    </row>
    <row r="78" spans="1:295" ht="1.5" customHeight="1"/>
    <row r="79" spans="1:295" ht="12" customHeight="1">
      <c r="A79" s="145" t="s">
        <v>1983</v>
      </c>
      <c r="B79" s="3662" t="s">
        <v>4746</v>
      </c>
      <c r="C79" s="3662"/>
      <c r="D79" s="3662"/>
      <c r="E79" s="3662"/>
      <c r="F79" s="3662"/>
      <c r="G79" s="3662"/>
      <c r="H79" s="3662"/>
      <c r="I79" s="3662"/>
      <c r="J79" s="3662"/>
      <c r="K79" s="151"/>
      <c r="L79" s="498" t="s">
        <v>2911</v>
      </c>
      <c r="M79" s="2519">
        <v>2</v>
      </c>
      <c r="N79" s="450" t="s">
        <v>3696</v>
      </c>
      <c r="P79" s="3774" t="s">
        <v>5285</v>
      </c>
      <c r="Q79" s="3762"/>
    </row>
    <row r="80" spans="1:295" ht="12" customHeight="1">
      <c r="A80" s="145"/>
      <c r="B80" s="3662"/>
      <c r="C80" s="3662"/>
      <c r="D80" s="3662"/>
      <c r="E80" s="3662"/>
      <c r="F80" s="3662"/>
      <c r="G80" s="3662"/>
      <c r="H80" s="3662"/>
      <c r="I80" s="3662"/>
      <c r="J80" s="3662"/>
      <c r="K80" s="151"/>
      <c r="L80" s="498" t="s">
        <v>4753</v>
      </c>
      <c r="M80" s="2520">
        <v>4</v>
      </c>
      <c r="O80" s="146"/>
      <c r="P80" s="3775"/>
      <c r="Q80" s="3763"/>
    </row>
    <row r="81" spans="1:31" ht="12" customHeight="1">
      <c r="A81" s="47" t="s">
        <v>1985</v>
      </c>
      <c r="B81" s="450" t="s">
        <v>4756</v>
      </c>
      <c r="C81" s="450"/>
      <c r="D81" s="450"/>
      <c r="E81" s="450"/>
      <c r="F81" s="450"/>
      <c r="G81" s="450"/>
      <c r="H81" s="450"/>
      <c r="I81" s="450"/>
      <c r="J81" s="450"/>
      <c r="K81" s="675"/>
      <c r="L81" s="450"/>
      <c r="M81" s="151"/>
      <c r="N81" s="1080"/>
      <c r="O81" s="1080"/>
      <c r="P81" s="1080"/>
    </row>
    <row r="82" spans="1:31" ht="12" customHeight="1">
      <c r="A82" s="2408"/>
      <c r="B82" s="2579" t="s">
        <v>1737</v>
      </c>
      <c r="C82" s="450" t="s">
        <v>4760</v>
      </c>
      <c r="D82" s="2412"/>
      <c r="E82" s="2412"/>
      <c r="F82" s="2412"/>
      <c r="G82" s="2412"/>
      <c r="H82" s="2412"/>
      <c r="I82" s="2412"/>
      <c r="J82" s="2412"/>
      <c r="K82" s="2411"/>
      <c r="L82" s="1079"/>
      <c r="N82" s="450" t="s">
        <v>3696</v>
      </c>
      <c r="O82" s="1080"/>
      <c r="P82" s="238" t="s">
        <v>5285</v>
      </c>
      <c r="Q82" s="617"/>
    </row>
    <row r="83" spans="1:31" ht="12" customHeight="1">
      <c r="A83" s="2408"/>
      <c r="B83" s="2579" t="s">
        <v>1738</v>
      </c>
      <c r="C83" s="450" t="s">
        <v>4757</v>
      </c>
      <c r="D83" s="2412"/>
      <c r="E83" s="2412"/>
      <c r="F83" s="2412"/>
      <c r="G83" s="2412"/>
      <c r="H83" s="2412"/>
      <c r="I83" s="2412"/>
      <c r="J83" s="2412"/>
      <c r="K83" s="2411"/>
      <c r="L83" s="1079"/>
      <c r="N83" s="450" t="s">
        <v>3696</v>
      </c>
      <c r="O83" s="1080"/>
      <c r="P83" s="422" t="s">
        <v>5285</v>
      </c>
      <c r="Q83" s="618"/>
    </row>
    <row r="84" spans="1:31" ht="12" customHeight="1">
      <c r="A84" s="2407"/>
      <c r="B84" s="2579" t="s">
        <v>1739</v>
      </c>
      <c r="C84" s="450" t="s">
        <v>4758</v>
      </c>
      <c r="E84" s="2412"/>
      <c r="F84" s="2412"/>
      <c r="G84" s="2412"/>
      <c r="H84" s="2412"/>
      <c r="I84" s="2412"/>
      <c r="J84" s="2412"/>
      <c r="K84" s="2411"/>
      <c r="L84" s="1079"/>
      <c r="M84" s="1080"/>
      <c r="N84" s="450" t="s">
        <v>3696</v>
      </c>
      <c r="O84" s="1080"/>
      <c r="P84" s="422" t="s">
        <v>5285</v>
      </c>
      <c r="Q84" s="618"/>
    </row>
    <row r="85" spans="1:31" ht="11.1" customHeight="1">
      <c r="A85" s="147"/>
      <c r="B85" s="541" t="s">
        <v>2365</v>
      </c>
      <c r="C85" s="541" t="s">
        <v>4761</v>
      </c>
      <c r="D85" s="137"/>
      <c r="E85" s="137"/>
      <c r="F85" s="137"/>
      <c r="G85" s="137"/>
      <c r="H85" s="137"/>
      <c r="I85" s="42"/>
      <c r="J85" s="42"/>
      <c r="N85" s="450" t="s">
        <v>3696</v>
      </c>
      <c r="O85" s="1080"/>
      <c r="P85" s="239"/>
      <c r="Q85" s="619"/>
    </row>
    <row r="86" spans="1:31" ht="11.1" customHeight="1">
      <c r="A86" s="147"/>
      <c r="B86" s="541"/>
      <c r="C86" s="450" t="s">
        <v>4762</v>
      </c>
      <c r="D86" s="137"/>
      <c r="E86" s="137"/>
      <c r="F86" s="137"/>
      <c r="G86" s="137"/>
      <c r="H86" s="137"/>
      <c r="I86" s="42"/>
      <c r="J86" s="42"/>
      <c r="L86" s="3630"/>
      <c r="M86" s="3631"/>
      <c r="N86" s="3631"/>
      <c r="O86" s="3631"/>
      <c r="P86" s="3631"/>
      <c r="Q86" s="3632"/>
    </row>
    <row r="87" spans="1:31" ht="11.1" customHeight="1">
      <c r="A87" s="147"/>
      <c r="B87" s="541" t="s">
        <v>1549</v>
      </c>
      <c r="C87" s="3662" t="s">
        <v>4759</v>
      </c>
      <c r="D87" s="3662"/>
      <c r="E87" s="3662"/>
      <c r="F87" s="3662"/>
      <c r="G87" s="3662"/>
      <c r="H87" s="3662"/>
      <c r="I87" s="3662"/>
      <c r="J87" s="3662"/>
      <c r="K87" s="3662"/>
      <c r="L87" s="3662"/>
      <c r="M87" s="610"/>
      <c r="N87" s="450" t="s">
        <v>3696</v>
      </c>
      <c r="O87" s="1080"/>
      <c r="P87" s="542" t="s">
        <v>5285</v>
      </c>
      <c r="Q87" s="616"/>
    </row>
    <row r="88" spans="1:31" ht="11.1" customHeight="1">
      <c r="A88" s="47"/>
      <c r="C88" s="3662"/>
      <c r="D88" s="3662"/>
      <c r="E88" s="3662"/>
      <c r="F88" s="3662"/>
      <c r="G88" s="3662"/>
      <c r="H88" s="3662"/>
      <c r="I88" s="3662"/>
      <c r="J88" s="3662"/>
      <c r="K88" s="3662"/>
      <c r="L88" s="3662"/>
      <c r="M88" s="610"/>
    </row>
    <row r="89" spans="1:31" ht="10.5" customHeight="1">
      <c r="B89" s="97" t="s">
        <v>3753</v>
      </c>
      <c r="D89" s="97"/>
      <c r="E89" s="97"/>
      <c r="F89" s="97"/>
      <c r="G89" s="97"/>
      <c r="H89" s="40"/>
      <c r="I89" s="1385"/>
      <c r="J89" s="1385"/>
      <c r="K89" s="140" t="s">
        <v>1866</v>
      </c>
      <c r="L89" s="1378"/>
      <c r="M89" s="1378"/>
      <c r="N89" s="1378"/>
      <c r="O89" s="1378"/>
      <c r="P89" s="1378"/>
      <c r="Q89" s="1020"/>
    </row>
    <row r="90" spans="1:31" ht="23.25" customHeight="1">
      <c r="A90" s="3644" t="s">
        <v>5286</v>
      </c>
      <c r="B90" s="3645"/>
      <c r="C90" s="3645"/>
      <c r="D90" s="3645"/>
      <c r="E90" s="3645"/>
      <c r="F90" s="3645"/>
      <c r="G90" s="3645"/>
      <c r="H90" s="3645"/>
      <c r="I90" s="3645"/>
      <c r="J90" s="3646"/>
      <c r="K90" s="3600"/>
      <c r="L90" s="3601"/>
      <c r="M90" s="3601"/>
      <c r="N90" s="3601"/>
      <c r="O90" s="3601"/>
      <c r="P90" s="3601"/>
      <c r="Q90" s="3602"/>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03"/>
      <c r="Q92" s="3604"/>
    </row>
    <row r="93" spans="1:31" ht="3" customHeight="1"/>
    <row r="94" spans="1:31" ht="10.5" customHeight="1">
      <c r="A94" s="47" t="s">
        <v>1983</v>
      </c>
      <c r="B94" s="148" t="s">
        <v>2460</v>
      </c>
      <c r="D94" s="137"/>
      <c r="E94" s="137"/>
      <c r="F94" s="137"/>
      <c r="G94" s="137"/>
      <c r="H94" s="137"/>
      <c r="I94" s="42"/>
      <c r="J94" s="42"/>
      <c r="K94" s="42"/>
      <c r="L94" s="527" t="s">
        <v>1983</v>
      </c>
      <c r="M94" s="3647" t="s">
        <v>5287</v>
      </c>
      <c r="N94" s="3648"/>
      <c r="O94" s="3648"/>
      <c r="P94" s="3799"/>
      <c r="Q94" s="617"/>
    </row>
    <row r="95" spans="1:31" ht="10.5" customHeight="1">
      <c r="A95" s="47" t="s">
        <v>1985</v>
      </c>
      <c r="B95" s="52" t="s">
        <v>2036</v>
      </c>
      <c r="D95" s="137"/>
      <c r="E95" s="137"/>
      <c r="F95" s="137"/>
      <c r="L95" s="527" t="s">
        <v>1985</v>
      </c>
      <c r="M95" s="3800" t="s">
        <v>5288</v>
      </c>
      <c r="N95" s="3801"/>
      <c r="O95" s="3801"/>
      <c r="P95" s="3802"/>
      <c r="Q95" s="618"/>
    </row>
    <row r="96" spans="1:31" ht="10.5" customHeight="1">
      <c r="A96" s="47" t="s">
        <v>749</v>
      </c>
      <c r="B96" s="52" t="s">
        <v>2879</v>
      </c>
      <c r="D96" s="137"/>
      <c r="E96" s="137"/>
      <c r="F96" s="137"/>
      <c r="L96" s="527" t="s">
        <v>749</v>
      </c>
      <c r="M96" s="3803">
        <v>0.98599999999999999</v>
      </c>
      <c r="N96" s="3804"/>
      <c r="O96" s="3804"/>
      <c r="P96" s="3805"/>
      <c r="Q96" s="618"/>
    </row>
    <row r="97" spans="1:31" ht="10.5" customHeight="1">
      <c r="A97" s="47" t="s">
        <v>2115</v>
      </c>
      <c r="B97" s="52" t="s">
        <v>3895</v>
      </c>
      <c r="D97" s="137"/>
      <c r="E97" s="137"/>
      <c r="F97" s="137"/>
      <c r="L97" s="527" t="s">
        <v>3896</v>
      </c>
      <c r="M97" s="1497">
        <v>5.1999999999999998E-2</v>
      </c>
      <c r="N97" s="1343"/>
      <c r="O97" s="1344" t="s">
        <v>4127</v>
      </c>
      <c r="P97" s="1345" t="s">
        <v>970</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5289</v>
      </c>
      <c r="E100" s="3792" t="s">
        <v>5290</v>
      </c>
      <c r="F100" s="3792"/>
      <c r="G100" s="3792"/>
      <c r="H100" s="66" t="s">
        <v>1739</v>
      </c>
      <c r="I100" s="559"/>
      <c r="J100" s="3792"/>
      <c r="K100" s="3792"/>
      <c r="L100" s="3792"/>
      <c r="M100" s="65" t="s">
        <v>1549</v>
      </c>
      <c r="N100" s="559"/>
      <c r="O100" s="3792"/>
      <c r="P100" s="3792"/>
      <c r="Q100" s="3792"/>
    </row>
    <row r="101" spans="1:31" ht="10.5" customHeight="1">
      <c r="C101" s="66" t="s">
        <v>1738</v>
      </c>
      <c r="D101" s="560"/>
      <c r="E101" s="3811"/>
      <c r="F101" s="3811"/>
      <c r="G101" s="3811"/>
      <c r="H101" s="527" t="s">
        <v>2365</v>
      </c>
      <c r="I101" s="560"/>
      <c r="J101" s="3811"/>
      <c r="K101" s="3811"/>
      <c r="L101" s="3811"/>
      <c r="M101" s="65" t="s">
        <v>1550</v>
      </c>
      <c r="N101" s="560"/>
      <c r="O101" s="3811"/>
      <c r="P101" s="3811"/>
      <c r="Q101" s="3811"/>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3753</v>
      </c>
      <c r="D103" s="144"/>
      <c r="E103" s="144"/>
      <c r="F103" s="144"/>
      <c r="G103" s="144"/>
      <c r="H103" s="40"/>
      <c r="I103" s="1385"/>
      <c r="J103" s="1385"/>
      <c r="K103" s="1385"/>
      <c r="L103" s="1378"/>
      <c r="M103" s="1378"/>
      <c r="N103" s="1378"/>
      <c r="O103" s="1378"/>
      <c r="P103" s="1378"/>
      <c r="Q103" s="1020"/>
    </row>
    <row r="104" spans="1:31" ht="44.25" customHeight="1">
      <c r="A104" s="3644" t="s">
        <v>5317</v>
      </c>
      <c r="B104" s="3645"/>
      <c r="C104" s="3645"/>
      <c r="D104" s="3645"/>
      <c r="E104" s="3645"/>
      <c r="F104" s="3645"/>
      <c r="G104" s="3645"/>
      <c r="H104" s="3645"/>
      <c r="I104" s="3645"/>
      <c r="J104" s="3645"/>
      <c r="K104" s="3645"/>
      <c r="L104" s="3645"/>
      <c r="M104" s="3645"/>
      <c r="N104" s="3645"/>
      <c r="O104" s="3645"/>
      <c r="P104" s="3645"/>
      <c r="Q104" s="3646"/>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0"/>
      <c r="B106" s="3601"/>
      <c r="C106" s="3601"/>
      <c r="D106" s="3601"/>
      <c r="E106" s="3601"/>
      <c r="F106" s="3601"/>
      <c r="G106" s="3601"/>
      <c r="H106" s="3601"/>
      <c r="I106" s="3601"/>
      <c r="J106" s="3601"/>
      <c r="K106" s="3601"/>
      <c r="L106" s="3601"/>
      <c r="M106" s="3601"/>
      <c r="N106" s="3601"/>
      <c r="O106" s="3601"/>
      <c r="P106" s="3601"/>
      <c r="Q106" s="3602"/>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03"/>
      <c r="Q107" s="3604"/>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0" t="s">
        <v>5318</v>
      </c>
      <c r="N112" s="3631"/>
      <c r="O112" s="3631"/>
      <c r="P112" s="3273"/>
      <c r="Q112" s="618"/>
    </row>
    <row r="113" spans="1:32" ht="10.5" customHeight="1">
      <c r="A113" s="2403"/>
      <c r="B113" s="2579" t="s">
        <v>1737</v>
      </c>
      <c r="C113" s="1021" t="s">
        <v>4763</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599" t="s">
        <v>2689</v>
      </c>
      <c r="D117" s="3599"/>
      <c r="E117" s="3599"/>
      <c r="F117" s="3599"/>
      <c r="G117" s="3599"/>
      <c r="H117" s="3599"/>
      <c r="I117" s="3599"/>
      <c r="J117" s="3599"/>
      <c r="K117" s="3599"/>
      <c r="L117" s="3599"/>
      <c r="M117" s="3599"/>
      <c r="N117" s="3599"/>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3753</v>
      </c>
      <c r="D123" s="144"/>
      <c r="E123" s="144"/>
      <c r="F123" s="144"/>
      <c r="G123" s="144"/>
      <c r="H123" s="40"/>
      <c r="I123" s="1385"/>
      <c r="J123" s="1385"/>
      <c r="K123" s="1385"/>
      <c r="L123" s="1378"/>
      <c r="M123" s="1378"/>
      <c r="N123" s="1378"/>
      <c r="O123" s="1378"/>
      <c r="P123" s="1378"/>
      <c r="Q123" s="1020"/>
    </row>
    <row r="124" spans="1:32" ht="22.5" customHeight="1">
      <c r="A124" s="3644" t="s">
        <v>5319</v>
      </c>
      <c r="B124" s="3645"/>
      <c r="C124" s="3645"/>
      <c r="D124" s="3645"/>
      <c r="E124" s="3645"/>
      <c r="F124" s="3645"/>
      <c r="G124" s="3645"/>
      <c r="H124" s="3645"/>
      <c r="I124" s="3645"/>
      <c r="J124" s="3645"/>
      <c r="K124" s="3645"/>
      <c r="L124" s="3645"/>
      <c r="M124" s="3645"/>
      <c r="N124" s="3645"/>
      <c r="O124" s="3645"/>
      <c r="P124" s="3645"/>
      <c r="Q124" s="3646"/>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0"/>
      <c r="B126" s="3601"/>
      <c r="C126" s="3601"/>
      <c r="D126" s="3601"/>
      <c r="E126" s="3601"/>
      <c r="F126" s="3601"/>
      <c r="G126" s="3601"/>
      <c r="H126" s="3601"/>
      <c r="I126" s="3601"/>
      <c r="J126" s="3601"/>
      <c r="K126" s="3601"/>
      <c r="L126" s="3601"/>
      <c r="M126" s="3601"/>
      <c r="N126" s="3601"/>
      <c r="O126" s="3601"/>
      <c r="P126" s="3601"/>
      <c r="Q126" s="3602"/>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03"/>
      <c r="Q127" s="3604"/>
    </row>
    <row r="128" spans="1:32" ht="6.6" customHeight="1"/>
    <row r="129" spans="1:17" ht="12" customHeight="1">
      <c r="A129" s="47" t="s">
        <v>1983</v>
      </c>
      <c r="B129" s="52" t="s">
        <v>3636</v>
      </c>
      <c r="D129" s="137"/>
      <c r="E129" s="137"/>
      <c r="F129" s="137"/>
      <c r="G129" s="137"/>
      <c r="H129" s="137"/>
      <c r="I129" s="42"/>
      <c r="J129" s="42"/>
      <c r="K129" s="527" t="s">
        <v>1983</v>
      </c>
      <c r="L129" s="3807" t="s">
        <v>5320</v>
      </c>
      <c r="M129" s="3807"/>
      <c r="N129" s="3807"/>
      <c r="O129" s="3807"/>
      <c r="P129" s="3807"/>
      <c r="Q129" s="616"/>
    </row>
    <row r="130" spans="1:17" ht="12" customHeight="1">
      <c r="A130" s="47" t="s">
        <v>1985</v>
      </c>
      <c r="B130" s="52" t="s">
        <v>1538</v>
      </c>
      <c r="D130" s="137"/>
      <c r="E130" s="137"/>
      <c r="F130" s="137"/>
      <c r="G130" s="137"/>
      <c r="H130" s="137"/>
      <c r="I130" s="42"/>
      <c r="J130" s="42"/>
      <c r="K130" s="137"/>
      <c r="L130" s="1381"/>
      <c r="O130" s="527" t="s">
        <v>1985</v>
      </c>
      <c r="P130" s="1174" t="s">
        <v>2993</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07" t="s">
        <v>5320</v>
      </c>
      <c r="M132" s="3807"/>
      <c r="N132" s="3807"/>
      <c r="O132" s="3807"/>
      <c r="P132" s="3807"/>
      <c r="Q132" s="616"/>
    </row>
    <row r="133" spans="1:17" ht="12" customHeight="1">
      <c r="A133" s="142"/>
      <c r="B133" s="149" t="s">
        <v>1738</v>
      </c>
      <c r="C133" s="36" t="s">
        <v>3473</v>
      </c>
      <c r="E133" s="42"/>
      <c r="F133" s="42"/>
      <c r="G133" s="42"/>
      <c r="H133" s="52"/>
      <c r="I133" s="42"/>
      <c r="J133" s="42"/>
      <c r="K133" s="137"/>
      <c r="L133" s="1381"/>
      <c r="M133" s="1381"/>
      <c r="O133" s="527" t="s">
        <v>1738</v>
      </c>
      <c r="P133" s="113">
        <v>70</v>
      </c>
      <c r="Q133" s="621"/>
    </row>
    <row r="134" spans="1:17" ht="12" customHeight="1">
      <c r="A134" s="142"/>
      <c r="B134" s="40" t="s">
        <v>1739</v>
      </c>
      <c r="C134" s="36" t="s">
        <v>4747</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4983</v>
      </c>
      <c r="I146" s="55" t="s">
        <v>2640</v>
      </c>
      <c r="L146" s="238" t="s">
        <v>2993</v>
      </c>
      <c r="M146" s="617"/>
      <c r="N146" s="527" t="s">
        <v>4987</v>
      </c>
      <c r="O146" s="52" t="s">
        <v>1552</v>
      </c>
      <c r="P146" s="238" t="s">
        <v>2993</v>
      </c>
      <c r="Q146" s="617"/>
    </row>
    <row r="147" spans="1:32" ht="12" customHeight="1">
      <c r="A147" s="36"/>
      <c r="B147" s="149" t="s">
        <v>1738</v>
      </c>
      <c r="C147" s="52" t="s">
        <v>2803</v>
      </c>
      <c r="E147" s="137"/>
      <c r="F147" s="422" t="s">
        <v>2990</v>
      </c>
      <c r="G147" s="618"/>
      <c r="H147" s="527" t="s">
        <v>4984</v>
      </c>
      <c r="I147" s="55" t="s">
        <v>2641</v>
      </c>
      <c r="L147" s="422" t="s">
        <v>2993</v>
      </c>
      <c r="M147" s="618"/>
      <c r="N147" s="527" t="s">
        <v>4988</v>
      </c>
      <c r="O147" s="52" t="s">
        <v>1551</v>
      </c>
      <c r="P147" s="422" t="s">
        <v>2993</v>
      </c>
      <c r="Q147" s="618"/>
    </row>
    <row r="148" spans="1:32" ht="12" customHeight="1">
      <c r="A148" s="36"/>
      <c r="B148" s="149" t="s">
        <v>1739</v>
      </c>
      <c r="C148" s="52" t="s">
        <v>2639</v>
      </c>
      <c r="E148" s="137"/>
      <c r="F148" s="422" t="s">
        <v>2993</v>
      </c>
      <c r="G148" s="618"/>
      <c r="H148" s="527" t="s">
        <v>4985</v>
      </c>
      <c r="I148" s="55" t="s">
        <v>3845</v>
      </c>
      <c r="L148" s="422" t="s">
        <v>2993</v>
      </c>
      <c r="M148" s="618"/>
      <c r="N148" s="527" t="s">
        <v>4989</v>
      </c>
      <c r="O148" s="52" t="s">
        <v>1553</v>
      </c>
      <c r="P148" s="239" t="s">
        <v>2993</v>
      </c>
      <c r="Q148" s="619"/>
    </row>
    <row r="149" spans="1:32" ht="12" customHeight="1">
      <c r="A149" s="36"/>
      <c r="B149" s="149" t="s">
        <v>2365</v>
      </c>
      <c r="C149" s="52" t="s">
        <v>2806</v>
      </c>
      <c r="E149" s="137"/>
      <c r="F149" s="239" t="s">
        <v>2993</v>
      </c>
      <c r="G149" s="619"/>
      <c r="H149" s="527" t="s">
        <v>4986</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6"/>
      <c r="D151" s="3806"/>
      <c r="E151" s="3806"/>
      <c r="F151" s="3806"/>
      <c r="G151" s="3806"/>
      <c r="H151" s="3806"/>
      <c r="I151" s="3806"/>
      <c r="J151" s="3806"/>
      <c r="K151" s="3806"/>
      <c r="L151" s="3806"/>
      <c r="M151" s="3806"/>
      <c r="N151" s="3806"/>
      <c r="O151" s="3806"/>
      <c r="P151" s="3806"/>
      <c r="Q151" s="3806"/>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4965</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599" t="s">
        <v>148</v>
      </c>
      <c r="C158" s="3599"/>
      <c r="D158" s="3599"/>
      <c r="E158" s="3599"/>
      <c r="F158" s="3599"/>
      <c r="G158" s="3599"/>
      <c r="H158" s="3599"/>
      <c r="I158" s="3599"/>
      <c r="J158" s="3599"/>
      <c r="K158" s="3599"/>
      <c r="L158" s="3599"/>
      <c r="M158" s="527" t="s">
        <v>1947</v>
      </c>
      <c r="N158" s="3812" t="s">
        <v>1771</v>
      </c>
      <c r="O158" s="3813"/>
      <c r="P158" s="3814" t="s">
        <v>1771</v>
      </c>
      <c r="Q158" s="3815"/>
      <c r="AE158" s="5"/>
      <c r="AF158" s="5"/>
    </row>
    <row r="159" spans="1:32" ht="11.25" customHeight="1">
      <c r="B159" s="144" t="s">
        <v>3753</v>
      </c>
      <c r="D159" s="144"/>
      <c r="E159" s="144"/>
      <c r="F159" s="144"/>
      <c r="G159" s="144"/>
      <c r="H159" s="40"/>
      <c r="I159" s="1385"/>
      <c r="J159" s="1385"/>
      <c r="K159" s="1385"/>
      <c r="L159" s="1378"/>
      <c r="M159" s="1378"/>
      <c r="N159" s="1378"/>
      <c r="O159" s="1378"/>
      <c r="P159" s="1378"/>
      <c r="Q159" s="1020"/>
    </row>
    <row r="160" spans="1:32" ht="11.45" customHeight="1">
      <c r="A160" s="3644" t="s">
        <v>5321</v>
      </c>
      <c r="B160" s="3645"/>
      <c r="C160" s="3645"/>
      <c r="D160" s="3645"/>
      <c r="E160" s="3645"/>
      <c r="F160" s="3645"/>
      <c r="G160" s="3645"/>
      <c r="H160" s="3645"/>
      <c r="I160" s="3645"/>
      <c r="J160" s="3645"/>
      <c r="K160" s="3645"/>
      <c r="L160" s="3645"/>
      <c r="M160" s="3645"/>
      <c r="N160" s="3645"/>
      <c r="O160" s="3645"/>
      <c r="P160" s="3645"/>
      <c r="Q160" s="3646"/>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0"/>
      <c r="B163" s="3601"/>
      <c r="C163" s="3601"/>
      <c r="D163" s="3601"/>
      <c r="E163" s="3601"/>
      <c r="F163" s="3601"/>
      <c r="G163" s="3601"/>
      <c r="H163" s="3601"/>
      <c r="I163" s="3601"/>
      <c r="J163" s="3601"/>
      <c r="K163" s="3601"/>
      <c r="L163" s="3601"/>
      <c r="M163" s="3601"/>
      <c r="N163" s="3601"/>
      <c r="O163" s="3601"/>
      <c r="P163" s="3601"/>
      <c r="Q163" s="3602"/>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03"/>
      <c r="Q165" s="3604"/>
    </row>
    <row r="166" spans="1:32" ht="12" customHeight="1">
      <c r="A166" s="47" t="s">
        <v>1983</v>
      </c>
      <c r="B166" s="52" t="s">
        <v>4748</v>
      </c>
      <c r="D166" s="52"/>
      <c r="E166" s="52"/>
      <c r="F166" s="52"/>
      <c r="G166" s="52"/>
      <c r="H166" s="52" t="s">
        <v>2707</v>
      </c>
      <c r="K166" s="3793">
        <v>44404</v>
      </c>
      <c r="L166" s="3794"/>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795" t="s">
        <v>5322</v>
      </c>
      <c r="O167" s="3796"/>
      <c r="P167" s="3797" t="s">
        <v>1771</v>
      </c>
      <c r="Q167" s="3798"/>
    </row>
    <row r="168" spans="1:32" ht="12" customHeight="1">
      <c r="A168" s="47" t="s">
        <v>749</v>
      </c>
      <c r="B168" s="143" t="s">
        <v>682</v>
      </c>
      <c r="D168" s="143"/>
      <c r="E168" s="143"/>
      <c r="F168" s="143"/>
      <c r="G168" s="143"/>
      <c r="H168" s="143"/>
      <c r="J168" s="527" t="s">
        <v>749</v>
      </c>
      <c r="K168" s="3630" t="s">
        <v>5323</v>
      </c>
      <c r="L168" s="3631"/>
      <c r="M168" s="3631"/>
      <c r="N168" s="3631"/>
      <c r="O168" s="3631"/>
      <c r="P168" s="3632"/>
      <c r="Q168" s="615"/>
    </row>
    <row r="169" spans="1:32" ht="12" customHeight="1">
      <c r="B169" s="144" t="s">
        <v>3753</v>
      </c>
      <c r="D169" s="144"/>
      <c r="E169" s="144"/>
      <c r="F169" s="144"/>
      <c r="G169" s="144"/>
      <c r="H169" s="40"/>
      <c r="I169" s="1385"/>
      <c r="J169" s="1385"/>
      <c r="K169" s="1385"/>
      <c r="L169" s="1378"/>
      <c r="M169" s="1378"/>
      <c r="N169" s="1378"/>
      <c r="O169" s="1378"/>
      <c r="P169" s="1378"/>
      <c r="Q169" s="1020"/>
    </row>
    <row r="170" spans="1:32" ht="11.45" customHeight="1">
      <c r="A170" s="3644" t="s">
        <v>5324</v>
      </c>
      <c r="B170" s="3645"/>
      <c r="C170" s="3645"/>
      <c r="D170" s="3645"/>
      <c r="E170" s="3645"/>
      <c r="F170" s="3645"/>
      <c r="G170" s="3645"/>
      <c r="H170" s="3645"/>
      <c r="I170" s="3645"/>
      <c r="J170" s="3645"/>
      <c r="K170" s="3645"/>
      <c r="L170" s="3645"/>
      <c r="M170" s="3645"/>
      <c r="N170" s="3645"/>
      <c r="O170" s="3645"/>
      <c r="P170" s="3645"/>
      <c r="Q170" s="3646"/>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0"/>
      <c r="B172" s="3601"/>
      <c r="C172" s="3601"/>
      <c r="D172" s="3601"/>
      <c r="E172" s="3601"/>
      <c r="F172" s="3601"/>
      <c r="G172" s="3601"/>
      <c r="H172" s="3601"/>
      <c r="I172" s="3601"/>
      <c r="J172" s="3601"/>
      <c r="K172" s="3601"/>
      <c r="L172" s="3601"/>
      <c r="M172" s="3601"/>
      <c r="N172" s="3601"/>
      <c r="O172" s="3601"/>
      <c r="P172" s="3601"/>
      <c r="Q172" s="3602"/>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03"/>
      <c r="Q174" s="3604"/>
    </row>
    <row r="175" spans="1:32" ht="21.75" customHeight="1">
      <c r="A175" s="145" t="s">
        <v>1983</v>
      </c>
      <c r="B175" s="3599" t="s">
        <v>3742</v>
      </c>
      <c r="C175" s="3599"/>
      <c r="D175" s="3599"/>
      <c r="E175" s="3599"/>
      <c r="F175" s="3599"/>
      <c r="G175" s="3599"/>
      <c r="H175" s="3599"/>
      <c r="I175" s="3599"/>
      <c r="J175" s="3599"/>
      <c r="K175" s="3599"/>
      <c r="L175" s="3599"/>
      <c r="M175" s="3599"/>
      <c r="N175" s="3599"/>
      <c r="O175" s="166" t="s">
        <v>1983</v>
      </c>
      <c r="P175" s="1422" t="s">
        <v>2990</v>
      </c>
      <c r="Q175" s="1421"/>
    </row>
    <row r="176" spans="1:32" ht="22.35" customHeight="1">
      <c r="A176" s="145" t="s">
        <v>1985</v>
      </c>
      <c r="B176" s="3599" t="s">
        <v>4764</v>
      </c>
      <c r="C176" s="3599"/>
      <c r="D176" s="3599"/>
      <c r="E176" s="3599"/>
      <c r="F176" s="3599"/>
      <c r="G176" s="3599"/>
      <c r="H176" s="3599"/>
      <c r="I176" s="3599"/>
      <c r="J176" s="3599"/>
      <c r="K176" s="3599"/>
      <c r="L176" s="3599"/>
      <c r="M176" s="3599"/>
      <c r="N176" s="3599"/>
      <c r="O176" s="166" t="s">
        <v>1985</v>
      </c>
      <c r="P176" s="633" t="s">
        <v>5325</v>
      </c>
      <c r="Q176" s="620"/>
    </row>
    <row r="177" spans="1:32" ht="22.35" customHeight="1">
      <c r="A177" s="145" t="s">
        <v>749</v>
      </c>
      <c r="B177" s="3599" t="s">
        <v>3743</v>
      </c>
      <c r="C177" s="3599"/>
      <c r="D177" s="3599"/>
      <c r="E177" s="3599"/>
      <c r="F177" s="3599"/>
      <c r="G177" s="3599"/>
      <c r="H177" s="3599"/>
      <c r="I177" s="3599"/>
      <c r="J177" s="3599"/>
      <c r="K177" s="3599"/>
      <c r="L177" s="3599"/>
      <c r="M177" s="3599"/>
      <c r="N177" s="3599"/>
      <c r="O177" s="166" t="s">
        <v>749</v>
      </c>
      <c r="P177" s="633" t="s">
        <v>5325</v>
      </c>
      <c r="Q177" s="620"/>
    </row>
    <row r="178" spans="1:32" ht="21.75" customHeight="1">
      <c r="A178" s="145" t="s">
        <v>2115</v>
      </c>
      <c r="B178" s="3599" t="s">
        <v>4910</v>
      </c>
      <c r="C178" s="3599"/>
      <c r="D178" s="3599"/>
      <c r="E178" s="3599"/>
      <c r="F178" s="3599"/>
      <c r="G178" s="3599"/>
      <c r="H178" s="3599"/>
      <c r="I178" s="3599"/>
      <c r="J178" s="3599"/>
      <c r="K178" s="3599"/>
      <c r="L178" s="3599"/>
      <c r="M178" s="3599"/>
      <c r="N178" s="3599"/>
      <c r="O178" s="166" t="s">
        <v>2115</v>
      </c>
      <c r="P178" s="1426" t="s">
        <v>5325</v>
      </c>
      <c r="Q178" s="1423"/>
    </row>
    <row r="179" spans="1:32" ht="12" customHeight="1">
      <c r="B179" s="144" t="s">
        <v>3753</v>
      </c>
      <c r="D179" s="144"/>
      <c r="E179" s="144"/>
      <c r="F179" s="144"/>
      <c r="G179" s="144"/>
      <c r="H179" s="40"/>
      <c r="I179" s="1385"/>
      <c r="J179" s="1385"/>
      <c r="K179" s="1385"/>
      <c r="L179" s="1378"/>
      <c r="M179" s="1378"/>
      <c r="N179" s="1378"/>
      <c r="O179" s="1378"/>
      <c r="P179" s="1378"/>
      <c r="Q179" s="1020"/>
    </row>
    <row r="180" spans="1:32" ht="11.45" customHeight="1">
      <c r="A180" s="3644" t="s">
        <v>5326</v>
      </c>
      <c r="B180" s="3645"/>
      <c r="C180" s="3645"/>
      <c r="D180" s="3645"/>
      <c r="E180" s="3645"/>
      <c r="F180" s="3645"/>
      <c r="G180" s="3645"/>
      <c r="H180" s="3645"/>
      <c r="I180" s="3645"/>
      <c r="J180" s="3645"/>
      <c r="K180" s="3645"/>
      <c r="L180" s="3645"/>
      <c r="M180" s="3645"/>
      <c r="N180" s="3645"/>
      <c r="O180" s="3645"/>
      <c r="P180" s="3645"/>
      <c r="Q180" s="3646"/>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0"/>
      <c r="B182" s="3601"/>
      <c r="C182" s="3601"/>
      <c r="D182" s="3601"/>
      <c r="E182" s="3601"/>
      <c r="F182" s="3601"/>
      <c r="G182" s="3601"/>
      <c r="H182" s="3601"/>
      <c r="I182" s="3601"/>
      <c r="J182" s="3601"/>
      <c r="K182" s="3601"/>
      <c r="L182" s="3601"/>
      <c r="M182" s="3601"/>
      <c r="N182" s="3601"/>
      <c r="O182" s="3601"/>
      <c r="P182" s="3601"/>
      <c r="Q182" s="3602"/>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17" t="s">
        <v>2658</v>
      </c>
      <c r="C184" s="3517"/>
      <c r="D184" s="3517"/>
      <c r="O184" s="135" t="s">
        <v>1867</v>
      </c>
      <c r="P184" s="3603"/>
      <c r="Q184" s="3604"/>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4927</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599" t="s">
        <v>3744</v>
      </c>
      <c r="D190" s="3599"/>
      <c r="E190" s="3599"/>
      <c r="F190" s="3599"/>
      <c r="G190" s="3599"/>
      <c r="H190" s="3599"/>
      <c r="I190" s="3599"/>
      <c r="J190" s="3599"/>
      <c r="K190" s="3599"/>
      <c r="L190" s="3599"/>
      <c r="M190" s="3599"/>
      <c r="N190" s="3599"/>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599" t="s">
        <v>2648</v>
      </c>
      <c r="D192" s="3599"/>
      <c r="E192" s="3599"/>
      <c r="F192" s="3599"/>
      <c r="G192" s="3599"/>
      <c r="H192" s="3599"/>
      <c r="I192" s="3599"/>
      <c r="J192" s="3599"/>
      <c r="K192" s="3599"/>
      <c r="L192" s="3599"/>
      <c r="M192" s="3599"/>
      <c r="N192" s="3599"/>
      <c r="O192" s="166" t="s">
        <v>1549</v>
      </c>
      <c r="P192" s="633" t="s">
        <v>5325</v>
      </c>
      <c r="Q192" s="620"/>
      <c r="AE192" s="530"/>
      <c r="AF192" s="530"/>
    </row>
    <row r="193" spans="1:32" s="136" customFormat="1" ht="21.75" customHeight="1">
      <c r="A193" s="145"/>
      <c r="B193" s="541" t="s">
        <v>1550</v>
      </c>
      <c r="C193" s="3599" t="s">
        <v>3897</v>
      </c>
      <c r="D193" s="3599"/>
      <c r="E193" s="3599"/>
      <c r="F193" s="3599"/>
      <c r="G193" s="3599"/>
      <c r="H193" s="3599"/>
      <c r="I193" s="3599"/>
      <c r="J193" s="3599"/>
      <c r="K193" s="3599"/>
      <c r="L193" s="3599"/>
      <c r="M193" s="3599"/>
      <c r="N193" s="3599"/>
      <c r="O193" s="166" t="s">
        <v>1550</v>
      </c>
      <c r="P193" s="633" t="s">
        <v>5325</v>
      </c>
      <c r="Q193" s="620"/>
      <c r="AE193" s="530"/>
      <c r="AF193" s="530"/>
    </row>
    <row r="194" spans="1:32" ht="21.75" customHeight="1">
      <c r="A194" s="145" t="s">
        <v>2115</v>
      </c>
      <c r="B194" s="3599" t="s">
        <v>2649</v>
      </c>
      <c r="C194" s="3599"/>
      <c r="D194" s="3599"/>
      <c r="E194" s="3599"/>
      <c r="F194" s="3599"/>
      <c r="G194" s="3599"/>
      <c r="H194" s="3599"/>
      <c r="I194" s="3599"/>
      <c r="J194" s="3599"/>
      <c r="K194" s="3599"/>
      <c r="L194" s="3599"/>
      <c r="M194" s="3599"/>
      <c r="N194" s="3599"/>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3753</v>
      </c>
      <c r="D196" s="144"/>
      <c r="E196" s="144"/>
      <c r="F196" s="144"/>
      <c r="G196" s="144"/>
      <c r="H196" s="40"/>
      <c r="I196" s="1385"/>
      <c r="J196" s="1385"/>
      <c r="K196" s="1385"/>
      <c r="L196" s="1378"/>
      <c r="M196" s="1378"/>
      <c r="N196" s="1378"/>
      <c r="O196" s="1378"/>
      <c r="P196" s="1378"/>
      <c r="Q196" s="1020"/>
    </row>
    <row r="197" spans="1:32" ht="11.45" customHeight="1">
      <c r="A197" s="3644" t="s">
        <v>5327</v>
      </c>
      <c r="B197" s="3645"/>
      <c r="C197" s="3645"/>
      <c r="D197" s="3645"/>
      <c r="E197" s="3645"/>
      <c r="F197" s="3645"/>
      <c r="G197" s="3645"/>
      <c r="H197" s="3645"/>
      <c r="I197" s="3645"/>
      <c r="J197" s="3645"/>
      <c r="K197" s="3645"/>
      <c r="L197" s="3645"/>
      <c r="M197" s="3645"/>
      <c r="N197" s="3645"/>
      <c r="O197" s="3645"/>
      <c r="P197" s="3645"/>
      <c r="Q197" s="3646"/>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0"/>
      <c r="B199" s="3601"/>
      <c r="C199" s="3601"/>
      <c r="D199" s="3601"/>
      <c r="E199" s="3601"/>
      <c r="F199" s="3601"/>
      <c r="G199" s="3601"/>
      <c r="H199" s="3601"/>
      <c r="I199" s="3601"/>
      <c r="J199" s="3601"/>
      <c r="K199" s="3601"/>
      <c r="L199" s="3601"/>
      <c r="M199" s="3601"/>
      <c r="N199" s="3601"/>
      <c r="O199" s="3601"/>
      <c r="P199" s="3601"/>
      <c r="Q199" s="3602"/>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03"/>
      <c r="Q201" s="3604"/>
    </row>
    <row r="202" spans="1:32" ht="22.5" customHeight="1">
      <c r="A202" s="3810" t="s">
        <v>5080</v>
      </c>
      <c r="B202" s="3810"/>
      <c r="C202" s="3810"/>
      <c r="D202" s="3810"/>
      <c r="E202" s="3810"/>
      <c r="F202" s="3810"/>
      <c r="G202" s="3810"/>
      <c r="H202" s="3810"/>
      <c r="I202" s="3810"/>
      <c r="J202" s="3810"/>
      <c r="K202" s="3810"/>
      <c r="L202" s="3810"/>
      <c r="M202" s="3810"/>
      <c r="N202" s="3810"/>
      <c r="O202" s="3810"/>
      <c r="P202" s="3810"/>
      <c r="Q202" s="3810"/>
    </row>
    <row r="203" spans="1:32" ht="11.25" customHeight="1">
      <c r="A203" s="142"/>
      <c r="B203" s="143" t="s">
        <v>97</v>
      </c>
      <c r="D203" s="143"/>
      <c r="E203" s="143"/>
      <c r="F203" s="143"/>
      <c r="G203" s="143"/>
      <c r="H203" s="66" t="s">
        <v>1737</v>
      </c>
      <c r="I203" s="52" t="s">
        <v>152</v>
      </c>
      <c r="J203" s="3647" t="s">
        <v>970</v>
      </c>
      <c r="K203" s="3648"/>
      <c r="L203" s="3648"/>
      <c r="M203" s="3648"/>
      <c r="N203" s="3649"/>
      <c r="O203" s="66" t="s">
        <v>1737</v>
      </c>
      <c r="P203" s="238" t="s">
        <v>2993</v>
      </c>
      <c r="Q203" s="617"/>
    </row>
    <row r="204" spans="1:32" ht="11.25" customHeight="1">
      <c r="A204" s="142"/>
      <c r="B204" s="144" t="s">
        <v>3753</v>
      </c>
      <c r="C204" s="107"/>
      <c r="D204" s="107"/>
      <c r="E204" s="107"/>
      <c r="F204" s="107"/>
      <c r="H204" s="66" t="s">
        <v>1738</v>
      </c>
      <c r="I204" s="52" t="s">
        <v>1596</v>
      </c>
      <c r="J204" s="3623" t="s">
        <v>5328</v>
      </c>
      <c r="K204" s="3650"/>
      <c r="L204" s="3650"/>
      <c r="M204" s="3650"/>
      <c r="N204" s="3624"/>
      <c r="O204" s="66" t="s">
        <v>1738</v>
      </c>
      <c r="P204" s="239" t="s">
        <v>2990</v>
      </c>
      <c r="Q204" s="619"/>
    </row>
    <row r="205" spans="1:32" ht="11.45" customHeight="1">
      <c r="A205" s="3644" t="s">
        <v>5329</v>
      </c>
      <c r="B205" s="3645"/>
      <c r="C205" s="3645"/>
      <c r="D205" s="3645"/>
      <c r="E205" s="3645"/>
      <c r="F205" s="3645"/>
      <c r="G205" s="3645"/>
      <c r="H205" s="3645"/>
      <c r="I205" s="3645"/>
      <c r="J205" s="3645"/>
      <c r="K205" s="3645"/>
      <c r="L205" s="3645"/>
      <c r="M205" s="3645"/>
      <c r="N205" s="3645"/>
      <c r="O205" s="3645"/>
      <c r="P205" s="3645"/>
      <c r="Q205" s="3646"/>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0"/>
      <c r="B207" s="3601"/>
      <c r="C207" s="3601"/>
      <c r="D207" s="3601"/>
      <c r="E207" s="3601"/>
      <c r="F207" s="3601"/>
      <c r="G207" s="3601"/>
      <c r="H207" s="3601"/>
      <c r="I207" s="3601"/>
      <c r="J207" s="3601"/>
      <c r="K207" s="3601"/>
      <c r="L207" s="3601"/>
      <c r="M207" s="3601"/>
      <c r="N207" s="3601"/>
      <c r="O207" s="3601"/>
      <c r="P207" s="3601"/>
      <c r="Q207" s="3602"/>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03"/>
      <c r="Q209" s="3604"/>
    </row>
    <row r="210" spans="1:32" ht="11.45" customHeight="1">
      <c r="A210" s="145" t="s">
        <v>1983</v>
      </c>
      <c r="B210" s="3599" t="s">
        <v>1849</v>
      </c>
      <c r="C210" s="3599"/>
      <c r="D210" s="3599"/>
      <c r="E210" s="3599"/>
      <c r="F210" s="3599"/>
      <c r="G210" s="3599"/>
      <c r="H210" s="66" t="s">
        <v>1737</v>
      </c>
      <c r="I210" s="52" t="s">
        <v>635</v>
      </c>
      <c r="J210" s="3647" t="s">
        <v>5330</v>
      </c>
      <c r="K210" s="3648"/>
      <c r="L210" s="3648"/>
      <c r="M210" s="3648"/>
      <c r="N210" s="3649"/>
      <c r="O210" s="166" t="s">
        <v>1486</v>
      </c>
      <c r="P210" s="2707" t="s">
        <v>2990</v>
      </c>
      <c r="Q210" s="2708"/>
    </row>
    <row r="211" spans="1:32" ht="11.45" customHeight="1">
      <c r="A211" s="154"/>
      <c r="B211" s="3599"/>
      <c r="C211" s="3599"/>
      <c r="D211" s="3599"/>
      <c r="E211" s="3599"/>
      <c r="F211" s="3599"/>
      <c r="G211" s="3599"/>
      <c r="H211" s="66" t="s">
        <v>1738</v>
      </c>
      <c r="I211" s="52" t="s">
        <v>116</v>
      </c>
      <c r="J211" s="3623" t="s">
        <v>5330</v>
      </c>
      <c r="K211" s="3650"/>
      <c r="L211" s="3650"/>
      <c r="M211" s="3650"/>
      <c r="N211" s="3624"/>
      <c r="O211" s="166" t="s">
        <v>1738</v>
      </c>
      <c r="P211" s="422" t="s">
        <v>2990</v>
      </c>
      <c r="Q211" s="618"/>
    </row>
    <row r="212" spans="1:32" ht="12" customHeight="1">
      <c r="A212" s="145" t="s">
        <v>1985</v>
      </c>
      <c r="B212" s="52" t="s">
        <v>3903</v>
      </c>
      <c r="D212" s="52"/>
      <c r="E212" s="52"/>
      <c r="F212" s="52"/>
      <c r="G212" s="52"/>
      <c r="H212" s="52"/>
      <c r="I212" s="52"/>
      <c r="J212" s="52"/>
      <c r="K212" s="42"/>
      <c r="L212" s="52"/>
      <c r="M212" s="52"/>
      <c r="O212" s="527" t="s">
        <v>1985</v>
      </c>
      <c r="P212" s="422" t="s">
        <v>2993</v>
      </c>
      <c r="Q212" s="618"/>
    </row>
    <row r="213" spans="1:32" ht="12" customHeight="1">
      <c r="A213" s="47" t="s">
        <v>749</v>
      </c>
      <c r="B213" s="52" t="s">
        <v>3904</v>
      </c>
      <c r="D213" s="52"/>
      <c r="E213" s="52"/>
      <c r="F213" s="52"/>
      <c r="G213" s="52"/>
      <c r="H213" s="52"/>
      <c r="I213" s="52"/>
      <c r="J213" s="52"/>
      <c r="K213" s="42"/>
      <c r="L213" s="52"/>
      <c r="M213" s="52"/>
      <c r="O213" s="527" t="s">
        <v>749</v>
      </c>
      <c r="P213" s="239" t="s">
        <v>2993</v>
      </c>
      <c r="Q213" s="619"/>
    </row>
    <row r="214" spans="1:32" ht="11.25" customHeight="1">
      <c r="B214" s="144" t="s">
        <v>3753</v>
      </c>
      <c r="D214" s="144"/>
      <c r="E214" s="144"/>
      <c r="F214" s="144"/>
      <c r="G214" s="144"/>
      <c r="H214" s="40"/>
      <c r="I214" s="1385"/>
      <c r="J214" s="1385"/>
      <c r="K214" s="1385"/>
      <c r="L214" s="1378"/>
      <c r="M214" s="1378"/>
      <c r="N214" s="1378"/>
      <c r="O214" s="1378"/>
      <c r="P214" s="1378"/>
      <c r="Q214" s="1020"/>
    </row>
    <row r="215" spans="1:32" ht="11.45" customHeight="1">
      <c r="A215" s="3644" t="s">
        <v>5331</v>
      </c>
      <c r="B215" s="3645"/>
      <c r="C215" s="3645"/>
      <c r="D215" s="3645"/>
      <c r="E215" s="3645"/>
      <c r="F215" s="3645"/>
      <c r="G215" s="3645"/>
      <c r="H215" s="3645"/>
      <c r="I215" s="3645"/>
      <c r="J215" s="3645"/>
      <c r="K215" s="3645"/>
      <c r="L215" s="3645"/>
      <c r="M215" s="3645"/>
      <c r="N215" s="3645"/>
      <c r="O215" s="3645"/>
      <c r="P215" s="3645"/>
      <c r="Q215" s="3646"/>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0"/>
      <c r="B217" s="3601"/>
      <c r="C217" s="3601"/>
      <c r="D217" s="3601"/>
      <c r="E217" s="3601"/>
      <c r="F217" s="3601"/>
      <c r="G217" s="3601"/>
      <c r="H217" s="3601"/>
      <c r="I217" s="3601"/>
      <c r="J217" s="3601"/>
      <c r="K217" s="3601"/>
      <c r="L217" s="3601"/>
      <c r="M217" s="3601"/>
      <c r="N217" s="3601"/>
      <c r="O217" s="3601"/>
      <c r="P217" s="3601"/>
      <c r="Q217" s="3602"/>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03"/>
      <c r="Q219" s="3604"/>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5285</v>
      </c>
      <c r="Q221" s="617"/>
    </row>
    <row r="222" spans="1:32" ht="11.45" customHeight="1">
      <c r="A222" s="47"/>
      <c r="B222" s="149" t="s">
        <v>1737</v>
      </c>
      <c r="C222" s="52" t="s">
        <v>1931</v>
      </c>
      <c r="E222" s="52"/>
      <c r="F222" s="52"/>
      <c r="G222" s="52"/>
      <c r="H222" s="52"/>
      <c r="I222" s="42"/>
      <c r="J222" s="66" t="s">
        <v>1486</v>
      </c>
      <c r="K222" s="3647" t="s">
        <v>5332</v>
      </c>
      <c r="L222" s="3649"/>
      <c r="Q222" s="618"/>
    </row>
    <row r="223" spans="1:32" ht="11.45" customHeight="1">
      <c r="A223" s="47"/>
      <c r="B223" s="149" t="s">
        <v>1738</v>
      </c>
      <c r="C223" s="1021" t="s">
        <v>4749</v>
      </c>
      <c r="E223" s="1021"/>
      <c r="F223" s="1021"/>
      <c r="G223" s="1021"/>
      <c r="H223" s="1021"/>
      <c r="I223" s="42"/>
      <c r="J223" s="66" t="s">
        <v>1487</v>
      </c>
      <c r="K223" s="3705" t="s">
        <v>5333</v>
      </c>
      <c r="L223" s="3706"/>
      <c r="M223" s="3702" t="s">
        <v>2724</v>
      </c>
      <c r="N223" s="3703"/>
      <c r="O223" s="3703"/>
      <c r="P223" s="3704"/>
      <c r="Q223" s="618"/>
    </row>
    <row r="224" spans="1:32" ht="11.45" customHeight="1">
      <c r="A224" s="47"/>
      <c r="B224" s="40" t="s">
        <v>1739</v>
      </c>
      <c r="C224" s="1021" t="s">
        <v>4752</v>
      </c>
      <c r="D224" s="151"/>
      <c r="E224" s="1021"/>
      <c r="F224" s="1021"/>
      <c r="G224" s="1021"/>
      <c r="H224" s="1021"/>
      <c r="I224" s="96"/>
      <c r="J224" s="527" t="s">
        <v>1488</v>
      </c>
      <c r="K224" s="3707" t="s">
        <v>5334</v>
      </c>
      <c r="L224" s="3708"/>
      <c r="M224" s="3708"/>
      <c r="N224" s="3709"/>
      <c r="O224" s="2405"/>
      <c r="P224" s="1451"/>
      <c r="Q224" s="618"/>
      <c r="R224" s="42"/>
    </row>
    <row r="225" spans="1:32" ht="11.45" customHeight="1">
      <c r="A225" s="47"/>
      <c r="B225" s="40" t="s">
        <v>2365</v>
      </c>
      <c r="C225" s="1021" t="s">
        <v>4751</v>
      </c>
      <c r="D225" s="151"/>
      <c r="E225" s="1021"/>
      <c r="F225" s="1021"/>
      <c r="G225" s="1021"/>
      <c r="H225" s="1021"/>
      <c r="I225" s="96"/>
      <c r="J225" s="527" t="s">
        <v>4750</v>
      </c>
      <c r="K225" s="3623" t="s">
        <v>5335</v>
      </c>
      <c r="L225" s="3650"/>
      <c r="M225" s="3650"/>
      <c r="N225" s="3624"/>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c r="Q226" s="615"/>
    </row>
    <row r="227" spans="1:32" ht="11.1" customHeight="1">
      <c r="A227" s="47"/>
      <c r="B227" s="52" t="s">
        <v>4978</v>
      </c>
      <c r="D227" s="52"/>
      <c r="E227" s="52"/>
      <c r="F227" s="52"/>
      <c r="G227" s="52"/>
      <c r="H227" s="52"/>
      <c r="I227" s="52"/>
      <c r="J227" s="52"/>
      <c r="K227" s="42"/>
      <c r="L227" s="42"/>
      <c r="M227" s="42"/>
      <c r="N227" s="527" t="s">
        <v>3605</v>
      </c>
      <c r="O227" s="2602">
        <f>'Part VI-Revenues &amp; Expenses'!$O$67</f>
        <v>244</v>
      </c>
      <c r="P227" s="3710" t="s">
        <v>4980</v>
      </c>
      <c r="Q227" s="3711"/>
    </row>
    <row r="228" spans="1:32" ht="11.1" customHeight="1">
      <c r="A228" s="47"/>
      <c r="B228" s="149" t="s">
        <v>1737</v>
      </c>
      <c r="C228" s="52" t="s">
        <v>4981</v>
      </c>
      <c r="D228" s="52"/>
      <c r="E228" s="52"/>
      <c r="F228" s="52"/>
      <c r="H228" s="527" t="s">
        <v>4982</v>
      </c>
      <c r="I228" s="52" t="s">
        <v>4991</v>
      </c>
      <c r="M228" s="42"/>
      <c r="N228" s="42"/>
      <c r="O228" s="324"/>
      <c r="P228" s="2577" t="s">
        <v>773</v>
      </c>
      <c r="Q228" s="2578" t="s">
        <v>4979</v>
      </c>
    </row>
    <row r="229" spans="1:32" s="43" customFormat="1" ht="11.45" customHeight="1">
      <c r="A229" s="51"/>
      <c r="B229" s="527" t="s">
        <v>2116</v>
      </c>
      <c r="C229" s="3712" t="s">
        <v>1654</v>
      </c>
      <c r="D229" s="3713"/>
      <c r="E229" s="3713"/>
      <c r="F229" s="3713"/>
      <c r="G229" s="3714"/>
      <c r="H229" s="527" t="s">
        <v>2116</v>
      </c>
      <c r="I229" s="3808" t="s">
        <v>4177</v>
      </c>
      <c r="J229" s="3127"/>
      <c r="K229" s="3127"/>
      <c r="L229" s="3127"/>
      <c r="M229" s="3127"/>
      <c r="N229" s="3127"/>
      <c r="O229" s="3809"/>
      <c r="P229" s="617"/>
      <c r="Q229" s="623"/>
      <c r="AE229" s="54"/>
      <c r="AF229" s="54"/>
    </row>
    <row r="230" spans="1:32" s="43" customFormat="1" ht="11.45" customHeight="1">
      <c r="A230" s="51"/>
      <c r="B230" s="527" t="s">
        <v>2117</v>
      </c>
      <c r="C230" s="3689" t="s">
        <v>2103</v>
      </c>
      <c r="D230" s="3690"/>
      <c r="E230" s="3690"/>
      <c r="F230" s="3690"/>
      <c r="G230" s="3691"/>
      <c r="H230" s="527" t="s">
        <v>2117</v>
      </c>
      <c r="I230" s="3066"/>
      <c r="J230" s="3067"/>
      <c r="K230" s="3067"/>
      <c r="L230" s="3067"/>
      <c r="M230" s="3067"/>
      <c r="N230" s="3067"/>
      <c r="O230" s="3069"/>
      <c r="P230" s="618"/>
      <c r="Q230" s="2534"/>
      <c r="AE230" s="54"/>
      <c r="AF230" s="54"/>
    </row>
    <row r="231" spans="1:32" s="43" customFormat="1" ht="11.45" customHeight="1">
      <c r="A231" s="51"/>
      <c r="B231" s="527" t="s">
        <v>1734</v>
      </c>
      <c r="C231" s="3689" t="s">
        <v>5074</v>
      </c>
      <c r="D231" s="3690"/>
      <c r="E231" s="3690"/>
      <c r="F231" s="3690"/>
      <c r="G231" s="3691"/>
      <c r="H231" s="527" t="s">
        <v>1734</v>
      </c>
      <c r="I231" s="3066" t="s">
        <v>4177</v>
      </c>
      <c r="J231" s="3067"/>
      <c r="K231" s="3067"/>
      <c r="L231" s="3067"/>
      <c r="M231" s="3067"/>
      <c r="N231" s="3067"/>
      <c r="O231" s="3069"/>
      <c r="P231" s="618"/>
      <c r="Q231" s="2534"/>
      <c r="AE231" s="54"/>
      <c r="AF231" s="54"/>
    </row>
    <row r="232" spans="1:32" s="43" customFormat="1" ht="11.45" customHeight="1">
      <c r="A232" s="51"/>
      <c r="B232" s="527" t="s">
        <v>4990</v>
      </c>
      <c r="C232" s="3697" t="s">
        <v>4976</v>
      </c>
      <c r="D232" s="3698"/>
      <c r="E232" s="3698"/>
      <c r="F232" s="3698"/>
      <c r="G232" s="3699"/>
      <c r="H232" s="527" t="s">
        <v>4990</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c r="Q233" s="617"/>
    </row>
    <row r="234" spans="1:32" ht="11.45" customHeight="1">
      <c r="A234" s="47"/>
      <c r="B234" s="149" t="s">
        <v>1737</v>
      </c>
      <c r="C234" s="52" t="s">
        <v>3465</v>
      </c>
      <c r="E234" s="52"/>
      <c r="F234" s="52"/>
      <c r="L234" s="33"/>
      <c r="M234" s="33"/>
      <c r="O234" s="66" t="s">
        <v>1737</v>
      </c>
      <c r="P234" s="422"/>
      <c r="Q234" s="618"/>
    </row>
    <row r="235" spans="1:32" ht="11.45" customHeight="1">
      <c r="B235" s="149" t="s">
        <v>1738</v>
      </c>
      <c r="C235" s="1021" t="s">
        <v>2808</v>
      </c>
      <c r="E235" s="1021"/>
      <c r="F235" s="1021"/>
      <c r="L235" s="33"/>
      <c r="M235" s="33"/>
      <c r="O235" s="66" t="s">
        <v>1738</v>
      </c>
      <c r="P235" s="422"/>
      <c r="Q235" s="618"/>
    </row>
    <row r="236" spans="1:32" ht="11.45" customHeight="1">
      <c r="B236" s="149" t="s">
        <v>1739</v>
      </c>
      <c r="C236" s="1021" t="s">
        <v>2809</v>
      </c>
      <c r="E236" s="1021"/>
      <c r="F236" s="1021"/>
      <c r="G236" s="1021"/>
      <c r="H236" s="1021"/>
      <c r="I236" s="42"/>
      <c r="J236" s="33"/>
      <c r="K236" s="42"/>
      <c r="L236" s="33"/>
      <c r="M236" s="33"/>
      <c r="O236" s="66" t="s">
        <v>1739</v>
      </c>
      <c r="P236" s="422"/>
      <c r="Q236" s="618"/>
    </row>
    <row r="237" spans="1:32" ht="11.45" customHeight="1">
      <c r="A237" s="47"/>
      <c r="B237" s="149" t="s">
        <v>2365</v>
      </c>
      <c r="C237" s="1021" t="s">
        <v>2810</v>
      </c>
      <c r="E237" s="1021"/>
      <c r="F237" s="1021"/>
      <c r="G237" s="1021"/>
      <c r="H237" s="1021"/>
      <c r="I237" s="42"/>
      <c r="J237" s="33"/>
      <c r="K237" s="42"/>
      <c r="L237" s="33"/>
      <c r="M237" s="33"/>
      <c r="O237" s="66" t="s">
        <v>2365</v>
      </c>
      <c r="P237" s="422"/>
      <c r="Q237" s="618"/>
    </row>
    <row r="238" spans="1:32" ht="11.45" customHeight="1">
      <c r="A238" s="47"/>
      <c r="B238" s="149" t="s">
        <v>1549</v>
      </c>
      <c r="C238" s="1021" t="s">
        <v>2811</v>
      </c>
      <c r="E238" s="1021"/>
      <c r="F238" s="1021"/>
      <c r="G238" s="1021"/>
      <c r="H238" s="1021"/>
      <c r="I238" s="42"/>
      <c r="J238" s="33"/>
      <c r="K238" s="42"/>
      <c r="L238" s="33"/>
      <c r="M238" s="33"/>
      <c r="O238" s="66" t="s">
        <v>1549</v>
      </c>
      <c r="P238" s="422"/>
      <c r="Q238" s="618"/>
    </row>
    <row r="239" spans="1:32" ht="11.45" customHeight="1">
      <c r="A239" s="47"/>
      <c r="B239" s="40" t="s">
        <v>1550</v>
      </c>
      <c r="C239" s="52" t="s">
        <v>775</v>
      </c>
      <c r="E239" s="52"/>
      <c r="F239" s="52"/>
      <c r="G239" s="52"/>
      <c r="H239" s="52"/>
      <c r="I239" s="42"/>
      <c r="J239" s="33"/>
      <c r="K239" s="42"/>
      <c r="L239" s="33"/>
      <c r="M239" s="33"/>
      <c r="O239" s="527" t="s">
        <v>2799</v>
      </c>
      <c r="P239" s="422"/>
      <c r="Q239" s="618"/>
    </row>
    <row r="240" spans="1:32" ht="11.45" customHeight="1">
      <c r="A240" s="47"/>
      <c r="B240" s="66"/>
      <c r="C240" s="52" t="s">
        <v>1489</v>
      </c>
      <c r="E240" s="52"/>
      <c r="F240" s="52"/>
      <c r="G240" s="52"/>
      <c r="H240" s="52"/>
      <c r="I240" s="42"/>
      <c r="J240" s="33"/>
      <c r="K240" s="42"/>
      <c r="L240" s="33"/>
      <c r="M240" s="33"/>
      <c r="O240" s="527" t="s">
        <v>2800</v>
      </c>
      <c r="P240" s="239"/>
      <c r="Q240" s="619"/>
    </row>
    <row r="241" spans="1:32" ht="11.25" customHeight="1">
      <c r="A241" s="47" t="s">
        <v>2115</v>
      </c>
      <c r="B241" s="52" t="s">
        <v>3662</v>
      </c>
      <c r="C241" s="52"/>
      <c r="E241" s="52"/>
      <c r="F241" s="52"/>
      <c r="G241" s="52"/>
      <c r="H241" s="52"/>
      <c r="I241" s="52"/>
      <c r="J241" s="52"/>
      <c r="K241" s="42"/>
      <c r="M241" s="65" t="s">
        <v>4835</v>
      </c>
      <c r="N241" s="2522" t="str">
        <f>'Part I-Project Information'!$H$82</f>
        <v>Family</v>
      </c>
      <c r="O241" s="527" t="s">
        <v>2115</v>
      </c>
      <c r="P241" s="238"/>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4765</v>
      </c>
      <c r="E243" s="42"/>
      <c r="F243" s="42"/>
      <c r="G243" s="1021"/>
      <c r="H243" s="1021"/>
      <c r="I243" s="42"/>
      <c r="J243" s="1021"/>
      <c r="K243" s="42"/>
      <c r="L243" s="1021"/>
      <c r="M243" s="1021"/>
      <c r="O243" s="66" t="s">
        <v>1738</v>
      </c>
      <c r="P243" s="239"/>
      <c r="Q243" s="619"/>
    </row>
    <row r="244" spans="1:32" ht="11.25" customHeight="1">
      <c r="B244" s="144" t="s">
        <v>3753</v>
      </c>
      <c r="D244" s="144"/>
      <c r="E244" s="144"/>
      <c r="F244" s="144"/>
      <c r="G244" s="144"/>
      <c r="H244" s="40"/>
      <c r="I244" s="1385"/>
      <c r="J244" s="1385"/>
      <c r="K244" s="1385"/>
      <c r="L244" s="1378"/>
      <c r="M244" s="1378"/>
      <c r="N244" s="1378"/>
      <c r="O244" s="1378"/>
      <c r="P244" s="1378"/>
      <c r="Q244" s="1020"/>
    </row>
    <row r="245" spans="1:32" ht="11.45" customHeight="1">
      <c r="A245" s="3644" t="s">
        <v>5336</v>
      </c>
      <c r="B245" s="3645"/>
      <c r="C245" s="3645"/>
      <c r="D245" s="3645"/>
      <c r="E245" s="3645"/>
      <c r="F245" s="3645"/>
      <c r="G245" s="3645"/>
      <c r="H245" s="3645"/>
      <c r="I245" s="3645"/>
      <c r="J245" s="3645"/>
      <c r="K245" s="3645"/>
      <c r="L245" s="3645"/>
      <c r="M245" s="3645"/>
      <c r="N245" s="3645"/>
      <c r="O245" s="3645"/>
      <c r="P245" s="3645"/>
      <c r="Q245" s="3646"/>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0"/>
      <c r="B247" s="3601"/>
      <c r="C247" s="3601"/>
      <c r="D247" s="3601"/>
      <c r="E247" s="3601"/>
      <c r="F247" s="3601"/>
      <c r="G247" s="3601"/>
      <c r="H247" s="3601"/>
      <c r="I247" s="3601"/>
      <c r="J247" s="3601"/>
      <c r="K247" s="3601"/>
      <c r="L247" s="3601"/>
      <c r="M247" s="3601"/>
      <c r="N247" s="3601"/>
      <c r="O247" s="3601"/>
      <c r="P247" s="3601"/>
      <c r="Q247" s="3602"/>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03"/>
      <c r="Q249" s="3604"/>
    </row>
    <row r="250" spans="1:32" ht="11.45" customHeight="1">
      <c r="A250" s="47" t="s">
        <v>1983</v>
      </c>
      <c r="B250" s="52" t="s">
        <v>1268</v>
      </c>
      <c r="D250" s="42"/>
      <c r="E250" s="52"/>
      <c r="F250" s="52"/>
      <c r="J250" s="527" t="s">
        <v>1983</v>
      </c>
      <c r="K250" s="3630" t="s">
        <v>1771</v>
      </c>
      <c r="L250" s="3631"/>
      <c r="M250" s="3631"/>
      <c r="N250" s="3631"/>
      <c r="O250" s="3632"/>
      <c r="P250" s="3718" t="s">
        <v>1771</v>
      </c>
      <c r="Q250" s="3719"/>
    </row>
    <row r="251" spans="1:32" ht="11.45" customHeight="1">
      <c r="A251" s="47" t="s">
        <v>1985</v>
      </c>
      <c r="B251" s="52" t="s">
        <v>2812</v>
      </c>
      <c r="D251" s="52"/>
      <c r="E251" s="52"/>
      <c r="F251" s="52"/>
      <c r="J251" s="527" t="s">
        <v>1985</v>
      </c>
      <c r="K251" s="3715"/>
      <c r="L251" s="3716"/>
      <c r="M251" s="3716"/>
      <c r="N251" s="3716"/>
      <c r="O251" s="3717"/>
      <c r="P251" s="3680"/>
      <c r="Q251" s="3681"/>
    </row>
    <row r="252" spans="1:32" s="151" customFormat="1" ht="11.45" customHeight="1">
      <c r="A252" s="47"/>
      <c r="B252" s="52" t="s">
        <v>1945</v>
      </c>
      <c r="D252" s="52"/>
      <c r="E252" s="52"/>
      <c r="F252" s="52"/>
      <c r="K252" s="3623"/>
      <c r="L252" s="3650"/>
      <c r="M252" s="3650"/>
      <c r="N252" s="3650"/>
      <c r="O252" s="3624"/>
      <c r="P252" s="3682"/>
      <c r="Q252" s="3683"/>
      <c r="AE252" s="531"/>
      <c r="AF252" s="531"/>
    </row>
    <row r="253" spans="1:32" s="151" customFormat="1" ht="11.45" customHeight="1">
      <c r="A253" s="47"/>
      <c r="B253" s="52" t="s">
        <v>2543</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4911</v>
      </c>
      <c r="D254" s="52"/>
      <c r="E254" s="52"/>
      <c r="F254" s="52"/>
      <c r="J254" s="527" t="s">
        <v>749</v>
      </c>
      <c r="K254" s="3684"/>
      <c r="L254" s="3685"/>
      <c r="M254" s="3685"/>
      <c r="N254" s="3685"/>
      <c r="O254" s="3686"/>
      <c r="P254" s="3687"/>
      <c r="Q254" s="3688"/>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15"/>
      <c r="M256" s="36"/>
      <c r="N256" s="1180"/>
      <c r="O256" s="1180"/>
      <c r="P256" s="238"/>
      <c r="Q256" s="617"/>
      <c r="AE256" s="531"/>
      <c r="AF256" s="531"/>
    </row>
    <row r="257" spans="1:32" s="151" customFormat="1" ht="11.45" customHeight="1">
      <c r="A257" s="47"/>
      <c r="B257" s="52"/>
      <c r="C257" s="55" t="s">
        <v>4769</v>
      </c>
      <c r="D257" s="52"/>
      <c r="E257" s="52"/>
      <c r="F257" s="52"/>
      <c r="K257" s="527" t="s">
        <v>4770</v>
      </c>
      <c r="L257" s="2416"/>
      <c r="M257" s="36"/>
      <c r="N257" s="1180"/>
      <c r="O257" s="1180"/>
      <c r="P257" s="239"/>
      <c r="Q257" s="619"/>
      <c r="AE257" s="531"/>
      <c r="AF257" s="531"/>
    </row>
    <row r="258" spans="1:32" s="151" customFormat="1" ht="11.45" customHeight="1">
      <c r="A258" s="47"/>
      <c r="B258" s="52" t="s">
        <v>4766</v>
      </c>
      <c r="D258" s="52"/>
      <c r="E258" s="52"/>
      <c r="F258" s="52"/>
      <c r="K258" s="3630"/>
      <c r="L258" s="3631"/>
      <c r="M258" s="3631"/>
      <c r="N258" s="3631"/>
      <c r="O258" s="3632"/>
      <c r="P258" s="3700"/>
      <c r="Q258" s="3701"/>
      <c r="AE258" s="531"/>
      <c r="AF258" s="531"/>
    </row>
    <row r="259" spans="1:32" s="151" customFormat="1" ht="11.45" customHeight="1">
      <c r="A259" s="47" t="s">
        <v>2115</v>
      </c>
      <c r="B259" s="52" t="s">
        <v>3906</v>
      </c>
      <c r="D259" s="52"/>
      <c r="E259" s="52"/>
      <c r="F259" s="52"/>
      <c r="G259" s="52"/>
      <c r="H259" s="52"/>
      <c r="I259" s="96"/>
      <c r="J259" s="96"/>
      <c r="K259" s="96"/>
      <c r="M259" s="36"/>
      <c r="N259" s="1180"/>
      <c r="O259" s="527" t="s">
        <v>2115</v>
      </c>
      <c r="P259" s="238"/>
      <c r="Q259" s="617"/>
      <c r="AE259" s="531"/>
      <c r="AF259" s="531"/>
    </row>
    <row r="260" spans="1:32" s="151" customFormat="1" ht="11.45" customHeight="1">
      <c r="A260" s="47"/>
      <c r="B260" s="3599" t="s">
        <v>3761</v>
      </c>
      <c r="C260" s="3599"/>
      <c r="D260" s="3599"/>
      <c r="E260" s="3599"/>
      <c r="F260" s="3599"/>
      <c r="G260" s="3599"/>
      <c r="H260" s="495" t="s">
        <v>4115</v>
      </c>
      <c r="K260" s="96"/>
      <c r="M260" s="36"/>
      <c r="N260" s="1180"/>
      <c r="O260" s="66" t="s">
        <v>1737</v>
      </c>
      <c r="P260" s="422"/>
      <c r="Q260" s="618"/>
      <c r="AE260" s="531"/>
      <c r="AF260" s="531"/>
    </row>
    <row r="261" spans="1:32" s="151" customFormat="1" ht="11.45" customHeight="1">
      <c r="A261" s="47"/>
      <c r="B261" s="3599"/>
      <c r="C261" s="3599"/>
      <c r="D261" s="3599"/>
      <c r="E261" s="3599"/>
      <c r="F261" s="3599"/>
      <c r="G261" s="3599"/>
      <c r="H261" s="55" t="s">
        <v>4116</v>
      </c>
      <c r="K261" s="96"/>
      <c r="M261" s="36"/>
      <c r="N261" s="1180"/>
      <c r="O261" s="66" t="s">
        <v>1738</v>
      </c>
      <c r="P261" s="422"/>
      <c r="Q261" s="618"/>
      <c r="AE261" s="531"/>
      <c r="AF261" s="531"/>
    </row>
    <row r="262" spans="1:32" s="151" customFormat="1" ht="11.45" customHeight="1">
      <c r="A262" s="47"/>
      <c r="B262" s="52"/>
      <c r="D262" s="52"/>
      <c r="E262" s="52"/>
      <c r="F262" s="52"/>
      <c r="G262" s="52"/>
      <c r="H262" s="55" t="s">
        <v>4117</v>
      </c>
      <c r="K262" s="96"/>
      <c r="M262" s="36"/>
      <c r="N262" s="1180"/>
      <c r="O262" s="66" t="s">
        <v>1739</v>
      </c>
      <c r="P262" s="422"/>
      <c r="Q262" s="618"/>
      <c r="AE262" s="531"/>
      <c r="AF262" s="531"/>
    </row>
    <row r="263" spans="1:32" s="151" customFormat="1" ht="11.45" customHeight="1">
      <c r="A263" s="47"/>
      <c r="B263" s="52"/>
      <c r="D263" s="52"/>
      <c r="E263" s="52"/>
      <c r="F263" s="52"/>
      <c r="G263" s="52"/>
      <c r="H263" s="55" t="s">
        <v>4118</v>
      </c>
      <c r="K263" s="96"/>
      <c r="M263" s="36"/>
      <c r="N263" s="1180"/>
      <c r="O263" s="527" t="s">
        <v>2365</v>
      </c>
      <c r="P263" s="422"/>
      <c r="Q263" s="618"/>
      <c r="AE263" s="531"/>
      <c r="AF263" s="531"/>
    </row>
    <row r="264" spans="1:32" s="151" customFormat="1" ht="21.75" customHeight="1">
      <c r="B264" s="3599" t="s">
        <v>3907</v>
      </c>
      <c r="C264" s="3599"/>
      <c r="D264" s="3599"/>
      <c r="E264" s="3599"/>
      <c r="F264" s="3599"/>
      <c r="G264" s="3599"/>
      <c r="H264" s="3599"/>
      <c r="I264" s="3599"/>
      <c r="J264" s="3599"/>
      <c r="K264" s="3599"/>
      <c r="L264" s="3599"/>
      <c r="M264" s="3599"/>
      <c r="N264" s="3599"/>
      <c r="O264" s="166"/>
      <c r="P264" s="1447"/>
      <c r="Q264" s="1448"/>
      <c r="T264" s="531"/>
      <c r="AE264" s="531"/>
      <c r="AF264" s="531"/>
    </row>
    <row r="265" spans="1:32" s="151" customFormat="1" ht="33.75" customHeight="1">
      <c r="A265" s="145" t="s">
        <v>1735</v>
      </c>
      <c r="B265" s="3599" t="s">
        <v>5084</v>
      </c>
      <c r="C265" s="3599"/>
      <c r="D265" s="3599"/>
      <c r="E265" s="3599"/>
      <c r="F265" s="3599"/>
      <c r="G265" s="3599"/>
      <c r="H265" s="3599"/>
      <c r="I265" s="3599"/>
      <c r="J265" s="3599"/>
      <c r="K265" s="3599"/>
      <c r="L265" s="3599"/>
      <c r="M265" s="3599"/>
      <c r="N265" s="3599"/>
      <c r="O265" s="166" t="s">
        <v>1735</v>
      </c>
      <c r="P265" s="2677"/>
      <c r="Q265" s="2676"/>
      <c r="T265" s="531"/>
      <c r="AE265" s="531"/>
      <c r="AF265" s="531"/>
    </row>
    <row r="266" spans="1:32" s="151" customFormat="1" ht="21.75" customHeight="1">
      <c r="B266" s="3599" t="s">
        <v>5083</v>
      </c>
      <c r="C266" s="3599"/>
      <c r="D266" s="3599"/>
      <c r="E266" s="3599"/>
      <c r="F266" s="3599"/>
      <c r="G266" s="3599"/>
      <c r="H266" s="3599"/>
      <c r="I266" s="3599"/>
      <c r="J266" s="3599"/>
      <c r="K266" s="3599"/>
      <c r="L266" s="3599"/>
      <c r="M266" s="3599"/>
      <c r="N266" s="3599"/>
      <c r="O266" s="166"/>
      <c r="P266" s="2675"/>
      <c r="Q266" s="2674"/>
      <c r="T266" s="531"/>
      <c r="AE266" s="531"/>
      <c r="AF266" s="531"/>
    </row>
    <row r="267" spans="1:32" ht="11.45" customHeight="1">
      <c r="B267" s="66" t="s">
        <v>1737</v>
      </c>
      <c r="C267" s="1021" t="s">
        <v>5081</v>
      </c>
      <c r="E267" s="1021"/>
      <c r="F267" s="1021"/>
      <c r="L267" s="33"/>
      <c r="M267" s="33"/>
      <c r="O267" s="66" t="s">
        <v>1737</v>
      </c>
      <c r="P267" s="2554"/>
      <c r="Q267" s="2555"/>
    </row>
    <row r="268" spans="1:32" ht="11.45" customHeight="1">
      <c r="B268" s="66"/>
      <c r="D268" s="55" t="s">
        <v>3863</v>
      </c>
      <c r="E268" s="3487"/>
      <c r="F268" s="3488"/>
      <c r="G268" s="3489"/>
      <c r="H268" s="1021" t="s">
        <v>4951</v>
      </c>
      <c r="I268" s="3487" t="s">
        <v>4952</v>
      </c>
      <c r="J268" s="3488"/>
      <c r="K268" s="3489"/>
      <c r="L268" s="138" t="s">
        <v>4953</v>
      </c>
      <c r="M268" s="3487"/>
      <c r="N268" s="3488"/>
      <c r="O268" s="3488"/>
      <c r="P268" s="3488"/>
      <c r="Q268" s="3489"/>
      <c r="U268" s="450"/>
    </row>
    <row r="269" spans="1:32" ht="11.45" customHeight="1">
      <c r="A269" s="47"/>
      <c r="B269" s="66" t="s">
        <v>1738</v>
      </c>
      <c r="C269" s="1021" t="s">
        <v>5082</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87"/>
      <c r="F270" s="3488"/>
      <c r="G270" s="3489"/>
      <c r="H270" s="138" t="s">
        <v>1800</v>
      </c>
      <c r="I270" s="3487"/>
      <c r="J270" s="3488"/>
      <c r="K270" s="3488"/>
      <c r="L270" s="3488"/>
      <c r="M270" s="3489"/>
      <c r="S270" s="66"/>
      <c r="U270" s="450"/>
    </row>
    <row r="271" spans="1:32" ht="11.25" customHeight="1">
      <c r="B271" s="144" t="s">
        <v>3753</v>
      </c>
      <c r="D271" s="144"/>
      <c r="E271" s="144"/>
      <c r="F271" s="144"/>
      <c r="G271" s="144"/>
      <c r="H271" s="40"/>
      <c r="I271" s="1385"/>
      <c r="J271" s="1385"/>
      <c r="K271" s="1385"/>
      <c r="L271" s="1378"/>
      <c r="M271" s="1378"/>
      <c r="N271" s="1378"/>
      <c r="O271" s="1378"/>
      <c r="P271" s="1378"/>
      <c r="Q271" s="1020"/>
    </row>
    <row r="272" spans="1:32" ht="13.35" customHeight="1">
      <c r="A272" s="3644" t="s">
        <v>5337</v>
      </c>
      <c r="B272" s="3645"/>
      <c r="C272" s="3645"/>
      <c r="D272" s="3645"/>
      <c r="E272" s="3645"/>
      <c r="F272" s="3645"/>
      <c r="G272" s="3645"/>
      <c r="H272" s="3645"/>
      <c r="I272" s="3645"/>
      <c r="J272" s="3645"/>
      <c r="K272" s="3645"/>
      <c r="L272" s="3645"/>
      <c r="M272" s="3645"/>
      <c r="N272" s="3645"/>
      <c r="O272" s="3645"/>
      <c r="P272" s="3645"/>
      <c r="Q272" s="3646"/>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0"/>
      <c r="B274" s="3601"/>
      <c r="C274" s="3601"/>
      <c r="D274" s="3601"/>
      <c r="E274" s="3601"/>
      <c r="F274" s="3601"/>
      <c r="G274" s="3601"/>
      <c r="H274" s="3601"/>
      <c r="I274" s="3601"/>
      <c r="J274" s="3601"/>
      <c r="K274" s="3601"/>
      <c r="L274" s="3601"/>
      <c r="M274" s="3601"/>
      <c r="N274" s="3601"/>
      <c r="O274" s="3601"/>
      <c r="P274" s="3601"/>
      <c r="Q274" s="3602"/>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03"/>
      <c r="Q276" s="3604"/>
    </row>
    <row r="277" spans="1:32" s="474" customFormat="1" ht="21.75" customHeight="1">
      <c r="A277" s="145" t="s">
        <v>1983</v>
      </c>
      <c r="B277" s="3599" t="s">
        <v>4964</v>
      </c>
      <c r="C277" s="3599"/>
      <c r="D277" s="3599"/>
      <c r="E277" s="3599"/>
      <c r="F277" s="3599"/>
      <c r="G277" s="3599"/>
      <c r="H277" s="3599"/>
      <c r="I277" s="3599"/>
      <c r="J277" s="3599"/>
      <c r="K277" s="3599"/>
      <c r="L277" s="3599"/>
      <c r="M277" s="3599"/>
      <c r="N277" s="3599"/>
      <c r="O277" s="166" t="s">
        <v>1983</v>
      </c>
      <c r="P277" s="1389" t="s">
        <v>2990</v>
      </c>
      <c r="Q277" s="1388"/>
      <c r="AE277" s="532"/>
      <c r="AF277" s="532"/>
    </row>
    <row r="278" spans="1:32" s="151" customFormat="1" ht="11.4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599" t="s">
        <v>4967</v>
      </c>
      <c r="C282" s="3599"/>
      <c r="D282" s="3599"/>
      <c r="E282" s="3599"/>
      <c r="F282" s="3599"/>
      <c r="G282" s="3599"/>
      <c r="H282" s="3599"/>
      <c r="I282" s="3599"/>
      <c r="J282" s="3599"/>
      <c r="K282" s="3599"/>
      <c r="L282" s="3599"/>
      <c r="M282" s="3599"/>
      <c r="N282" s="3599"/>
      <c r="O282" s="527" t="s">
        <v>2115</v>
      </c>
      <c r="P282" s="1447" t="s">
        <v>2990</v>
      </c>
      <c r="Q282" s="1448"/>
      <c r="AE282" s="531"/>
      <c r="AF282" s="531"/>
    </row>
    <row r="283" spans="1:32" ht="11.25" customHeight="1">
      <c r="B283" s="144" t="s">
        <v>3753</v>
      </c>
      <c r="D283" s="144"/>
      <c r="E283" s="144"/>
      <c r="F283" s="144"/>
      <c r="G283" s="144"/>
      <c r="H283" s="40"/>
      <c r="I283" s="1385"/>
      <c r="J283" s="1385"/>
      <c r="K283" s="1385"/>
      <c r="L283" s="1378"/>
      <c r="M283" s="1378"/>
      <c r="N283" s="1378"/>
      <c r="O283" s="1378"/>
      <c r="P283" s="1378"/>
      <c r="Q283" s="1020"/>
    </row>
    <row r="284" spans="1:32" ht="13.35" customHeight="1">
      <c r="A284" s="3644" t="s">
        <v>5338</v>
      </c>
      <c r="B284" s="3645"/>
      <c r="C284" s="3645"/>
      <c r="D284" s="3645"/>
      <c r="E284" s="3645"/>
      <c r="F284" s="3645"/>
      <c r="G284" s="3645"/>
      <c r="H284" s="3645"/>
      <c r="I284" s="3645"/>
      <c r="J284" s="3645"/>
      <c r="K284" s="3645"/>
      <c r="L284" s="3645"/>
      <c r="M284" s="3645"/>
      <c r="N284" s="3645"/>
      <c r="O284" s="3645"/>
      <c r="P284" s="3645"/>
      <c r="Q284" s="3646"/>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0"/>
      <c r="B286" s="3601"/>
      <c r="C286" s="3601"/>
      <c r="D286" s="3601"/>
      <c r="E286" s="3601"/>
      <c r="F286" s="3601"/>
      <c r="G286" s="3601"/>
      <c r="H286" s="3601"/>
      <c r="I286" s="3601"/>
      <c r="J286" s="3601"/>
      <c r="K286" s="3601"/>
      <c r="L286" s="3601"/>
      <c r="M286" s="3601"/>
      <c r="N286" s="3601"/>
      <c r="O286" s="3601"/>
      <c r="P286" s="3601"/>
      <c r="Q286" s="3602"/>
    </row>
    <row r="287" spans="1:32" ht="3" customHeight="1"/>
    <row r="288" spans="1:32" ht="14.1" customHeight="1">
      <c r="A288" s="1384" t="s">
        <v>4101</v>
      </c>
      <c r="B288" s="1384" t="s">
        <v>2664</v>
      </c>
      <c r="C288" s="1384"/>
      <c r="D288" s="1379"/>
      <c r="E288" s="1379"/>
      <c r="F288" s="1379"/>
      <c r="G288" s="1379"/>
      <c r="H288" s="1379"/>
      <c r="I288" s="1379"/>
      <c r="J288" s="1379"/>
      <c r="K288" s="1379"/>
      <c r="L288" s="1379"/>
      <c r="M288" s="1379"/>
      <c r="O288" s="135" t="s">
        <v>1867</v>
      </c>
      <c r="P288" s="3603"/>
      <c r="Q288" s="3604"/>
    </row>
    <row r="289" spans="1:32" s="474" customFormat="1" ht="33" customHeight="1">
      <c r="A289" s="145" t="s">
        <v>1983</v>
      </c>
      <c r="B289" s="3599" t="s">
        <v>4966</v>
      </c>
      <c r="C289" s="3599"/>
      <c r="D289" s="3599"/>
      <c r="E289" s="3599"/>
      <c r="F289" s="3599"/>
      <c r="G289" s="3599"/>
      <c r="H289" s="3599"/>
      <c r="I289" s="3599"/>
      <c r="J289" s="3599"/>
      <c r="K289" s="3599"/>
      <c r="L289" s="3599"/>
      <c r="M289" s="3599"/>
      <c r="N289" s="3599"/>
      <c r="O289" s="166" t="s">
        <v>1983</v>
      </c>
      <c r="P289" s="1422" t="s">
        <v>5285</v>
      </c>
      <c r="Q289" s="1421"/>
      <c r="AE289" s="532"/>
      <c r="AF289" s="532"/>
    </row>
    <row r="290" spans="1:32" s="474" customFormat="1" ht="21.75" customHeight="1">
      <c r="A290" s="145"/>
      <c r="B290" s="3599" t="s">
        <v>2814</v>
      </c>
      <c r="C290" s="3599"/>
      <c r="D290" s="3599"/>
      <c r="E290" s="3599"/>
      <c r="F290" s="3599"/>
      <c r="G290" s="3599"/>
      <c r="H290" s="3599"/>
      <c r="I290" s="3599"/>
      <c r="J290" s="3599"/>
      <c r="K290" s="3599"/>
      <c r="L290" s="3599"/>
      <c r="M290" s="3599"/>
      <c r="N290" s="3599"/>
      <c r="O290" s="166"/>
      <c r="P290" s="1426" t="s">
        <v>5285</v>
      </c>
      <c r="Q290" s="1423"/>
      <c r="AE290" s="532"/>
      <c r="AF290" s="532"/>
    </row>
    <row r="291" spans="1:32" s="27" customFormat="1" ht="11.45" customHeight="1">
      <c r="A291" s="142" t="s">
        <v>1985</v>
      </c>
      <c r="B291" s="197" t="s">
        <v>310</v>
      </c>
      <c r="C291" s="163"/>
      <c r="D291" s="660"/>
      <c r="E291" s="660"/>
      <c r="F291" s="163"/>
      <c r="H291" s="163"/>
      <c r="I291" s="163"/>
      <c r="J291" s="2468" t="s">
        <v>4786</v>
      </c>
      <c r="K291" s="3659" t="s">
        <v>3770</v>
      </c>
      <c r="L291" s="3660"/>
      <c r="M291" s="3660"/>
      <c r="N291" s="3661"/>
      <c r="O291" s="527" t="s">
        <v>1985</v>
      </c>
      <c r="P291" s="2706" t="s">
        <v>5285</v>
      </c>
      <c r="Q291" s="2705"/>
      <c r="R291" s="1179"/>
      <c r="S291" s="1395"/>
    </row>
    <row r="292" spans="1:32" s="27" customFormat="1" ht="11.45" customHeight="1">
      <c r="A292" s="142"/>
      <c r="B292" s="197"/>
      <c r="C292" s="163"/>
      <c r="D292" s="660"/>
      <c r="E292" s="660"/>
      <c r="F292" s="163"/>
      <c r="H292" s="163"/>
      <c r="I292" s="163"/>
      <c r="J292" s="2468" t="s">
        <v>4968</v>
      </c>
      <c r="K292" s="3659" t="s">
        <v>4774</v>
      </c>
      <c r="L292" s="3660"/>
      <c r="M292" s="3660"/>
      <c r="N292" s="3661"/>
      <c r="O292" s="527"/>
      <c r="P292" s="527"/>
      <c r="Q292" s="527"/>
      <c r="R292" s="527"/>
      <c r="S292" s="1395"/>
    </row>
    <row r="293" spans="1:32" s="105" customFormat="1" ht="11.45" customHeight="1">
      <c r="A293" s="42"/>
      <c r="B293" s="144" t="s">
        <v>3753</v>
      </c>
      <c r="C293" s="42"/>
      <c r="D293" s="48"/>
      <c r="E293" s="48"/>
      <c r="F293" s="48"/>
      <c r="G293" s="48"/>
      <c r="K293" s="36"/>
      <c r="M293" s="46"/>
      <c r="N293" s="6"/>
      <c r="O293" s="3"/>
      <c r="P293" s="2409"/>
    </row>
    <row r="294" spans="1:32" s="43" customFormat="1" ht="21.75" customHeight="1">
      <c r="A294" s="3644" t="s">
        <v>5339</v>
      </c>
      <c r="B294" s="3645"/>
      <c r="C294" s="3645"/>
      <c r="D294" s="3645"/>
      <c r="E294" s="3645"/>
      <c r="F294" s="3645"/>
      <c r="G294" s="3645"/>
      <c r="H294" s="3645"/>
      <c r="I294" s="3645"/>
      <c r="J294" s="3645"/>
      <c r="K294" s="3645"/>
      <c r="L294" s="3645"/>
      <c r="M294" s="3645"/>
      <c r="N294" s="3645"/>
      <c r="O294" s="3645"/>
      <c r="P294" s="3645"/>
      <c r="Q294" s="3646"/>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0"/>
      <c r="B296" s="3601"/>
      <c r="C296" s="3601"/>
      <c r="D296" s="3601"/>
      <c r="E296" s="3601"/>
      <c r="F296" s="3601"/>
      <c r="G296" s="3601"/>
      <c r="H296" s="3601"/>
      <c r="I296" s="3601"/>
      <c r="J296" s="3601"/>
      <c r="K296" s="3601"/>
      <c r="L296" s="3601"/>
      <c r="M296" s="3601"/>
      <c r="N296" s="3601"/>
      <c r="O296" s="3601"/>
      <c r="P296" s="3601"/>
      <c r="Q296" s="3602"/>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4102</v>
      </c>
      <c r="B298" s="1384" t="s">
        <v>2665</v>
      </c>
      <c r="C298" s="152"/>
      <c r="D298" s="1382"/>
      <c r="E298" s="1379"/>
      <c r="F298" s="1379"/>
      <c r="G298" s="1379"/>
      <c r="H298" s="1379"/>
      <c r="I298" s="1379"/>
      <c r="J298" s="1379"/>
      <c r="K298" s="1379"/>
      <c r="L298" s="1379"/>
      <c r="M298" s="1379"/>
      <c r="O298" s="135" t="s">
        <v>1867</v>
      </c>
      <c r="P298" s="3603"/>
      <c r="Q298" s="3604"/>
    </row>
    <row r="299" spans="1:32" ht="12.75" customHeight="1">
      <c r="A299" s="14" t="s">
        <v>1983</v>
      </c>
      <c r="B299" s="1384" t="s">
        <v>4121</v>
      </c>
    </row>
    <row r="300" spans="1:32" s="151" customFormat="1" ht="44.25" customHeight="1">
      <c r="A300" s="145"/>
      <c r="B300" s="2579" t="s">
        <v>1737</v>
      </c>
      <c r="C300" s="3599" t="s">
        <v>3910</v>
      </c>
      <c r="D300" s="3599"/>
      <c r="E300" s="3599"/>
      <c r="F300" s="3599"/>
      <c r="G300" s="3599"/>
      <c r="H300" s="3599"/>
      <c r="I300" s="3599"/>
      <c r="J300" s="3599"/>
      <c r="K300" s="3599"/>
      <c r="L300" s="3599"/>
      <c r="M300" s="3599"/>
      <c r="N300" s="3599"/>
      <c r="O300" s="166" t="s">
        <v>2726</v>
      </c>
      <c r="P300" s="1422" t="s">
        <v>2990</v>
      </c>
      <c r="Q300" s="1421"/>
      <c r="AE300" s="531"/>
      <c r="AF300" s="531"/>
    </row>
    <row r="301" spans="1:32" s="474" customFormat="1" ht="12" customHeight="1">
      <c r="A301" s="145"/>
      <c r="B301" s="2579" t="s">
        <v>1738</v>
      </c>
      <c r="C301" s="3599" t="s">
        <v>5208</v>
      </c>
      <c r="D301" s="3599"/>
      <c r="E301" s="3599"/>
      <c r="F301" s="3599"/>
      <c r="G301" s="3599"/>
      <c r="H301" s="3599"/>
      <c r="I301" s="3599"/>
      <c r="J301" s="3599"/>
      <c r="K301" s="3599"/>
      <c r="L301" s="3599"/>
      <c r="M301" s="3599"/>
      <c r="N301" s="3599"/>
      <c r="O301" s="153" t="s">
        <v>1738</v>
      </c>
      <c r="P301" s="633" t="s">
        <v>2990</v>
      </c>
      <c r="Q301" s="620"/>
      <c r="AE301" s="532"/>
      <c r="AF301" s="532"/>
    </row>
    <row r="302" spans="1:32" s="474" customFormat="1" ht="21.75" customHeight="1">
      <c r="A302" s="145"/>
      <c r="B302" s="541" t="s">
        <v>1739</v>
      </c>
      <c r="C302" s="3599" t="s">
        <v>3909</v>
      </c>
      <c r="D302" s="3599"/>
      <c r="E302" s="3599"/>
      <c r="F302" s="3599"/>
      <c r="G302" s="3599"/>
      <c r="H302" s="3599"/>
      <c r="I302" s="3599"/>
      <c r="J302" s="3599"/>
      <c r="K302" s="3599"/>
      <c r="L302" s="3599"/>
      <c r="M302" s="3599"/>
      <c r="N302" s="3599"/>
      <c r="O302" s="166" t="s">
        <v>1739</v>
      </c>
      <c r="P302" s="1447" t="s">
        <v>2990</v>
      </c>
      <c r="Q302" s="1448"/>
      <c r="AE302" s="532"/>
      <c r="AF302" s="532"/>
    </row>
    <row r="303" spans="1:32" s="96" customFormat="1" ht="12.75" customHeight="1">
      <c r="A303" s="14" t="s">
        <v>1985</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599" t="s">
        <v>3750</v>
      </c>
      <c r="D304" s="3599"/>
      <c r="E304" s="3599"/>
      <c r="F304" s="3599"/>
      <c r="G304" s="3599"/>
      <c r="H304" s="3599"/>
      <c r="I304" s="143"/>
      <c r="J304" s="3668" t="s">
        <v>3793</v>
      </c>
      <c r="K304" s="3669"/>
      <c r="L304" s="3669"/>
      <c r="M304" s="3692" t="s">
        <v>3763</v>
      </c>
      <c r="N304" s="3692"/>
      <c r="AE304" s="533"/>
      <c r="AF304" s="533"/>
    </row>
    <row r="305" spans="1:33" s="325" customFormat="1" ht="10.5" customHeight="1">
      <c r="A305" s="338"/>
      <c r="B305" s="2561"/>
      <c r="C305" s="3599"/>
      <c r="D305" s="3599"/>
      <c r="E305" s="3599"/>
      <c r="F305" s="3599"/>
      <c r="G305" s="3599"/>
      <c r="H305" s="3599"/>
      <c r="I305" s="1376"/>
      <c r="J305" s="3669"/>
      <c r="K305" s="3669"/>
      <c r="L305" s="3669"/>
      <c r="M305" s="36" t="s">
        <v>3764</v>
      </c>
      <c r="N305" s="1385" t="s">
        <v>3792</v>
      </c>
      <c r="P305" s="336"/>
    </row>
    <row r="306" spans="1:33" s="325" customFormat="1" ht="13.35" customHeight="1">
      <c r="A306" s="338"/>
      <c r="B306" s="2561"/>
      <c r="C306" s="3599"/>
      <c r="D306" s="3599"/>
      <c r="E306" s="3599"/>
      <c r="F306" s="3599"/>
      <c r="G306" s="3599"/>
      <c r="H306" s="3599"/>
      <c r="I306" s="52" t="s">
        <v>4122</v>
      </c>
      <c r="K306" s="1173">
        <v>13</v>
      </c>
      <c r="L306" s="1175" t="str">
        <f>IF(K306&lt;M306,"Check!!!","")</f>
        <v/>
      </c>
      <c r="M306" s="1176">
        <f>ROUNDUP('Part VI-Revenues &amp; Expenses'!$O$67*'Part VIII-Threshold Criteria'!N306,0)</f>
        <v>13</v>
      </c>
      <c r="N306" s="2521">
        <f>'DCA Underwriting Assumptions'!$Q$139</f>
        <v>0.05</v>
      </c>
      <c r="O306" s="527" t="s">
        <v>3638</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599" t="s">
        <v>3751</v>
      </c>
      <c r="D307" s="3599"/>
      <c r="E307" s="3599"/>
      <c r="F307" s="3599"/>
      <c r="G307" s="3599"/>
      <c r="H307" s="3599"/>
      <c r="I307" s="1008" t="s">
        <v>4123</v>
      </c>
      <c r="J307" s="325"/>
      <c r="K307" s="1173">
        <v>6</v>
      </c>
      <c r="L307" s="1175" t="str">
        <f>IF(K307&lt;M307,"Check!!!","")</f>
        <v/>
      </c>
      <c r="M307" s="1176">
        <f>ROUNDUP(K306*'Part VIII-Threshold Criteria'!N307,0)</f>
        <v>6</v>
      </c>
      <c r="N307" s="2521">
        <f>'DCA Underwriting Assumptions'!$Q$140</f>
        <v>0.4</v>
      </c>
      <c r="O307" s="527" t="s">
        <v>2117</v>
      </c>
      <c r="P307" s="3664" t="s">
        <v>2990</v>
      </c>
      <c r="Q307" s="3663"/>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599"/>
      <c r="D308" s="3599"/>
      <c r="E308" s="3599"/>
      <c r="F308" s="3599"/>
      <c r="G308" s="3599"/>
      <c r="H308" s="3599"/>
      <c r="O308" s="40"/>
      <c r="P308" s="3664"/>
      <c r="Q308" s="3663"/>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599" t="s">
        <v>3752</v>
      </c>
      <c r="D309" s="3599"/>
      <c r="E309" s="3599"/>
      <c r="F309" s="3599"/>
      <c r="G309" s="3599"/>
      <c r="H309" s="3599"/>
      <c r="I309" s="52" t="s">
        <v>4124</v>
      </c>
      <c r="J309" s="325"/>
      <c r="K309" s="1173">
        <v>5</v>
      </c>
      <c r="L309" s="1175" t="str">
        <f>IF(K309&lt;M309,"Check!!!","")</f>
        <v/>
      </c>
      <c r="M309" s="1176">
        <f>ROUNDUP('Part VI-Revenues &amp; Expenses'!$O$67*'Part VIII-Threshold Criteria'!N309,0)</f>
        <v>5</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99"/>
      <c r="D310" s="3599"/>
      <c r="E310" s="3599"/>
      <c r="F310" s="3599"/>
      <c r="G310" s="3599"/>
      <c r="H310" s="3599"/>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599"/>
      <c r="D311" s="3599"/>
      <c r="E311" s="3599"/>
      <c r="F311" s="3599"/>
      <c r="G311" s="3599"/>
      <c r="H311" s="3599"/>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2" t="s">
        <v>3640</v>
      </c>
      <c r="C313" s="3662"/>
      <c r="D313" s="3662"/>
      <c r="E313" s="3662"/>
      <c r="F313" s="3662"/>
      <c r="G313" s="3662"/>
      <c r="H313" s="3662"/>
      <c r="I313" s="3662"/>
      <c r="J313" s="3662"/>
      <c r="K313" s="3662"/>
      <c r="L313" s="3662"/>
      <c r="M313" s="3662"/>
      <c r="N313" s="3662"/>
      <c r="O313" s="166" t="s">
        <v>749</v>
      </c>
      <c r="P313" s="1424" t="s">
        <v>2990</v>
      </c>
      <c r="Q313" s="1425"/>
      <c r="AE313" s="533"/>
      <c r="AF313" s="533"/>
    </row>
    <row r="314" spans="1:33" s="96" customFormat="1" ht="11.25" customHeight="1">
      <c r="B314" s="450" t="s">
        <v>3641</v>
      </c>
      <c r="D314" s="450"/>
      <c r="E314" s="450"/>
      <c r="F314" s="450"/>
      <c r="G314" s="450"/>
      <c r="H314" s="450"/>
      <c r="I314" s="450" t="s">
        <v>3762</v>
      </c>
      <c r="J314" s="450"/>
      <c r="K314" s="450"/>
      <c r="L314" s="3665" t="s">
        <v>5340</v>
      </c>
      <c r="M314" s="3666"/>
      <c r="N314" s="3666"/>
      <c r="O314" s="3667"/>
      <c r="P314" s="450"/>
      <c r="Q314" s="450"/>
      <c r="R314" s="450"/>
      <c r="AE314" s="533"/>
      <c r="AF314" s="533"/>
    </row>
    <row r="315" spans="1:33" s="474" customFormat="1" ht="44.25" customHeight="1">
      <c r="B315" s="2579" t="s">
        <v>1737</v>
      </c>
      <c r="C315" s="3599" t="s">
        <v>3639</v>
      </c>
      <c r="D315" s="3599"/>
      <c r="E315" s="3599"/>
      <c r="F315" s="3599"/>
      <c r="G315" s="3599"/>
      <c r="H315" s="3599"/>
      <c r="I315" s="3599"/>
      <c r="J315" s="3599"/>
      <c r="K315" s="3599"/>
      <c r="L315" s="3599"/>
      <c r="M315" s="3599"/>
      <c r="N315" s="3599"/>
      <c r="O315" s="166" t="s">
        <v>3644</v>
      </c>
      <c r="P315" s="1389" t="s">
        <v>2990</v>
      </c>
      <c r="Q315" s="1388"/>
      <c r="AE315" s="532"/>
      <c r="AF315" s="532"/>
    </row>
    <row r="316" spans="1:33" s="474" customFormat="1" ht="34.5" customHeight="1">
      <c r="B316" s="2579" t="s">
        <v>1738</v>
      </c>
      <c r="C316" s="3599" t="s">
        <v>4912</v>
      </c>
      <c r="D316" s="3599"/>
      <c r="E316" s="3599"/>
      <c r="F316" s="3599"/>
      <c r="G316" s="3599"/>
      <c r="H316" s="3599"/>
      <c r="I316" s="3599"/>
      <c r="J316" s="3599"/>
      <c r="K316" s="3599"/>
      <c r="L316" s="3599"/>
      <c r="M316" s="3599"/>
      <c r="N316" s="3599"/>
      <c r="O316" s="166" t="s">
        <v>3645</v>
      </c>
      <c r="P316" s="633" t="s">
        <v>2990</v>
      </c>
      <c r="Q316" s="620"/>
      <c r="AE316" s="532"/>
      <c r="AF316" s="532"/>
    </row>
    <row r="317" spans="1:33" s="474" customFormat="1" ht="22.5" customHeight="1">
      <c r="B317" s="541" t="s">
        <v>1739</v>
      </c>
      <c r="C317" s="3599" t="s">
        <v>3642</v>
      </c>
      <c r="D317" s="3599"/>
      <c r="E317" s="3599"/>
      <c r="F317" s="3599"/>
      <c r="G317" s="3599"/>
      <c r="H317" s="3599"/>
      <c r="I317" s="3599"/>
      <c r="J317" s="3599"/>
      <c r="K317" s="3599"/>
      <c r="L317" s="3599"/>
      <c r="M317" s="3599"/>
      <c r="N317" s="3599"/>
      <c r="O317" s="166" t="s">
        <v>3646</v>
      </c>
      <c r="P317" s="633" t="s">
        <v>2990</v>
      </c>
      <c r="Q317" s="620"/>
      <c r="AE317" s="532"/>
      <c r="AF317" s="532"/>
    </row>
    <row r="318" spans="1:33" s="474" customFormat="1" ht="32.25" customHeight="1">
      <c r="B318" s="541" t="s">
        <v>2365</v>
      </c>
      <c r="C318" s="3599" t="s">
        <v>3643</v>
      </c>
      <c r="D318" s="3599"/>
      <c r="E318" s="3599"/>
      <c r="F318" s="3599"/>
      <c r="G318" s="3599"/>
      <c r="H318" s="3599"/>
      <c r="I318" s="3599"/>
      <c r="J318" s="3599"/>
      <c r="K318" s="3599"/>
      <c r="L318" s="3599"/>
      <c r="M318" s="3599"/>
      <c r="N318" s="3599"/>
      <c r="O318" s="166" t="s">
        <v>3647</v>
      </c>
      <c r="P318" s="1391" t="s">
        <v>2990</v>
      </c>
      <c r="Q318" s="1390"/>
      <c r="AE318" s="532"/>
      <c r="AF318" s="532"/>
    </row>
    <row r="319" spans="1:33" ht="11.25" customHeight="1">
      <c r="B319" s="144" t="s">
        <v>3753</v>
      </c>
      <c r="D319" s="144"/>
      <c r="E319" s="144"/>
      <c r="F319" s="144"/>
      <c r="G319" s="144"/>
      <c r="H319" s="40"/>
      <c r="I319" s="1385"/>
      <c r="J319" s="1385"/>
      <c r="K319" s="1385"/>
      <c r="L319" s="1378"/>
      <c r="M319" s="1378"/>
      <c r="N319" s="1378"/>
      <c r="O319" s="1378"/>
      <c r="P319" s="1378"/>
      <c r="Q319" s="1020"/>
    </row>
    <row r="320" spans="1:33" ht="32.25" customHeight="1">
      <c r="A320" s="3644" t="s">
        <v>5341</v>
      </c>
      <c r="B320" s="3645"/>
      <c r="C320" s="3645"/>
      <c r="D320" s="3645"/>
      <c r="E320" s="3645"/>
      <c r="F320" s="3645"/>
      <c r="G320" s="3645"/>
      <c r="H320" s="3645"/>
      <c r="I320" s="3645"/>
      <c r="J320" s="3645"/>
      <c r="K320" s="3645"/>
      <c r="L320" s="3645"/>
      <c r="M320" s="3645"/>
      <c r="N320" s="3645"/>
      <c r="O320" s="3645"/>
      <c r="P320" s="3645"/>
      <c r="Q320" s="3646"/>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0"/>
      <c r="B322" s="3671"/>
      <c r="C322" s="3671"/>
      <c r="D322" s="3671"/>
      <c r="E322" s="3671"/>
      <c r="F322" s="3671"/>
      <c r="G322" s="3671"/>
      <c r="H322" s="3671"/>
      <c r="I322" s="3671"/>
      <c r="J322" s="3671"/>
      <c r="K322" s="3671"/>
      <c r="L322" s="3671"/>
      <c r="M322" s="3671"/>
      <c r="N322" s="3671"/>
      <c r="O322" s="3671"/>
      <c r="P322" s="3671"/>
      <c r="Q322" s="3672"/>
    </row>
    <row r="323" spans="1:256 1523:1523" ht="14.1" customHeight="1">
      <c r="A323" s="1384" t="s">
        <v>4100</v>
      </c>
      <c r="B323" s="10" t="s">
        <v>2666</v>
      </c>
      <c r="C323" s="10"/>
      <c r="D323" s="10"/>
      <c r="E323" s="10"/>
      <c r="F323" s="10"/>
      <c r="G323" s="10"/>
      <c r="H323" s="1379"/>
      <c r="I323" s="1379"/>
      <c r="J323" s="1379"/>
      <c r="K323" s="1379"/>
      <c r="L323" s="1379"/>
      <c r="M323" s="1379"/>
      <c r="O323" s="135" t="s">
        <v>1867</v>
      </c>
      <c r="P323" s="3673"/>
      <c r="Q323" s="3674"/>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599" t="s">
        <v>2881</v>
      </c>
      <c r="C327" s="3599"/>
      <c r="D327" s="3599"/>
      <c r="E327" s="3599"/>
      <c r="F327" s="3599"/>
      <c r="G327" s="3599"/>
      <c r="H327" s="3599"/>
      <c r="I327" s="3599"/>
      <c r="J327" s="3599"/>
      <c r="K327" s="3599"/>
      <c r="L327" s="3599"/>
      <c r="M327" s="3599"/>
      <c r="N327" s="3599"/>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4" t="s">
        <v>4925</v>
      </c>
      <c r="H329" s="3655"/>
      <c r="I329" s="3655"/>
      <c r="J329" s="3655"/>
      <c r="K329" s="3655"/>
      <c r="L329" s="3655"/>
      <c r="M329" s="3655"/>
      <c r="N329" s="3656"/>
      <c r="O329" s="237" t="s">
        <v>1737</v>
      </c>
      <c r="P329" s="1389" t="s">
        <v>2990</v>
      </c>
      <c r="Q329" s="1388"/>
      <c r="BFO329" s="151" t="s">
        <v>2727</v>
      </c>
    </row>
    <row r="330" spans="1:256 1523:1523" ht="23.25" customHeight="1">
      <c r="B330" s="1002" t="s">
        <v>1738</v>
      </c>
      <c r="C330" s="3599" t="s">
        <v>1132</v>
      </c>
      <c r="D330" s="3599"/>
      <c r="E330" s="3599"/>
      <c r="F330" s="3675"/>
      <c r="G330" s="3073" t="s">
        <v>3765</v>
      </c>
      <c r="H330" s="3657"/>
      <c r="I330" s="3657"/>
      <c r="J330" s="3657"/>
      <c r="K330" s="3657"/>
      <c r="L330" s="3657"/>
      <c r="M330" s="3657"/>
      <c r="N330" s="3658"/>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6" t="s">
        <v>2672</v>
      </c>
      <c r="C332" s="3696"/>
      <c r="D332" s="3696"/>
      <c r="E332" s="3696"/>
      <c r="F332" s="3696"/>
      <c r="G332" s="3696"/>
      <c r="H332" s="3696"/>
      <c r="I332" s="3696"/>
      <c r="J332" s="3696"/>
      <c r="K332" s="3696"/>
      <c r="L332" s="3696"/>
      <c r="M332" s="3696"/>
      <c r="N332" s="3696"/>
      <c r="O332" s="507" t="s">
        <v>749</v>
      </c>
      <c r="P332" s="1378"/>
      <c r="Q332" s="1020"/>
      <c r="AE332" s="530"/>
      <c r="AF332" s="530"/>
    </row>
    <row r="333" spans="1:256 1523:1523" s="136" customFormat="1" ht="11.25" customHeight="1">
      <c r="A333" s="147"/>
      <c r="B333" s="1002" t="s">
        <v>1737</v>
      </c>
      <c r="C333" s="3676"/>
      <c r="D333" s="3677"/>
      <c r="E333" s="3677"/>
      <c r="F333" s="3677"/>
      <c r="G333" s="3677"/>
      <c r="H333" s="3677"/>
      <c r="I333" s="3677"/>
      <c r="J333" s="3677"/>
      <c r="K333" s="3677"/>
      <c r="L333" s="3677"/>
      <c r="M333" s="3677"/>
      <c r="N333" s="3678"/>
      <c r="O333" s="237" t="s">
        <v>1737</v>
      </c>
      <c r="P333" s="1389"/>
      <c r="Q333" s="1388"/>
      <c r="AE333" s="530"/>
      <c r="AF333" s="530"/>
    </row>
    <row r="334" spans="1:256 1523:1523" s="136" customFormat="1" ht="11.25" customHeight="1">
      <c r="A334" s="147"/>
      <c r="B334" s="1002" t="s">
        <v>1738</v>
      </c>
      <c r="C334" s="3697"/>
      <c r="D334" s="3698"/>
      <c r="E334" s="3698"/>
      <c r="F334" s="3698"/>
      <c r="G334" s="3698"/>
      <c r="H334" s="3698"/>
      <c r="I334" s="3698"/>
      <c r="J334" s="3698"/>
      <c r="K334" s="3698"/>
      <c r="L334" s="3698"/>
      <c r="M334" s="3698"/>
      <c r="N334" s="3699"/>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3753</v>
      </c>
      <c r="D336" s="144"/>
      <c r="E336" s="144"/>
      <c r="F336" s="144"/>
      <c r="G336" s="144"/>
      <c r="H336" s="40"/>
      <c r="I336" s="1385"/>
      <c r="J336" s="1385"/>
      <c r="K336" s="1385"/>
      <c r="L336" s="1378"/>
      <c r="M336" s="1378"/>
      <c r="N336" s="1378"/>
      <c r="O336" s="1378"/>
      <c r="P336" s="1378"/>
      <c r="Q336" s="1020"/>
    </row>
    <row r="337" spans="1:31" ht="11.45" customHeight="1">
      <c r="A337" s="3644" t="s">
        <v>5342</v>
      </c>
      <c r="B337" s="3645"/>
      <c r="C337" s="3645"/>
      <c r="D337" s="3645"/>
      <c r="E337" s="3645"/>
      <c r="F337" s="3645"/>
      <c r="G337" s="3645"/>
      <c r="H337" s="3645"/>
      <c r="I337" s="3645"/>
      <c r="J337" s="3645"/>
      <c r="K337" s="3645"/>
      <c r="L337" s="3645"/>
      <c r="M337" s="3645"/>
      <c r="N337" s="3645"/>
      <c r="O337" s="3645"/>
      <c r="P337" s="3645"/>
      <c r="Q337" s="3646"/>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0"/>
      <c r="B339" s="3601"/>
      <c r="C339" s="3601"/>
      <c r="D339" s="3601"/>
      <c r="E339" s="3601"/>
      <c r="F339" s="3601"/>
      <c r="G339" s="3601"/>
      <c r="H339" s="3601"/>
      <c r="I339" s="3601"/>
      <c r="J339" s="3601"/>
      <c r="K339" s="3601"/>
      <c r="L339" s="3601"/>
      <c r="M339" s="3601"/>
      <c r="N339" s="3601"/>
      <c r="O339" s="3601"/>
      <c r="P339" s="3601"/>
      <c r="Q339" s="3602"/>
    </row>
    <row r="340" spans="1:31" ht="14.1" customHeight="1">
      <c r="A340" s="1384" t="s">
        <v>4103</v>
      </c>
      <c r="B340" s="1384" t="s">
        <v>4141</v>
      </c>
      <c r="C340" s="1384"/>
      <c r="D340" s="1379"/>
      <c r="E340" s="1379"/>
      <c r="F340" s="1379"/>
      <c r="G340" s="1379"/>
      <c r="H340" s="1379"/>
      <c r="O340" s="135" t="s">
        <v>1867</v>
      </c>
      <c r="P340" s="3603"/>
      <c r="Q340" s="3604"/>
    </row>
    <row r="341" spans="1:31" ht="11.45" customHeight="1">
      <c r="A341" s="47" t="s">
        <v>1983</v>
      </c>
      <c r="B341" s="55" t="s">
        <v>4998</v>
      </c>
      <c r="O341" s="166" t="s">
        <v>1983</v>
      </c>
      <c r="P341" s="238"/>
      <c r="Q341" s="617"/>
    </row>
    <row r="342" spans="1:31" ht="11.45" customHeight="1">
      <c r="A342" s="145" t="s">
        <v>1985</v>
      </c>
      <c r="B342" s="55" t="s">
        <v>4089</v>
      </c>
      <c r="O342" s="166" t="s">
        <v>1985</v>
      </c>
      <c r="P342" s="422"/>
      <c r="Q342" s="618"/>
    </row>
    <row r="343" spans="1:31" ht="11.45" customHeight="1">
      <c r="A343" s="145" t="s">
        <v>749</v>
      </c>
      <c r="B343" s="148" t="s">
        <v>2350</v>
      </c>
      <c r="O343" s="166" t="s">
        <v>749</v>
      </c>
      <c r="P343" s="422"/>
      <c r="Q343" s="618"/>
    </row>
    <row r="344" spans="1:31" ht="11.45" customHeight="1">
      <c r="A344" s="47" t="s">
        <v>2115</v>
      </c>
      <c r="B344" s="55" t="s">
        <v>3841</v>
      </c>
      <c r="O344" s="527" t="s">
        <v>2115</v>
      </c>
      <c r="P344" s="239"/>
      <c r="Q344" s="619"/>
    </row>
    <row r="345" spans="1:31" ht="11.45" customHeight="1">
      <c r="A345" s="145" t="s">
        <v>1735</v>
      </c>
      <c r="B345" s="55" t="s">
        <v>2884</v>
      </c>
      <c r="N345" s="166" t="s">
        <v>1735</v>
      </c>
      <c r="O345" s="3693" t="s">
        <v>3835</v>
      </c>
      <c r="P345" s="3694"/>
      <c r="Q345" s="3695"/>
    </row>
    <row r="346" spans="1:31" ht="11.45" customHeight="1">
      <c r="A346" s="145" t="s">
        <v>1736</v>
      </c>
      <c r="B346" s="470" t="s">
        <v>2351</v>
      </c>
      <c r="N346" s="166" t="s">
        <v>1736</v>
      </c>
      <c r="O346" s="3651" t="s">
        <v>2885</v>
      </c>
      <c r="P346" s="3652"/>
      <c r="Q346" s="3653"/>
    </row>
    <row r="347" spans="1:31" ht="11.25" customHeight="1">
      <c r="B347" s="144" t="s">
        <v>3753</v>
      </c>
      <c r="D347" s="144"/>
      <c r="E347" s="144"/>
      <c r="F347" s="144"/>
      <c r="G347" s="144"/>
      <c r="H347" s="40"/>
      <c r="I347" s="1385"/>
      <c r="J347" s="1385"/>
      <c r="K347" s="1385"/>
      <c r="L347" s="1378"/>
      <c r="M347" s="1378"/>
      <c r="N347" s="1378"/>
      <c r="O347" s="1378"/>
      <c r="P347" s="1378"/>
      <c r="Q347" s="1020"/>
    </row>
    <row r="348" spans="1:31" ht="13.35" customHeight="1">
      <c r="A348" s="3644" t="s">
        <v>5343</v>
      </c>
      <c r="B348" s="3645"/>
      <c r="C348" s="3645"/>
      <c r="D348" s="3645"/>
      <c r="E348" s="3645"/>
      <c r="F348" s="3645"/>
      <c r="G348" s="3645"/>
      <c r="H348" s="3645"/>
      <c r="I348" s="3645"/>
      <c r="J348" s="3645"/>
      <c r="K348" s="3645"/>
      <c r="L348" s="3645"/>
      <c r="M348" s="3645"/>
      <c r="N348" s="3645"/>
      <c r="O348" s="3645"/>
      <c r="P348" s="3645"/>
      <c r="Q348" s="3646"/>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0"/>
      <c r="B350" s="3601"/>
      <c r="C350" s="3601"/>
      <c r="D350" s="3601"/>
      <c r="E350" s="3601"/>
      <c r="F350" s="3601"/>
      <c r="G350" s="3601"/>
      <c r="H350" s="3601"/>
      <c r="I350" s="3601"/>
      <c r="J350" s="3601"/>
      <c r="K350" s="3601"/>
      <c r="L350" s="3601"/>
      <c r="M350" s="3601"/>
      <c r="N350" s="3601"/>
      <c r="O350" s="3601"/>
      <c r="P350" s="3601"/>
      <c r="Q350" s="3602"/>
    </row>
    <row r="351" spans="1:31" ht="14.1" customHeight="1">
      <c r="A351" s="1384" t="s">
        <v>4104</v>
      </c>
      <c r="B351" s="4" t="s">
        <v>2667</v>
      </c>
      <c r="C351" s="4"/>
      <c r="D351" s="88"/>
      <c r="E351" s="1379"/>
      <c r="F351" s="1379"/>
      <c r="G351" s="1379"/>
      <c r="H351" s="1379"/>
      <c r="I351" s="1379"/>
      <c r="J351" s="1379"/>
      <c r="K351" s="1379"/>
      <c r="L351" s="1379"/>
      <c r="M351" s="1379"/>
      <c r="O351" s="135" t="s">
        <v>1867</v>
      </c>
      <c r="P351" s="3603"/>
      <c r="Q351" s="3604"/>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599" t="s">
        <v>4090</v>
      </c>
      <c r="C354" s="3599"/>
      <c r="D354" s="3599"/>
      <c r="E354" s="3599"/>
      <c r="F354" s="3599"/>
      <c r="G354" s="3599"/>
      <c r="H354" s="3599"/>
      <c r="I354" s="3599"/>
      <c r="J354" s="3599"/>
      <c r="K354" s="3599"/>
      <c r="L354" s="3599"/>
      <c r="M354" s="3599"/>
      <c r="N354" s="3599"/>
      <c r="O354" s="166" t="s">
        <v>749</v>
      </c>
      <c r="P354" s="239" t="s">
        <v>2990</v>
      </c>
      <c r="Q354" s="619"/>
    </row>
    <row r="355" spans="1:32" ht="11.25" customHeight="1">
      <c r="B355" s="144" t="s">
        <v>3753</v>
      </c>
      <c r="D355" s="144"/>
      <c r="E355" s="144"/>
      <c r="F355" s="144"/>
      <c r="G355" s="144"/>
      <c r="H355" s="40"/>
      <c r="I355" s="1385"/>
      <c r="J355" s="1385"/>
      <c r="K355" s="1385"/>
      <c r="L355" s="1378"/>
      <c r="M355" s="1378"/>
      <c r="N355" s="1378"/>
      <c r="O355" s="1378"/>
      <c r="P355" s="1378"/>
      <c r="Q355" s="1020"/>
    </row>
    <row r="356" spans="1:32" ht="11.45" customHeight="1">
      <c r="A356" s="3644" t="s">
        <v>5344</v>
      </c>
      <c r="B356" s="3645"/>
      <c r="C356" s="3645"/>
      <c r="D356" s="3645"/>
      <c r="E356" s="3645"/>
      <c r="F356" s="3645"/>
      <c r="G356" s="3645"/>
      <c r="H356" s="3645"/>
      <c r="I356" s="3645"/>
      <c r="J356" s="3645"/>
      <c r="K356" s="3645"/>
      <c r="L356" s="3645"/>
      <c r="M356" s="3645"/>
      <c r="N356" s="3645"/>
      <c r="O356" s="3645"/>
      <c r="P356" s="3645"/>
      <c r="Q356" s="3646"/>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0"/>
      <c r="B358" s="3601"/>
      <c r="C358" s="3601"/>
      <c r="D358" s="3601"/>
      <c r="E358" s="3601"/>
      <c r="F358" s="3601"/>
      <c r="G358" s="3601"/>
      <c r="H358" s="3601"/>
      <c r="I358" s="3601"/>
      <c r="J358" s="3601"/>
      <c r="K358" s="3601"/>
      <c r="L358" s="3601"/>
      <c r="M358" s="3601"/>
      <c r="N358" s="3601"/>
      <c r="O358" s="3601"/>
      <c r="P358" s="3601"/>
      <c r="Q358" s="3602"/>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4107</v>
      </c>
      <c r="B360" s="4" t="s">
        <v>4080</v>
      </c>
      <c r="C360" s="4"/>
      <c r="D360" s="4"/>
      <c r="E360" s="4"/>
      <c r="F360" s="4"/>
      <c r="G360" s="4"/>
      <c r="H360" s="1379"/>
      <c r="I360" s="1379"/>
      <c r="J360" s="1379"/>
      <c r="K360" s="1379"/>
      <c r="L360" s="1379"/>
      <c r="M360" s="1379"/>
      <c r="O360" s="135" t="s">
        <v>1867</v>
      </c>
      <c r="P360" s="3831"/>
      <c r="Q360" s="3604"/>
    </row>
    <row r="361" spans="1:32" ht="10.5" customHeight="1">
      <c r="A361" s="47" t="s">
        <v>1983</v>
      </c>
      <c r="B361" s="138" t="s">
        <v>4081</v>
      </c>
      <c r="D361" s="154"/>
      <c r="E361" s="154"/>
      <c r="F361" s="154"/>
      <c r="G361" s="154"/>
      <c r="H361" s="527" t="s">
        <v>1983</v>
      </c>
      <c r="I361" s="3630"/>
      <c r="J361" s="3631"/>
      <c r="K361" s="3631"/>
      <c r="L361" s="3631"/>
      <c r="M361" s="3631"/>
      <c r="N361" s="3631"/>
      <c r="O361" s="3631"/>
      <c r="P361" s="3632"/>
      <c r="Q361" s="615"/>
    </row>
    <row r="362" spans="1:32" ht="10.5" customHeight="1">
      <c r="A362" s="145" t="s">
        <v>1985</v>
      </c>
      <c r="B362" s="138" t="s">
        <v>4082</v>
      </c>
      <c r="D362" s="154"/>
      <c r="E362" s="154"/>
      <c r="F362" s="154"/>
      <c r="G362" s="154"/>
      <c r="H362" s="166" t="s">
        <v>1985</v>
      </c>
      <c r="I362" s="3630"/>
      <c r="J362" s="3631"/>
      <c r="K362" s="3631"/>
      <c r="L362" s="3631"/>
      <c r="M362" s="3631"/>
      <c r="N362" s="3631"/>
      <c r="O362" s="3631"/>
      <c r="P362" s="3632"/>
      <c r="Q362" s="615"/>
    </row>
    <row r="363" spans="1:32" ht="21.75" customHeight="1">
      <c r="A363" s="145" t="s">
        <v>749</v>
      </c>
      <c r="B363" s="3679" t="s">
        <v>4072</v>
      </c>
      <c r="C363" s="3679"/>
      <c r="D363" s="3679"/>
      <c r="E363" s="3679"/>
      <c r="F363" s="3679"/>
      <c r="G363" s="3679"/>
      <c r="H363" s="3679"/>
      <c r="I363" s="3679"/>
      <c r="J363" s="3679"/>
      <c r="K363" s="3679"/>
      <c r="L363" s="3679"/>
      <c r="M363" s="3679"/>
      <c r="N363" s="3679"/>
      <c r="O363" s="166" t="s">
        <v>749</v>
      </c>
      <c r="P363" s="1265"/>
      <c r="Q363" s="1421"/>
    </row>
    <row r="364" spans="1:32" ht="21.75" customHeight="1">
      <c r="A364" s="145" t="s">
        <v>2115</v>
      </c>
      <c r="B364" s="3599" t="s">
        <v>4073</v>
      </c>
      <c r="C364" s="3599"/>
      <c r="D364" s="3599"/>
      <c r="E364" s="3599"/>
      <c r="F364" s="3599"/>
      <c r="G364" s="3599"/>
      <c r="H364" s="3599"/>
      <c r="I364" s="3599"/>
      <c r="J364" s="3599"/>
      <c r="K364" s="3599"/>
      <c r="L364" s="3599"/>
      <c r="M364" s="3599"/>
      <c r="N364" s="3599"/>
      <c r="O364" s="527" t="s">
        <v>2115</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599" t="s">
        <v>4075</v>
      </c>
      <c r="C366" s="3599"/>
      <c r="D366" s="3599"/>
      <c r="E366" s="3599"/>
      <c r="F366" s="3599"/>
      <c r="G366" s="3599"/>
      <c r="H366" s="3599"/>
      <c r="I366" s="3599"/>
      <c r="J366" s="3599"/>
      <c r="K366" s="3599"/>
      <c r="L366" s="3599"/>
      <c r="M366" s="3599"/>
      <c r="N366" s="3599"/>
      <c r="O366" s="166" t="s">
        <v>1736</v>
      </c>
      <c r="P366" s="1003"/>
      <c r="Q366" s="1004"/>
      <c r="AE366" s="530"/>
      <c r="AF366" s="530"/>
    </row>
    <row r="367" spans="1:32" s="136" customFormat="1" ht="10.5" customHeight="1">
      <c r="A367" s="145" t="s">
        <v>1947</v>
      </c>
      <c r="B367" s="143" t="s">
        <v>4076</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4997</v>
      </c>
      <c r="E368" s="1379"/>
      <c r="F368" s="1379"/>
      <c r="G368" s="1379"/>
      <c r="H368" s="1379"/>
      <c r="I368" s="1379"/>
      <c r="J368" s="1379"/>
      <c r="K368" s="1379"/>
      <c r="L368" s="1379"/>
      <c r="M368" s="1379"/>
      <c r="N368" s="1379"/>
      <c r="P368" s="1447"/>
      <c r="Q368" s="1390"/>
      <c r="AE368" s="530"/>
      <c r="AF368" s="530"/>
    </row>
    <row r="369" spans="1:32" ht="21.75" customHeight="1">
      <c r="A369" s="145" t="s">
        <v>3370</v>
      </c>
      <c r="B369" s="3599" t="s">
        <v>4077</v>
      </c>
      <c r="C369" s="3599"/>
      <c r="D369" s="3599"/>
      <c r="E369" s="3599"/>
      <c r="F369" s="3599"/>
      <c r="G369" s="3599"/>
      <c r="H369" s="3599"/>
      <c r="I369" s="3599"/>
      <c r="J369" s="3599"/>
      <c r="K369" s="3599"/>
      <c r="L369" s="3599"/>
      <c r="M369" s="3599"/>
      <c r="N369" s="3599"/>
      <c r="O369" s="166" t="s">
        <v>3370</v>
      </c>
      <c r="P369" s="1422"/>
      <c r="Q369" s="1388"/>
    </row>
    <row r="370" spans="1:32" ht="33" customHeight="1">
      <c r="A370" s="145" t="s">
        <v>616</v>
      </c>
      <c r="B370" s="3599" t="s">
        <v>4078</v>
      </c>
      <c r="C370" s="3599"/>
      <c r="D370" s="3599"/>
      <c r="E370" s="3599"/>
      <c r="F370" s="3599"/>
      <c r="G370" s="3599"/>
      <c r="H370" s="3599"/>
      <c r="I370" s="3599"/>
      <c r="J370" s="3599"/>
      <c r="K370" s="3599"/>
      <c r="L370" s="3599"/>
      <c r="M370" s="3599"/>
      <c r="N370" s="3599"/>
      <c r="O370" s="166" t="s">
        <v>616</v>
      </c>
      <c r="P370" s="1447"/>
      <c r="Q370" s="1390"/>
    </row>
    <row r="371" spans="1:32" ht="10.5" customHeight="1">
      <c r="B371" s="144" t="s">
        <v>3753</v>
      </c>
      <c r="D371" s="144"/>
      <c r="E371" s="144"/>
      <c r="F371" s="144"/>
      <c r="G371" s="144"/>
      <c r="H371" s="40"/>
      <c r="I371" s="1385"/>
      <c r="J371" s="1385"/>
      <c r="K371" s="1385"/>
      <c r="L371" s="1378"/>
      <c r="M371" s="1378"/>
      <c r="N371" s="1378"/>
      <c r="O371" s="1378"/>
      <c r="P371" s="1378"/>
      <c r="Q371" s="1020"/>
    </row>
    <row r="372" spans="1:32" ht="31.5" customHeight="1">
      <c r="A372" s="3644" t="s">
        <v>970</v>
      </c>
      <c r="B372" s="3645"/>
      <c r="C372" s="3645"/>
      <c r="D372" s="3645"/>
      <c r="E372" s="3645"/>
      <c r="F372" s="3645"/>
      <c r="G372" s="3645"/>
      <c r="H372" s="3645"/>
      <c r="I372" s="3645"/>
      <c r="J372" s="3645"/>
      <c r="K372" s="3645"/>
      <c r="L372" s="3645"/>
      <c r="M372" s="3645"/>
      <c r="N372" s="3645"/>
      <c r="O372" s="3645"/>
      <c r="P372" s="3645"/>
      <c r="Q372" s="3646"/>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0"/>
      <c r="B374" s="3601"/>
      <c r="C374" s="3601"/>
      <c r="D374" s="3601"/>
      <c r="E374" s="3601"/>
      <c r="F374" s="3601"/>
      <c r="G374" s="3601"/>
      <c r="H374" s="3601"/>
      <c r="I374" s="3601"/>
      <c r="J374" s="3601"/>
      <c r="K374" s="3601"/>
      <c r="L374" s="3601"/>
      <c r="M374" s="3601"/>
      <c r="N374" s="3601"/>
      <c r="O374" s="3601"/>
      <c r="P374" s="3601"/>
      <c r="Q374" s="3602"/>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4108</v>
      </c>
      <c r="B376" s="4" t="s">
        <v>3914</v>
      </c>
      <c r="C376" s="4"/>
      <c r="D376" s="4"/>
      <c r="E376" s="4"/>
      <c r="F376" s="4"/>
      <c r="G376" s="4"/>
      <c r="H376" s="1379"/>
      <c r="I376" s="1379"/>
      <c r="J376" s="1379"/>
      <c r="O376" s="135" t="s">
        <v>1867</v>
      </c>
      <c r="P376" s="3603"/>
      <c r="Q376" s="3604"/>
    </row>
    <row r="377" spans="1:32" s="42" customFormat="1" ht="10.5" customHeight="1">
      <c r="A377" s="47" t="s">
        <v>1983</v>
      </c>
      <c r="B377" s="719"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1" t="s">
        <v>4924</v>
      </c>
      <c r="D378" s="3841"/>
      <c r="E378" s="3841"/>
      <c r="F378" s="3841"/>
      <c r="G378" s="50"/>
      <c r="H378" s="36" t="s">
        <v>617</v>
      </c>
      <c r="J378" s="3627"/>
      <c r="K378" s="3628"/>
      <c r="L378" s="3628"/>
      <c r="M378" s="3629"/>
      <c r="N378" s="3611" t="s">
        <v>3915</v>
      </c>
      <c r="O378" s="3612"/>
      <c r="P378" s="3613"/>
      <c r="Q378" s="3614"/>
      <c r="AE378" s="50"/>
      <c r="AF378" s="50"/>
    </row>
    <row r="379" spans="1:32" s="42" customFormat="1" ht="11.25" customHeight="1">
      <c r="A379" s="47"/>
      <c r="B379" s="40"/>
      <c r="C379" s="2498"/>
      <c r="D379" s="2498"/>
      <c r="E379" s="2498"/>
      <c r="F379" s="2498"/>
      <c r="G379" s="2498"/>
      <c r="H379" s="40" t="s">
        <v>5209</v>
      </c>
      <c r="I379" s="2498"/>
      <c r="J379" s="3630"/>
      <c r="K379" s="3631"/>
      <c r="L379" s="3631"/>
      <c r="M379" s="3631"/>
      <c r="N379" s="3631"/>
      <c r="O379" s="3631"/>
      <c r="P379" s="3631"/>
      <c r="Q379" s="3632"/>
      <c r="AE379" s="50"/>
      <c r="AF379" s="50"/>
    </row>
    <row r="380" spans="1:32" s="42" customFormat="1" ht="11.25" customHeight="1">
      <c r="B380" s="40" t="s">
        <v>1738</v>
      </c>
      <c r="C380" s="52" t="s">
        <v>3917</v>
      </c>
      <c r="J380" s="3617"/>
      <c r="K380" s="3618"/>
      <c r="O380" s="527"/>
      <c r="AE380" s="50"/>
      <c r="AF380" s="50"/>
    </row>
    <row r="381" spans="1:32" s="42" customFormat="1" ht="11.25" customHeight="1">
      <c r="A381" s="47"/>
      <c r="B381" s="40" t="s">
        <v>1739</v>
      </c>
      <c r="C381" s="52" t="s">
        <v>3918</v>
      </c>
      <c r="D381" s="46"/>
      <c r="E381" s="137"/>
      <c r="I381" s="137"/>
      <c r="J381" s="3633" t="str">
        <f>'Part I-Project Information'!K40</f>
        <v>Urban</v>
      </c>
      <c r="K381" s="3634"/>
      <c r="L381" s="1381" t="s">
        <v>3919</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615"/>
      <c r="K382" s="3616"/>
      <c r="L382" s="3639"/>
      <c r="M382" s="3640"/>
      <c r="O382" s="527"/>
      <c r="AE382" s="50"/>
      <c r="AF382" s="50"/>
    </row>
    <row r="383" spans="1:32" s="42" customFormat="1" ht="11.25" customHeight="1">
      <c r="A383" s="47"/>
      <c r="B383" s="40"/>
      <c r="C383" s="52"/>
      <c r="E383" s="137"/>
      <c r="F383" s="137"/>
      <c r="G383" s="137"/>
      <c r="H383" s="52" t="s">
        <v>4915</v>
      </c>
      <c r="I383" s="137"/>
      <c r="J383" s="3623"/>
      <c r="K383" s="3624"/>
      <c r="L383" s="3625"/>
      <c r="M383" s="3626"/>
      <c r="N383" s="52"/>
      <c r="O383" s="527"/>
      <c r="AE383" s="50"/>
      <c r="AF383" s="50"/>
    </row>
    <row r="384" spans="1:32" s="42" customFormat="1" ht="11.25" customHeight="1">
      <c r="A384" s="47"/>
      <c r="B384" s="40" t="s">
        <v>1549</v>
      </c>
      <c r="C384" s="52" t="s">
        <v>3921</v>
      </c>
      <c r="E384" s="52"/>
      <c r="F384" s="3619">
        <f>'Part IV-A-Uses of Funds'!J173</f>
        <v>1731867</v>
      </c>
      <c r="G384" s="3620"/>
      <c r="H384" s="52" t="s">
        <v>3922</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635"/>
      <c r="K385" s="3636"/>
      <c r="L385" s="3637"/>
      <c r="M385" s="3638"/>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3927</v>
      </c>
      <c r="D387" s="137"/>
      <c r="E387" s="137"/>
      <c r="F387" s="137"/>
      <c r="G387" s="137"/>
      <c r="H387" s="137"/>
      <c r="P387" s="137"/>
      <c r="Q387" s="137"/>
      <c r="R387" s="137"/>
      <c r="AE387" s="50"/>
      <c r="AF387" s="50"/>
    </row>
    <row r="388" spans="1:32" s="42" customFormat="1" ht="11.25" customHeight="1">
      <c r="B388" s="40" t="s">
        <v>1737</v>
      </c>
      <c r="C388" s="1021" t="s">
        <v>4969</v>
      </c>
      <c r="E388" s="1381"/>
      <c r="F388" s="1381"/>
      <c r="G388" s="1381"/>
      <c r="H388" s="1381"/>
      <c r="P388" s="542"/>
      <c r="Q388" s="616"/>
      <c r="AE388" s="50"/>
      <c r="AF388" s="50"/>
    </row>
    <row r="389" spans="1:32" s="42" customFormat="1" ht="11.25" customHeight="1">
      <c r="B389" s="40"/>
      <c r="C389" s="1021"/>
      <c r="E389" s="2540"/>
      <c r="F389" s="2540"/>
      <c r="G389" s="2540"/>
      <c r="H389" s="2540"/>
      <c r="J389" s="3840" t="s">
        <v>3932</v>
      </c>
      <c r="K389" s="3840"/>
      <c r="L389" s="3840"/>
      <c r="M389" s="3840"/>
      <c r="N389" s="3605" t="s">
        <v>3929</v>
      </c>
      <c r="O389" s="3605"/>
      <c r="AE389" s="50"/>
      <c r="AF389" s="50"/>
    </row>
    <row r="390" spans="1:32" s="42" customFormat="1" ht="11.25" customHeight="1">
      <c r="A390" s="2548"/>
      <c r="B390" s="40" t="s">
        <v>1738</v>
      </c>
      <c r="C390" s="1021" t="s">
        <v>3928</v>
      </c>
      <c r="E390" s="137"/>
      <c r="F390" s="137"/>
      <c r="G390" s="137"/>
      <c r="H390" s="137"/>
      <c r="I390" s="527" t="s">
        <v>1738</v>
      </c>
      <c r="J390" s="3621"/>
      <c r="K390" s="3622"/>
      <c r="L390" s="3829"/>
      <c r="M390" s="3830"/>
      <c r="N390" s="1347" t="str">
        <f>IF(J390="","",(J390-J382)/J390)</f>
        <v/>
      </c>
      <c r="O390" s="1348" t="str">
        <f>IF(L390="","",(L390-L382)/L390)</f>
        <v/>
      </c>
      <c r="P390" s="2878"/>
      <c r="Q390" s="2879"/>
      <c r="AE390" s="50"/>
      <c r="AF390" s="50"/>
    </row>
    <row r="391" spans="1:32" s="42" customFormat="1" ht="11.25" customHeight="1">
      <c r="A391" s="2548"/>
      <c r="B391" s="40" t="s">
        <v>1739</v>
      </c>
      <c r="C391" s="52" t="s">
        <v>3931</v>
      </c>
      <c r="E391" s="137"/>
      <c r="F391" s="137"/>
      <c r="G391" s="137"/>
      <c r="H391" s="137"/>
      <c r="N391" s="137"/>
      <c r="O391" s="527" t="s">
        <v>1739</v>
      </c>
      <c r="P391" s="1626"/>
      <c r="Q391" s="1627"/>
      <c r="AE391" s="50"/>
      <c r="AF391" s="50"/>
    </row>
    <row r="392" spans="1:32" s="42" customFormat="1" ht="11.25" customHeight="1">
      <c r="B392" s="40" t="s">
        <v>2365</v>
      </c>
      <c r="C392" s="52" t="s">
        <v>3933</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5"/>
      <c r="J393" s="1385"/>
      <c r="K393" s="1385"/>
      <c r="L393" s="1378"/>
      <c r="M393" s="1378"/>
      <c r="N393" s="1378"/>
      <c r="O393" s="1378"/>
      <c r="P393" s="1378"/>
      <c r="Q393" s="1020"/>
    </row>
    <row r="394" spans="1:32" ht="31.5" customHeight="1">
      <c r="A394" s="3644" t="s">
        <v>970</v>
      </c>
      <c r="B394" s="3645"/>
      <c r="C394" s="3645"/>
      <c r="D394" s="3645"/>
      <c r="E394" s="3645"/>
      <c r="F394" s="3645"/>
      <c r="G394" s="3645"/>
      <c r="H394" s="3645"/>
      <c r="I394" s="3645"/>
      <c r="J394" s="3645"/>
      <c r="K394" s="3645"/>
      <c r="L394" s="3645"/>
      <c r="M394" s="3645"/>
      <c r="N394" s="3645"/>
      <c r="O394" s="3645"/>
      <c r="P394" s="3645"/>
      <c r="Q394" s="3646"/>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0"/>
      <c r="B396" s="3601"/>
      <c r="C396" s="3601"/>
      <c r="D396" s="3601"/>
      <c r="E396" s="3601"/>
      <c r="F396" s="3601"/>
      <c r="G396" s="3601"/>
      <c r="H396" s="3601"/>
      <c r="I396" s="3601"/>
      <c r="J396" s="3601"/>
      <c r="K396" s="3601"/>
      <c r="L396" s="3601"/>
      <c r="M396" s="3601"/>
      <c r="N396" s="3601"/>
      <c r="O396" s="3601"/>
      <c r="P396" s="3601"/>
      <c r="Q396" s="3602"/>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4109</v>
      </c>
      <c r="B399" s="4" t="s">
        <v>2684</v>
      </c>
      <c r="C399" s="4"/>
      <c r="D399" s="4"/>
      <c r="E399" s="4"/>
      <c r="F399" s="4"/>
      <c r="G399" s="4"/>
      <c r="H399" s="1379"/>
      <c r="I399" s="1379"/>
      <c r="J399" s="1379"/>
      <c r="O399" s="135" t="s">
        <v>1867</v>
      </c>
      <c r="P399" s="3603"/>
      <c r="Q399" s="3604"/>
    </row>
    <row r="400" spans="1:32" ht="11.45" customHeight="1">
      <c r="A400" s="47" t="s">
        <v>1983</v>
      </c>
      <c r="B400" s="121" t="s">
        <v>1034</v>
      </c>
      <c r="E400" s="3819"/>
      <c r="F400" s="3820"/>
      <c r="G400" s="3820"/>
      <c r="H400" s="3820"/>
      <c r="I400" s="3821"/>
      <c r="J400" s="3822" t="s">
        <v>2671</v>
      </c>
      <c r="K400" s="3823"/>
      <c r="L400" s="3612"/>
      <c r="M400" s="3819"/>
      <c r="N400" s="3820"/>
      <c r="O400" s="3820"/>
      <c r="P400" s="3820"/>
      <c r="Q400" s="3821"/>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599" t="s">
        <v>3474</v>
      </c>
      <c r="C402" s="3599"/>
      <c r="D402" s="3599"/>
      <c r="E402" s="3599"/>
      <c r="F402" s="3599"/>
      <c r="G402" s="3599"/>
      <c r="H402" s="3599"/>
      <c r="I402" s="3599"/>
      <c r="J402" s="3599"/>
      <c r="K402" s="3599"/>
      <c r="L402" s="3599"/>
      <c r="M402" s="3599"/>
      <c r="N402" s="3599"/>
      <c r="O402" s="166" t="s">
        <v>749</v>
      </c>
      <c r="P402" s="633"/>
      <c r="Q402" s="620"/>
    </row>
    <row r="403" spans="1:31">
      <c r="A403" s="47" t="s">
        <v>2115</v>
      </c>
      <c r="B403" s="55" t="s">
        <v>3697</v>
      </c>
      <c r="G403" s="1381"/>
      <c r="H403" s="1381"/>
      <c r="I403" s="1381"/>
      <c r="J403" s="1021" t="s">
        <v>3698</v>
      </c>
      <c r="L403" s="1381"/>
      <c r="M403" s="3642">
        <f>'Part III-Sources of Funds'!H5</f>
        <v>0</v>
      </c>
      <c r="N403" s="3643"/>
      <c r="O403" s="527" t="s">
        <v>2115</v>
      </c>
      <c r="P403" s="239"/>
      <c r="Q403" s="619"/>
    </row>
    <row r="404" spans="1:31" ht="11.25" customHeight="1">
      <c r="B404" s="144" t="s">
        <v>3753</v>
      </c>
      <c r="D404" s="144"/>
      <c r="E404" s="144"/>
      <c r="F404" s="144"/>
      <c r="G404" s="144"/>
      <c r="H404" s="40"/>
      <c r="I404" s="1385"/>
      <c r="J404" s="1385"/>
      <c r="K404" s="1385"/>
      <c r="L404" s="1378"/>
      <c r="M404" s="1378"/>
      <c r="N404" s="1378"/>
      <c r="O404" s="1378"/>
      <c r="P404" s="1378"/>
      <c r="Q404" s="1020"/>
    </row>
    <row r="405" spans="1:31" ht="11.45" customHeight="1">
      <c r="A405" s="3644" t="s">
        <v>970</v>
      </c>
      <c r="B405" s="3645"/>
      <c r="C405" s="3645"/>
      <c r="D405" s="3645"/>
      <c r="E405" s="3645"/>
      <c r="F405" s="3645"/>
      <c r="G405" s="3645"/>
      <c r="H405" s="3645"/>
      <c r="I405" s="3645"/>
      <c r="J405" s="3645"/>
      <c r="K405" s="3645"/>
      <c r="L405" s="3645"/>
      <c r="M405" s="3645"/>
      <c r="N405" s="3645"/>
      <c r="O405" s="3645"/>
      <c r="P405" s="3645"/>
      <c r="Q405" s="3646"/>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0"/>
      <c r="B407" s="3601"/>
      <c r="C407" s="3601"/>
      <c r="D407" s="3601"/>
      <c r="E407" s="3601"/>
      <c r="F407" s="3601"/>
      <c r="G407" s="3601"/>
      <c r="H407" s="3601"/>
      <c r="I407" s="3601"/>
      <c r="J407" s="3601"/>
      <c r="K407" s="3601"/>
      <c r="L407" s="3601"/>
      <c r="M407" s="3601"/>
      <c r="N407" s="3601"/>
      <c r="O407" s="3601"/>
      <c r="P407" s="3601"/>
      <c r="Q407" s="3602"/>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4110</v>
      </c>
      <c r="B409" s="4" t="s">
        <v>2668</v>
      </c>
      <c r="C409" s="4"/>
      <c r="D409" s="4"/>
      <c r="E409" s="1379"/>
      <c r="G409" s="143" t="s">
        <v>701</v>
      </c>
      <c r="H409" s="1379"/>
      <c r="I409" s="1379"/>
      <c r="J409" s="1379"/>
      <c r="K409" s="1379"/>
      <c r="L409" s="1379"/>
      <c r="M409" s="1379"/>
      <c r="O409" s="135" t="s">
        <v>1867</v>
      </c>
      <c r="P409" s="3603"/>
      <c r="Q409" s="3641"/>
    </row>
    <row r="410" spans="1:31" ht="12" customHeight="1">
      <c r="A410" s="47" t="s">
        <v>1983</v>
      </c>
      <c r="B410" s="52" t="s">
        <v>2673</v>
      </c>
      <c r="D410" s="1022"/>
      <c r="E410" s="1022"/>
      <c r="H410" s="143"/>
      <c r="O410" s="527" t="s">
        <v>1983</v>
      </c>
      <c r="P410" s="238"/>
      <c r="Q410" s="617"/>
    </row>
    <row r="411" spans="1:31" ht="12" customHeight="1">
      <c r="A411" s="47" t="s">
        <v>1985</v>
      </c>
      <c r="B411" s="52" t="s">
        <v>3582</v>
      </c>
      <c r="D411" s="1022"/>
      <c r="E411" s="1022"/>
      <c r="O411" s="527" t="s">
        <v>1985</v>
      </c>
      <c r="P411" s="422"/>
      <c r="Q411" s="618"/>
    </row>
    <row r="412" spans="1:31" ht="12" customHeight="1">
      <c r="A412" s="47" t="s">
        <v>749</v>
      </c>
      <c r="B412" s="52" t="s">
        <v>4079</v>
      </c>
      <c r="D412" s="1022"/>
      <c r="E412" s="1022"/>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842"/>
      <c r="I414" s="3843"/>
      <c r="J414" s="3843"/>
      <c r="K414" s="3843"/>
      <c r="L414" s="3843"/>
      <c r="M414" s="3843"/>
      <c r="N414" s="3843"/>
      <c r="O414" s="3844"/>
      <c r="P414" s="239"/>
      <c r="Q414" s="619"/>
    </row>
    <row r="415" spans="1:31" ht="11.25" customHeight="1">
      <c r="B415" s="144" t="s">
        <v>3753</v>
      </c>
      <c r="D415" s="144"/>
      <c r="E415" s="144"/>
      <c r="F415" s="144"/>
      <c r="G415" s="144"/>
      <c r="H415" s="40"/>
      <c r="I415" s="1385"/>
      <c r="J415" s="1385"/>
      <c r="K415" s="1385"/>
      <c r="L415" s="1378"/>
      <c r="M415" s="1378"/>
      <c r="N415" s="1378"/>
      <c r="O415" s="1378"/>
      <c r="P415" s="1378"/>
      <c r="Q415" s="1020"/>
    </row>
    <row r="416" spans="1:31" ht="11.45" customHeight="1">
      <c r="A416" s="3644" t="s">
        <v>5345</v>
      </c>
      <c r="B416" s="3645"/>
      <c r="C416" s="3645"/>
      <c r="D416" s="3645"/>
      <c r="E416" s="3645"/>
      <c r="F416" s="3645"/>
      <c r="G416" s="3645"/>
      <c r="H416" s="3645"/>
      <c r="I416" s="3645"/>
      <c r="J416" s="3645"/>
      <c r="K416" s="3645"/>
      <c r="L416" s="3645"/>
      <c r="M416" s="3645"/>
      <c r="N416" s="3645"/>
      <c r="O416" s="3645"/>
      <c r="P416" s="3645"/>
      <c r="Q416" s="3646"/>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0"/>
      <c r="B418" s="3601"/>
      <c r="C418" s="3601"/>
      <c r="D418" s="3601"/>
      <c r="E418" s="3601"/>
      <c r="F418" s="3601"/>
      <c r="G418" s="3601"/>
      <c r="H418" s="3601"/>
      <c r="I418" s="3601"/>
      <c r="J418" s="3601"/>
      <c r="K418" s="3601"/>
      <c r="L418" s="3601"/>
      <c r="M418" s="3601"/>
      <c r="N418" s="3601"/>
      <c r="O418" s="3601"/>
      <c r="P418" s="3601"/>
      <c r="Q418" s="3602"/>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4111</v>
      </c>
      <c r="B420" s="4" t="s">
        <v>2669</v>
      </c>
      <c r="C420" s="4"/>
      <c r="D420" s="4"/>
      <c r="E420" s="4"/>
      <c r="F420" s="4"/>
      <c r="G420" s="4"/>
      <c r="H420" s="1379"/>
      <c r="I420" s="1379"/>
      <c r="J420" s="1379"/>
      <c r="K420" s="1379"/>
      <c r="L420" s="1379"/>
      <c r="M420" s="1379"/>
      <c r="O420" s="135" t="s">
        <v>1867</v>
      </c>
      <c r="P420" s="3603"/>
      <c r="Q420" s="3641"/>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599" t="s">
        <v>2815</v>
      </c>
      <c r="C427" s="3599"/>
      <c r="D427" s="3599"/>
      <c r="E427" s="3599"/>
      <c r="F427" s="1021"/>
      <c r="G427" s="138" t="s">
        <v>2202</v>
      </c>
      <c r="J427" s="1081"/>
      <c r="K427" s="625"/>
      <c r="M427" s="138" t="s">
        <v>2205</v>
      </c>
      <c r="P427" s="1083"/>
      <c r="Q427" s="626"/>
    </row>
    <row r="428" spans="1:32" ht="12" customHeight="1">
      <c r="A428" s="47"/>
      <c r="B428" s="3599"/>
      <c r="C428" s="3599"/>
      <c r="D428" s="3599"/>
      <c r="E428" s="3599"/>
      <c r="F428" s="1021"/>
      <c r="G428" s="138" t="s">
        <v>2203</v>
      </c>
      <c r="J428" s="1083"/>
      <c r="K428" s="626"/>
      <c r="M428" s="138" t="s">
        <v>2206</v>
      </c>
      <c r="P428" s="1082"/>
      <c r="Q428" s="627"/>
    </row>
    <row r="429" spans="1:32" ht="12" customHeight="1">
      <c r="A429" s="47"/>
      <c r="B429" s="3599"/>
      <c r="C429" s="3599"/>
      <c r="D429" s="3599"/>
      <c r="E429" s="3599"/>
      <c r="F429" s="1021"/>
      <c r="G429" s="138" t="s">
        <v>2204</v>
      </c>
      <c r="J429" s="1082"/>
      <c r="K429" s="627"/>
      <c r="L429" s="1021"/>
      <c r="M429" s="42"/>
      <c r="N429" s="527"/>
    </row>
    <row r="430" spans="1:32" ht="12" customHeight="1">
      <c r="A430" s="47" t="s">
        <v>1735</v>
      </c>
      <c r="B430" s="1021" t="s">
        <v>4931</v>
      </c>
      <c r="C430" s="1021"/>
      <c r="E430" s="1021"/>
      <c r="F430" s="1021"/>
      <c r="G430" s="1021"/>
      <c r="J430" s="42"/>
      <c r="K430" s="1021"/>
      <c r="L430" s="1021"/>
      <c r="M430" s="42"/>
      <c r="N430" s="527"/>
      <c r="P430" s="527"/>
      <c r="Q430" s="527"/>
    </row>
    <row r="431" spans="1:32" ht="12" customHeight="1">
      <c r="A431" s="47"/>
      <c r="B431" s="495" t="s">
        <v>1737</v>
      </c>
      <c r="C431" s="1021" t="s">
        <v>4780</v>
      </c>
      <c r="E431" s="1021"/>
      <c r="G431" s="495" t="s">
        <v>4775</v>
      </c>
      <c r="H431" s="1021"/>
      <c r="I431" s="1021"/>
      <c r="J431" s="238"/>
      <c r="K431" s="617"/>
      <c r="L431" s="1021"/>
      <c r="M431" s="495" t="s">
        <v>4778</v>
      </c>
    </row>
    <row r="432" spans="1:32" ht="12" customHeight="1">
      <c r="A432" s="42"/>
      <c r="G432" s="495" t="s">
        <v>4776</v>
      </c>
      <c r="H432" s="1021"/>
      <c r="I432" s="1021"/>
      <c r="J432" s="422"/>
      <c r="K432" s="618"/>
      <c r="M432" s="3834"/>
      <c r="N432" s="3835"/>
      <c r="O432" s="3835"/>
      <c r="P432" s="3835"/>
      <c r="Q432" s="3836"/>
    </row>
    <row r="433" spans="1:32" ht="12" customHeight="1">
      <c r="A433" s="42"/>
      <c r="G433" s="495" t="s">
        <v>4777</v>
      </c>
      <c r="H433" s="1021"/>
      <c r="J433" s="239"/>
      <c r="K433" s="619"/>
      <c r="M433" s="3837"/>
      <c r="N433" s="3838"/>
      <c r="O433" s="3838"/>
      <c r="P433" s="3838"/>
      <c r="Q433" s="3839"/>
    </row>
    <row r="434" spans="1:32" ht="12" customHeight="1">
      <c r="A434" s="47"/>
      <c r="B434" s="495" t="s">
        <v>1738</v>
      </c>
      <c r="C434" s="1021" t="s">
        <v>4779</v>
      </c>
      <c r="D434" s="151"/>
      <c r="E434" s="1021"/>
      <c r="F434" s="1021"/>
      <c r="L434" s="1021"/>
      <c r="M434" s="1021"/>
      <c r="O434" s="527" t="s">
        <v>1738</v>
      </c>
      <c r="P434" s="542" t="s">
        <v>1771</v>
      </c>
      <c r="Q434" s="616" t="s">
        <v>1771</v>
      </c>
    </row>
    <row r="435" spans="1:32" ht="12" customHeight="1">
      <c r="A435" s="42"/>
      <c r="B435" s="151"/>
      <c r="C435" s="495" t="s">
        <v>2435</v>
      </c>
      <c r="D435" s="495" t="s">
        <v>4787</v>
      </c>
      <c r="E435" s="1021"/>
      <c r="F435" s="1021"/>
      <c r="G435" s="3608"/>
      <c r="H435" s="3609"/>
      <c r="I435" s="3609"/>
      <c r="J435" s="3609"/>
      <c r="K435" s="3610"/>
      <c r="L435" s="2468"/>
    </row>
    <row r="436" spans="1:32" ht="12" customHeight="1">
      <c r="A436" s="42"/>
      <c r="B436" s="151"/>
      <c r="C436" s="495" t="s">
        <v>2436</v>
      </c>
      <c r="D436" s="495" t="s">
        <v>4788</v>
      </c>
      <c r="E436" s="1021"/>
      <c r="F436" s="2468"/>
      <c r="G436" s="3816" t="s">
        <v>3700</v>
      </c>
      <c r="H436" s="3817"/>
      <c r="I436" s="3818"/>
      <c r="J436" s="495" t="s">
        <v>4789</v>
      </c>
      <c r="K436" s="151"/>
      <c r="M436" s="3608"/>
      <c r="N436" s="3609"/>
      <c r="O436" s="3609"/>
      <c r="P436" s="3609"/>
      <c r="Q436" s="3610"/>
    </row>
    <row r="437" spans="1:32" ht="12" customHeight="1">
      <c r="A437" s="42"/>
      <c r="B437" s="151"/>
      <c r="C437" s="495" t="s">
        <v>4992</v>
      </c>
      <c r="D437" s="151"/>
      <c r="E437" s="1021"/>
      <c r="F437" s="1021"/>
      <c r="G437" s="1021"/>
      <c r="H437" s="1021"/>
      <c r="I437" s="1021"/>
      <c r="J437" s="1021"/>
      <c r="K437" s="1021"/>
      <c r="L437" s="1021"/>
      <c r="M437" s="1021"/>
      <c r="N437" s="1021"/>
      <c r="O437" s="1021"/>
      <c r="P437" s="1021"/>
      <c r="Q437" s="1021"/>
    </row>
    <row r="438" spans="1:32" ht="51" customHeight="1">
      <c r="B438" s="3824"/>
      <c r="C438" s="3825"/>
      <c r="D438" s="3825"/>
      <c r="E438" s="3825"/>
      <c r="F438" s="3825"/>
      <c r="G438" s="3825"/>
      <c r="H438" s="3825"/>
      <c r="I438" s="3825"/>
      <c r="J438" s="3825"/>
      <c r="K438" s="3825"/>
      <c r="L438" s="3825"/>
      <c r="M438" s="3825"/>
      <c r="N438" s="3825"/>
      <c r="O438" s="3825"/>
      <c r="P438" s="3825"/>
      <c r="Q438" s="3826"/>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5"/>
      <c r="J439" s="1385"/>
      <c r="K439" s="1385"/>
    </row>
    <row r="440" spans="1:32" ht="12" customHeight="1">
      <c r="A440" s="3644" t="s">
        <v>5346</v>
      </c>
      <c r="B440" s="3645"/>
      <c r="C440" s="3645"/>
      <c r="D440" s="3645"/>
      <c r="E440" s="3645"/>
      <c r="F440" s="3645"/>
      <c r="G440" s="3645"/>
      <c r="H440" s="3645"/>
      <c r="I440" s="3645"/>
      <c r="J440" s="3645"/>
      <c r="K440" s="3645"/>
      <c r="L440" s="3645"/>
      <c r="M440" s="3645"/>
      <c r="N440" s="3645"/>
      <c r="O440" s="3645"/>
      <c r="P440" s="3645"/>
      <c r="Q440" s="3646"/>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0"/>
      <c r="B442" s="3601"/>
      <c r="C442" s="3601"/>
      <c r="D442" s="3601"/>
      <c r="E442" s="3601"/>
      <c r="F442" s="3601"/>
      <c r="G442" s="3601"/>
      <c r="H442" s="3601"/>
      <c r="I442" s="3601"/>
      <c r="J442" s="3601"/>
      <c r="K442" s="3601"/>
      <c r="L442" s="3601"/>
      <c r="M442" s="3601"/>
      <c r="N442" s="3601"/>
      <c r="O442" s="3601"/>
      <c r="P442" s="3601"/>
      <c r="Q442" s="3602"/>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4112</v>
      </c>
      <c r="B444" s="4" t="s">
        <v>2816</v>
      </c>
      <c r="C444" s="4"/>
      <c r="D444" s="88"/>
      <c r="E444" s="1379"/>
      <c r="F444" s="1379"/>
      <c r="G444" s="1379"/>
      <c r="H444" s="1379"/>
      <c r="O444" s="135" t="s">
        <v>1867</v>
      </c>
      <c r="P444" s="3603"/>
      <c r="Q444" s="3604"/>
    </row>
    <row r="445" spans="1:32" ht="14.1" customHeight="1">
      <c r="B445" s="88" t="s">
        <v>5049</v>
      </c>
      <c r="C445" s="4"/>
      <c r="D445" s="88"/>
      <c r="E445" s="1379"/>
      <c r="F445" s="1379"/>
      <c r="G445" s="1379"/>
      <c r="H445" s="1379"/>
    </row>
    <row r="446" spans="1:32" s="136" customFormat="1" ht="21.75" customHeight="1">
      <c r="A446" s="145" t="s">
        <v>1983</v>
      </c>
      <c r="B446" s="3662" t="s">
        <v>3937</v>
      </c>
      <c r="C446" s="3662"/>
      <c r="D446" s="3662"/>
      <c r="E446" s="3662"/>
      <c r="F446" s="3662"/>
      <c r="G446" s="3662"/>
      <c r="H446" s="3662"/>
      <c r="I446" s="3662"/>
      <c r="J446" s="3662"/>
      <c r="K446" s="3662"/>
      <c r="L446" s="3662"/>
      <c r="M446" s="3662"/>
      <c r="N446" s="3662"/>
      <c r="O446" s="166" t="s">
        <v>1983</v>
      </c>
      <c r="P446" s="1389" t="s">
        <v>5285</v>
      </c>
      <c r="Q446" s="1388"/>
      <c r="AE446" s="530"/>
      <c r="AF446" s="530"/>
    </row>
    <row r="447" spans="1:32" s="136" customFormat="1" ht="22.5" customHeight="1">
      <c r="A447" s="145" t="s">
        <v>1985</v>
      </c>
      <c r="B447" s="3662" t="s">
        <v>3935</v>
      </c>
      <c r="C447" s="3662"/>
      <c r="D447" s="3662"/>
      <c r="E447" s="3662"/>
      <c r="F447" s="3662"/>
      <c r="G447" s="3662"/>
      <c r="H447" s="3662"/>
      <c r="I447" s="3662"/>
      <c r="J447" s="3662"/>
      <c r="K447" s="3662"/>
      <c r="L447" s="3662"/>
      <c r="M447" s="3662"/>
      <c r="N447" s="3662"/>
      <c r="O447" s="166" t="s">
        <v>1985</v>
      </c>
      <c r="P447" s="633" t="s">
        <v>5285</v>
      </c>
      <c r="Q447" s="620"/>
      <c r="AE447" s="530"/>
      <c r="AF447" s="530"/>
    </row>
    <row r="448" spans="1:32" s="136" customFormat="1" ht="22.5" customHeight="1">
      <c r="B448" s="2579" t="s">
        <v>1737</v>
      </c>
      <c r="C448" s="3662" t="s">
        <v>4993</v>
      </c>
      <c r="D448" s="3662"/>
      <c r="E448" s="3662"/>
      <c r="F448" s="3662"/>
      <c r="G448" s="3662"/>
      <c r="H448" s="3662"/>
      <c r="I448" s="3662"/>
      <c r="J448" s="3662"/>
      <c r="K448" s="3662"/>
      <c r="L448" s="3662"/>
      <c r="M448" s="3662"/>
      <c r="N448" s="3662"/>
      <c r="O448" s="166" t="s">
        <v>1737</v>
      </c>
      <c r="P448" s="633" t="s">
        <v>5285</v>
      </c>
      <c r="Q448" s="620"/>
      <c r="AE448" s="530"/>
      <c r="AF448" s="530"/>
    </row>
    <row r="449" spans="1:32" s="42" customFormat="1" ht="12" customHeight="1">
      <c r="B449" s="2579" t="s">
        <v>1738</v>
      </c>
      <c r="C449" s="36" t="s">
        <v>4994</v>
      </c>
      <c r="D449" s="1359"/>
      <c r="E449" s="1359"/>
      <c r="F449" s="1359"/>
      <c r="G449" s="1359"/>
      <c r="H449" s="1359"/>
      <c r="I449" s="1359"/>
      <c r="J449" s="1359"/>
      <c r="K449" s="1359"/>
      <c r="L449" s="1359"/>
      <c r="M449" s="1359"/>
      <c r="N449" s="1359"/>
      <c r="O449" s="527" t="s">
        <v>1738</v>
      </c>
      <c r="P449" s="422" t="s">
        <v>5285</v>
      </c>
      <c r="Q449" s="618"/>
      <c r="AE449" s="50"/>
      <c r="AF449" s="50"/>
    </row>
    <row r="450" spans="1:32" s="136" customFormat="1" ht="33" customHeight="1">
      <c r="B450" s="541" t="s">
        <v>1739</v>
      </c>
      <c r="C450" s="3662" t="s">
        <v>4995</v>
      </c>
      <c r="D450" s="3662"/>
      <c r="E450" s="3662"/>
      <c r="F450" s="3662"/>
      <c r="G450" s="3662"/>
      <c r="H450" s="3662"/>
      <c r="I450" s="3662"/>
      <c r="J450" s="3662"/>
      <c r="K450" s="3662"/>
      <c r="L450" s="3662"/>
      <c r="M450" s="3662"/>
      <c r="N450" s="3662"/>
      <c r="O450" s="166" t="s">
        <v>1739</v>
      </c>
      <c r="P450" s="633" t="s">
        <v>5285</v>
      </c>
      <c r="Q450" s="620"/>
      <c r="AE450" s="530"/>
      <c r="AF450" s="530"/>
    </row>
    <row r="451" spans="1:32" s="136" customFormat="1" ht="22.5" customHeight="1">
      <c r="B451" s="541" t="s">
        <v>2365</v>
      </c>
      <c r="C451" s="3662" t="s">
        <v>4996</v>
      </c>
      <c r="D451" s="3662"/>
      <c r="E451" s="3662"/>
      <c r="F451" s="3662"/>
      <c r="G451" s="3662"/>
      <c r="H451" s="3662"/>
      <c r="I451" s="3662"/>
      <c r="J451" s="3662"/>
      <c r="K451" s="3662"/>
      <c r="L451" s="3662"/>
      <c r="M451" s="3662"/>
      <c r="N451" s="3662"/>
      <c r="O451" s="166" t="s">
        <v>2365</v>
      </c>
      <c r="P451" s="633" t="s">
        <v>5285</v>
      </c>
      <c r="Q451" s="620"/>
      <c r="AE451" s="530"/>
      <c r="AF451" s="530"/>
    </row>
    <row r="452" spans="1:32" s="136" customFormat="1" ht="22.5" customHeight="1">
      <c r="A452" s="145" t="s">
        <v>749</v>
      </c>
      <c r="B452" s="3662" t="s">
        <v>3941</v>
      </c>
      <c r="C452" s="3662"/>
      <c r="D452" s="3662"/>
      <c r="E452" s="3662"/>
      <c r="F452" s="3662"/>
      <c r="G452" s="3662"/>
      <c r="H452" s="3662"/>
      <c r="I452" s="3662"/>
      <c r="J452" s="3662"/>
      <c r="K452" s="3662"/>
      <c r="L452" s="3662"/>
      <c r="M452" s="3662"/>
      <c r="N452" s="3662"/>
      <c r="O452" s="166" t="s">
        <v>749</v>
      </c>
      <c r="P452" s="633" t="s">
        <v>5285</v>
      </c>
      <c r="Q452" s="620"/>
      <c r="AE452" s="530"/>
      <c r="AF452" s="530"/>
    </row>
    <row r="453" spans="1:32" s="136" customFormat="1" ht="22.5" customHeight="1">
      <c r="A453" s="145" t="s">
        <v>2115</v>
      </c>
      <c r="B453" s="3662" t="s">
        <v>3942</v>
      </c>
      <c r="C453" s="3662"/>
      <c r="D453" s="3662"/>
      <c r="E453" s="3662"/>
      <c r="F453" s="3662"/>
      <c r="G453" s="3662"/>
      <c r="H453" s="3662"/>
      <c r="I453" s="3662"/>
      <c r="J453" s="3662"/>
      <c r="K453" s="3662"/>
      <c r="L453" s="3662"/>
      <c r="M453" s="3662"/>
      <c r="N453" s="3662"/>
      <c r="O453" s="166" t="s">
        <v>2115</v>
      </c>
      <c r="P453" s="633" t="s">
        <v>5285</v>
      </c>
      <c r="Q453" s="620"/>
      <c r="AE453" s="530"/>
      <c r="AF453" s="530"/>
    </row>
    <row r="454" spans="1:32" s="136" customFormat="1" ht="21.75" customHeight="1">
      <c r="A454" s="145" t="s">
        <v>1735</v>
      </c>
      <c r="B454" s="3662" t="s">
        <v>3943</v>
      </c>
      <c r="C454" s="3662"/>
      <c r="D454" s="3662"/>
      <c r="E454" s="3662"/>
      <c r="F454" s="3662"/>
      <c r="G454" s="3662"/>
      <c r="H454" s="3662"/>
      <c r="I454" s="3662"/>
      <c r="J454" s="3662"/>
      <c r="K454" s="3662"/>
      <c r="L454" s="3662"/>
      <c r="M454" s="3662"/>
      <c r="N454" s="3662"/>
      <c r="O454" s="166" t="s">
        <v>1735</v>
      </c>
      <c r="P454" s="633" t="s">
        <v>5285</v>
      </c>
      <c r="Q454" s="620"/>
      <c r="AE454" s="530"/>
      <c r="AF454" s="530"/>
    </row>
    <row r="455" spans="1:32" s="474" customFormat="1" ht="21.75" customHeight="1">
      <c r="A455" s="145" t="s">
        <v>1736</v>
      </c>
      <c r="B455" s="3662" t="s">
        <v>3477</v>
      </c>
      <c r="C455" s="3662"/>
      <c r="D455" s="3662"/>
      <c r="E455" s="3662"/>
      <c r="F455" s="3662"/>
      <c r="G455" s="3662"/>
      <c r="H455" s="3662"/>
      <c r="I455" s="3662"/>
      <c r="J455" s="3662"/>
      <c r="K455" s="3662"/>
      <c r="L455" s="3662"/>
      <c r="M455" s="3662"/>
      <c r="N455" s="3662"/>
      <c r="O455" s="166" t="s">
        <v>1736</v>
      </c>
      <c r="P455" s="1447" t="s">
        <v>5285</v>
      </c>
      <c r="Q455" s="1448"/>
      <c r="AE455" s="532"/>
      <c r="AF455" s="532"/>
    </row>
    <row r="456" spans="1:32" ht="11.25" customHeight="1">
      <c r="B456" s="144" t="s">
        <v>3753</v>
      </c>
      <c r="D456" s="144"/>
      <c r="E456" s="144"/>
      <c r="F456" s="144"/>
      <c r="G456" s="144"/>
      <c r="H456" s="40"/>
      <c r="I456" s="1385"/>
      <c r="J456" s="1385"/>
      <c r="K456" s="1385"/>
      <c r="L456" s="1378"/>
      <c r="M456" s="1378"/>
      <c r="N456" s="1378"/>
      <c r="O456" s="1378"/>
      <c r="P456" s="1378"/>
      <c r="Q456" s="1020"/>
    </row>
    <row r="457" spans="1:32" ht="22.5" customHeight="1">
      <c r="A457" s="3644" t="s">
        <v>5347</v>
      </c>
      <c r="B457" s="3645"/>
      <c r="C457" s="3645"/>
      <c r="D457" s="3645"/>
      <c r="E457" s="3645"/>
      <c r="F457" s="3645"/>
      <c r="G457" s="3645"/>
      <c r="H457" s="3645"/>
      <c r="I457" s="3645"/>
      <c r="J457" s="3645"/>
      <c r="K457" s="3645"/>
      <c r="L457" s="3645"/>
      <c r="M457" s="3645"/>
      <c r="N457" s="3645"/>
      <c r="O457" s="3645"/>
      <c r="P457" s="3645"/>
      <c r="Q457" s="3646"/>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0"/>
      <c r="B459" s="3601"/>
      <c r="C459" s="3601"/>
      <c r="D459" s="3601"/>
      <c r="E459" s="3601"/>
      <c r="F459" s="3601"/>
      <c r="G459" s="3601"/>
      <c r="H459" s="3601"/>
      <c r="I459" s="3601"/>
      <c r="J459" s="3601"/>
      <c r="K459" s="3601"/>
      <c r="L459" s="3601"/>
      <c r="M459" s="3601"/>
      <c r="N459" s="3601"/>
      <c r="O459" s="3601"/>
      <c r="P459" s="3601"/>
      <c r="Q459" s="3602"/>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4790</v>
      </c>
      <c r="C461" s="10" t="s">
        <v>2719</v>
      </c>
      <c r="D461" s="58"/>
      <c r="E461" s="52"/>
      <c r="J461" s="61"/>
      <c r="M461" s="2419"/>
      <c r="N461" s="6"/>
      <c r="O461" s="135" t="s">
        <v>1867</v>
      </c>
      <c r="P461" s="3603"/>
      <c r="Q461" s="3604"/>
    </row>
    <row r="462" spans="1:32" s="151" customFormat="1" ht="12" customHeight="1">
      <c r="A462" s="724"/>
      <c r="B462" s="724" t="s">
        <v>4798</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4799</v>
      </c>
      <c r="C463" s="724"/>
      <c r="D463" s="724"/>
      <c r="E463" s="724"/>
      <c r="F463" s="724"/>
      <c r="G463" s="724"/>
      <c r="H463" s="724"/>
      <c r="I463" s="724"/>
      <c r="J463" s="724"/>
      <c r="K463" s="724"/>
      <c r="L463" s="724"/>
      <c r="M463" s="724"/>
      <c r="N463" s="724"/>
      <c r="O463" s="724"/>
      <c r="P463" s="239" t="s">
        <v>5221</v>
      </c>
      <c r="Q463" s="619"/>
      <c r="AE463" s="531"/>
      <c r="AF463" s="531"/>
    </row>
    <row r="464" spans="1:32" s="43" customFormat="1" ht="12" customHeight="1" thickBot="1">
      <c r="A464" s="47" t="s">
        <v>1983</v>
      </c>
      <c r="B464" s="88" t="s">
        <v>4791</v>
      </c>
      <c r="D464" s="33"/>
      <c r="E464" s="33"/>
      <c r="F464" s="33"/>
      <c r="O464" s="527" t="s">
        <v>1983</v>
      </c>
    </row>
    <row r="465" spans="1:31" s="472" customFormat="1" ht="15" customHeight="1" thickBot="1">
      <c r="A465" s="145"/>
      <c r="B465" s="504" t="s">
        <v>1986</v>
      </c>
      <c r="C465" s="3662" t="s">
        <v>4918</v>
      </c>
      <c r="D465" s="3662"/>
      <c r="E465" s="3662"/>
      <c r="F465" s="3662"/>
      <c r="G465" s="3662"/>
      <c r="H465" s="3662"/>
      <c r="I465" s="3662"/>
      <c r="J465" s="3662"/>
      <c r="K465" s="3605" t="s">
        <v>5044</v>
      </c>
      <c r="L465" s="2630" t="s">
        <v>4793</v>
      </c>
      <c r="M465" s="2636"/>
      <c r="N465" s="2631">
        <f>ROUNDUP('Part VI-Revenues &amp; Expenses'!$O$63*0.1,0)</f>
        <v>25</v>
      </c>
      <c r="O465" s="449" t="s">
        <v>1986</v>
      </c>
      <c r="P465" s="3833" t="s">
        <v>5285</v>
      </c>
      <c r="Q465" s="3832"/>
      <c r="R465" s="2628"/>
      <c r="S465" s="2628"/>
    </row>
    <row r="466" spans="1:31" s="472" customFormat="1" ht="15" customHeight="1">
      <c r="A466" s="145"/>
      <c r="B466" s="504"/>
      <c r="C466" s="3662"/>
      <c r="D466" s="3662"/>
      <c r="E466" s="3662"/>
      <c r="F466" s="3662"/>
      <c r="G466" s="3662"/>
      <c r="H466" s="3662"/>
      <c r="I466" s="3662"/>
      <c r="J466" s="3662"/>
      <c r="K466" s="3606"/>
      <c r="L466" s="2625" t="s">
        <v>5045</v>
      </c>
      <c r="M466" s="2637"/>
      <c r="N466" s="2629">
        <f>'Part VI-Revenues &amp; Expenses'!$O$63</f>
        <v>244</v>
      </c>
      <c r="P466" s="3664"/>
      <c r="Q466" s="3663"/>
      <c r="R466" s="2628"/>
      <c r="S466" s="2628"/>
    </row>
    <row r="467" spans="1:31" s="472" customFormat="1" ht="15" customHeight="1">
      <c r="A467" s="145"/>
      <c r="B467" s="504"/>
      <c r="C467" s="3662"/>
      <c r="D467" s="3662"/>
      <c r="E467" s="3662"/>
      <c r="F467" s="3662"/>
      <c r="G467" s="3662"/>
      <c r="H467" s="3662"/>
      <c r="I467" s="3662"/>
      <c r="J467" s="3662"/>
      <c r="K467" s="2627">
        <f>'Part VI-Revenues &amp; Expenses'!$O$88</f>
        <v>0</v>
      </c>
      <c r="L467" s="1490" t="s">
        <v>4795</v>
      </c>
      <c r="M467" s="2638"/>
      <c r="N467" s="2523">
        <f>'Part VI-Revenues &amp; Expenses'!$O$67</f>
        <v>244</v>
      </c>
      <c r="P467" s="3664"/>
      <c r="Q467" s="3663"/>
    </row>
    <row r="468" spans="1:31" s="500" customFormat="1" ht="22.5" customHeight="1">
      <c r="A468" s="608"/>
      <c r="B468" s="504" t="s">
        <v>1988</v>
      </c>
      <c r="C468" s="3662" t="s">
        <v>4919</v>
      </c>
      <c r="D468" s="3662"/>
      <c r="E468" s="3662"/>
      <c r="F468" s="3662"/>
      <c r="G468" s="3662"/>
      <c r="H468" s="3662"/>
      <c r="I468" s="3662"/>
      <c r="J468" s="3662"/>
      <c r="K468" s="675"/>
      <c r="L468" s="675"/>
      <c r="M468" s="675"/>
      <c r="O468" s="449" t="s">
        <v>1988</v>
      </c>
      <c r="P468" s="2566" t="s">
        <v>2990</v>
      </c>
      <c r="Q468" s="2565"/>
    </row>
    <row r="469" spans="1:31" s="500" customFormat="1" ht="12" customHeight="1" thickBot="1">
      <c r="A469" s="608"/>
      <c r="B469" s="504" t="s">
        <v>2534</v>
      </c>
      <c r="C469" s="3662" t="s">
        <v>4920</v>
      </c>
      <c r="D469" s="3662"/>
      <c r="E469" s="3662"/>
      <c r="F469" s="3662"/>
      <c r="G469" s="3662"/>
      <c r="H469" s="3662"/>
      <c r="I469" s="675"/>
      <c r="J469" s="1359" t="s">
        <v>4796</v>
      </c>
      <c r="K469" s="2524">
        <f>'Part VI-Revenues &amp; Expenses'!$O$103</f>
        <v>244</v>
      </c>
      <c r="L469" s="1489" t="s">
        <v>4794</v>
      </c>
      <c r="M469" s="2633"/>
      <c r="N469" s="2626">
        <f>ROUNDUP(N467*0.1,0)</f>
        <v>25</v>
      </c>
      <c r="O469" s="449" t="s">
        <v>2534</v>
      </c>
      <c r="P469" s="3664" t="s">
        <v>2990</v>
      </c>
      <c r="Q469" s="3663"/>
      <c r="R469" s="2628"/>
      <c r="S469" s="2628"/>
    </row>
    <row r="470" spans="1:31" s="500" customFormat="1" ht="12" customHeight="1" thickBot="1">
      <c r="A470" s="608"/>
      <c r="B470" s="504"/>
      <c r="C470" s="3662"/>
      <c r="D470" s="3662"/>
      <c r="E470" s="3662"/>
      <c r="F470" s="3662"/>
      <c r="G470" s="3662"/>
      <c r="H470" s="3662"/>
      <c r="I470" s="675"/>
      <c r="J470" s="1359" t="s">
        <v>4797</v>
      </c>
      <c r="K470" s="2525">
        <f>IF(N467=0,"",K469/N467)</f>
        <v>1</v>
      </c>
      <c r="L470" s="2634" t="s">
        <v>5043</v>
      </c>
      <c r="M470" s="2635"/>
      <c r="N470" s="2632">
        <f>'Part VI-Revenues &amp; Expenses'!$K$67/'Part VI-Revenues &amp; Expenses'!$O$67</f>
        <v>0.26229508196721313</v>
      </c>
      <c r="O470" s="449" t="str">
        <f>IF(AND(N470&lt;0.1,P469="Yes"), "Check!","")</f>
        <v/>
      </c>
      <c r="P470" s="3828"/>
      <c r="Q470" s="3827"/>
      <c r="R470" s="2628"/>
      <c r="S470" s="2628"/>
    </row>
    <row r="471" spans="1:31" s="43" customFormat="1" ht="12" customHeight="1">
      <c r="A471" s="47" t="s">
        <v>1985</v>
      </c>
      <c r="B471" s="88" t="s">
        <v>4921</v>
      </c>
      <c r="D471" s="40"/>
      <c r="G471" s="36"/>
      <c r="M471" s="6"/>
      <c r="R471" s="434"/>
    </row>
    <row r="472" spans="1:31" s="472" customFormat="1" ht="21.75" customHeight="1">
      <c r="A472" s="145"/>
      <c r="B472" s="3662" t="s">
        <v>4922</v>
      </c>
      <c r="C472" s="3662"/>
      <c r="D472" s="3662"/>
      <c r="E472" s="3662"/>
      <c r="F472" s="3662"/>
      <c r="G472" s="3662"/>
      <c r="H472" s="3662"/>
      <c r="I472" s="3662"/>
      <c r="J472" s="3662"/>
      <c r="K472" s="3662"/>
      <c r="L472" s="3662"/>
      <c r="M472" s="3662"/>
      <c r="N472" s="3662"/>
      <c r="O472" s="166" t="s">
        <v>1985</v>
      </c>
      <c r="P472" s="1424" t="s">
        <v>5348</v>
      </c>
      <c r="Q472" s="1425"/>
      <c r="R472" s="584"/>
    </row>
    <row r="473" spans="1:31" s="43" customFormat="1" ht="11.25" customHeight="1">
      <c r="A473" s="42"/>
      <c r="B473" s="97" t="s">
        <v>3753</v>
      </c>
      <c r="C473" s="42"/>
      <c r="D473" s="48"/>
      <c r="E473" s="48"/>
      <c r="F473" s="48"/>
      <c r="G473" s="48"/>
      <c r="H473" s="36"/>
      <c r="I473" s="36"/>
      <c r="J473" s="36"/>
      <c r="K473" s="36"/>
      <c r="M473" s="46"/>
      <c r="N473" s="62"/>
      <c r="O473" s="3"/>
      <c r="P473" s="2421"/>
    </row>
    <row r="474" spans="1:31" s="43" customFormat="1" ht="21.75" customHeight="1">
      <c r="A474" s="3644" t="s">
        <v>5349</v>
      </c>
      <c r="B474" s="3645"/>
      <c r="C474" s="3645"/>
      <c r="D474" s="3645"/>
      <c r="E474" s="3645"/>
      <c r="F474" s="3645"/>
      <c r="G474" s="3645"/>
      <c r="H474" s="3645"/>
      <c r="I474" s="3645"/>
      <c r="J474" s="3645"/>
      <c r="K474" s="3645"/>
      <c r="L474" s="3645"/>
      <c r="M474" s="3645"/>
      <c r="N474" s="3645"/>
      <c r="O474" s="3645"/>
      <c r="P474" s="3645"/>
      <c r="Q474" s="3646"/>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0"/>
      <c r="B476" s="3601"/>
      <c r="C476" s="3601"/>
      <c r="D476" s="3601"/>
      <c r="E476" s="3601"/>
      <c r="F476" s="3601"/>
      <c r="G476" s="3601"/>
      <c r="H476" s="3601"/>
      <c r="I476" s="3601"/>
      <c r="J476" s="3601"/>
      <c r="K476" s="3601"/>
      <c r="L476" s="3601"/>
      <c r="M476" s="3601"/>
      <c r="N476" s="3601"/>
      <c r="O476" s="3601"/>
      <c r="P476" s="3601"/>
      <c r="Q476" s="3602"/>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4792</v>
      </c>
      <c r="B478" s="4"/>
      <c r="C478" s="4" t="s">
        <v>2670</v>
      </c>
      <c r="D478" s="88"/>
      <c r="E478" s="1379"/>
      <c r="F478" s="1379"/>
      <c r="G478" s="1379"/>
      <c r="H478" s="1379"/>
      <c r="I478" s="1379"/>
      <c r="J478" s="1379"/>
      <c r="K478" s="1379"/>
      <c r="L478" s="1379"/>
      <c r="M478" s="1379"/>
      <c r="O478" s="135" t="s">
        <v>1867</v>
      </c>
      <c r="P478" s="3603"/>
      <c r="Q478" s="3604"/>
    </row>
    <row r="479" spans="1:31" ht="11.25" customHeight="1">
      <c r="A479" s="1384"/>
      <c r="B479" s="144" t="s">
        <v>3753</v>
      </c>
      <c r="D479" s="144"/>
      <c r="E479" s="144"/>
      <c r="F479" s="144"/>
      <c r="G479" s="144"/>
      <c r="H479" s="40"/>
      <c r="I479" s="1385"/>
      <c r="J479" s="1385"/>
      <c r="K479" s="1385"/>
      <c r="L479" s="1378"/>
      <c r="M479" s="1378"/>
      <c r="N479" s="1378"/>
      <c r="O479" s="1378"/>
      <c r="P479" s="1378"/>
      <c r="Q479" s="1020"/>
    </row>
    <row r="480" spans="1:31" ht="22.5" customHeight="1">
      <c r="A480" s="3644" t="s">
        <v>5350</v>
      </c>
      <c r="B480" s="3645"/>
      <c r="C480" s="3645"/>
      <c r="D480" s="3645"/>
      <c r="E480" s="3645"/>
      <c r="F480" s="3645"/>
      <c r="G480" s="3645"/>
      <c r="H480" s="3645"/>
      <c r="I480" s="3645"/>
      <c r="J480" s="3645"/>
      <c r="K480" s="3645"/>
      <c r="L480" s="3645"/>
      <c r="M480" s="3645"/>
      <c r="N480" s="3645"/>
      <c r="O480" s="3645"/>
      <c r="P480" s="3645"/>
      <c r="Q480" s="3646"/>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0"/>
      <c r="B482" s="3601"/>
      <c r="C482" s="3601"/>
      <c r="D482" s="3601"/>
      <c r="E482" s="3601"/>
      <c r="F482" s="3601"/>
      <c r="G482" s="3601"/>
      <c r="H482" s="3601"/>
      <c r="I482" s="3601"/>
      <c r="J482" s="3601"/>
      <c r="K482" s="3601"/>
      <c r="L482" s="3601"/>
      <c r="M482" s="3601"/>
      <c r="N482" s="3601"/>
      <c r="O482" s="3601"/>
      <c r="P482" s="3601"/>
      <c r="Q482" s="3602"/>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4800</v>
      </c>
      <c r="B485" s="4"/>
      <c r="C485" s="4" t="s">
        <v>5211</v>
      </c>
      <c r="D485" s="88"/>
      <c r="E485" s="2423"/>
      <c r="F485" s="2423"/>
      <c r="G485" s="2423"/>
      <c r="H485" s="2423"/>
      <c r="I485" s="2423"/>
      <c r="J485" s="2423"/>
      <c r="K485" s="2423"/>
      <c r="L485" s="2423"/>
      <c r="M485" s="2423"/>
      <c r="O485" s="135" t="s">
        <v>1867</v>
      </c>
      <c r="P485" s="3603"/>
      <c r="Q485" s="3604"/>
    </row>
    <row r="486" spans="1:32" s="105" customFormat="1" ht="11.25" customHeight="1">
      <c r="B486" s="199" t="s">
        <v>4801</v>
      </c>
      <c r="D486" s="61"/>
      <c r="E486" s="61"/>
      <c r="F486" s="44"/>
      <c r="G486" s="27"/>
      <c r="L486" s="434"/>
      <c r="M486" s="434"/>
      <c r="N486" s="434"/>
      <c r="O486" s="434"/>
      <c r="P486" s="434"/>
      <c r="Q486" s="434"/>
      <c r="R486" s="434"/>
      <c r="T486" s="1285"/>
      <c r="U486" s="1285"/>
    </row>
    <row r="487" spans="1:32" s="105" customFormat="1" ht="10.5" customHeight="1">
      <c r="A487" s="142"/>
      <c r="B487" s="40" t="s">
        <v>4923</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4774</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4772</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3976</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4773</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3977</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4925</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3912</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4926</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4977</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4974</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5011</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4975</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5073</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5074</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4976</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2019-5 Somersby, College Park, Fulton County</v>
      </c>
      <c r="B1" s="3289"/>
      <c r="C1" s="3289"/>
      <c r="D1" s="3289"/>
      <c r="E1" s="3289"/>
      <c r="F1" s="3289"/>
      <c r="G1" s="3289"/>
      <c r="H1" s="3289"/>
      <c r="I1" s="3289"/>
      <c r="J1" s="3289"/>
      <c r="K1" s="3289"/>
      <c r="L1" s="3289"/>
      <c r="M1" s="3289"/>
      <c r="N1" s="3289"/>
      <c r="O1" s="3289"/>
      <c r="P1" s="329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27" t="s">
        <v>4944</v>
      </c>
      <c r="B3" s="4027"/>
      <c r="C3" s="4027"/>
      <c r="D3" s="4027"/>
      <c r="E3" s="4027"/>
      <c r="F3" s="4027"/>
      <c r="G3" s="4027"/>
      <c r="H3" s="4027"/>
      <c r="I3" s="4027"/>
      <c r="J3" s="4027"/>
      <c r="K3" s="4027"/>
      <c r="L3" s="4027"/>
      <c r="M3" s="1435" t="s">
        <v>2219</v>
      </c>
      <c r="N3" s="74"/>
      <c r="O3" s="85" t="s">
        <v>2218</v>
      </c>
      <c r="P3" s="1436" t="s">
        <v>256</v>
      </c>
      <c r="Q3" s="2575"/>
      <c r="R3" s="2575"/>
      <c r="S3" s="2575"/>
    </row>
    <row r="4" spans="1:22" s="44" customFormat="1" ht="12" customHeight="1">
      <c r="A4" s="4027"/>
      <c r="B4" s="4027"/>
      <c r="C4" s="4027"/>
      <c r="D4" s="4027"/>
      <c r="E4" s="4027"/>
      <c r="F4" s="4027"/>
      <c r="G4" s="4027"/>
      <c r="H4" s="4027"/>
      <c r="I4" s="4027"/>
      <c r="J4" s="4027"/>
      <c r="K4" s="4027"/>
      <c r="L4" s="4027"/>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16" t="str">
        <f>'Part I-Project Information'!$B$6</f>
        <v>May 2019 Final</v>
      </c>
      <c r="C6" s="4016"/>
      <c r="D6" s="4016"/>
      <c r="E6" s="4016"/>
      <c r="F6" s="4016"/>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4810</v>
      </c>
      <c r="D8" s="52"/>
      <c r="E8" s="52"/>
      <c r="F8" s="52"/>
      <c r="G8" s="67"/>
      <c r="H8" s="192" t="s">
        <v>4908</v>
      </c>
      <c r="I8" s="67"/>
      <c r="J8" s="67"/>
      <c r="K8" s="67"/>
      <c r="L8" s="67"/>
      <c r="M8" s="2451" t="s">
        <v>4907</v>
      </c>
      <c r="N8" s="67"/>
      <c r="O8" s="2450"/>
      <c r="P8" s="2447">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4146</v>
      </c>
      <c r="B10" s="2516" t="s">
        <v>4147</v>
      </c>
      <c r="C10" s="1474"/>
      <c r="D10" s="1474"/>
      <c r="E10" s="1118" t="s">
        <v>4174</v>
      </c>
      <c r="F10" s="4052" t="s">
        <v>4173</v>
      </c>
      <c r="G10" s="4052"/>
      <c r="H10" s="4052"/>
      <c r="I10" s="4052"/>
      <c r="J10" s="4052"/>
      <c r="K10" s="4052"/>
      <c r="L10" s="4052"/>
      <c r="M10" s="4052"/>
      <c r="N10" s="4052"/>
      <c r="O10" s="2517" t="s">
        <v>4808</v>
      </c>
      <c r="P10" s="2518">
        <f>SUM(P11:P20)</f>
        <v>0</v>
      </c>
      <c r="Q10" s="4091" t="s">
        <v>5021</v>
      </c>
      <c r="R10" s="4091"/>
      <c r="S10" s="4091"/>
      <c r="T10" s="4091"/>
      <c r="U10" s="4091"/>
      <c r="V10" s="4091"/>
    </row>
    <row r="11" spans="1:22" s="42" customFormat="1" ht="11.25" customHeight="1">
      <c r="A11" s="1457" t="s">
        <v>742</v>
      </c>
      <c r="B11" s="1458" t="s">
        <v>4148</v>
      </c>
      <c r="C11" s="1459"/>
      <c r="D11" s="1460"/>
      <c r="E11" s="2507">
        <f>$O$61</f>
        <v>0</v>
      </c>
      <c r="F11" s="4053">
        <f>$A$67</f>
        <v>0</v>
      </c>
      <c r="G11" s="4054"/>
      <c r="H11" s="4054"/>
      <c r="I11" s="4054"/>
      <c r="J11" s="4054"/>
      <c r="K11" s="4054"/>
      <c r="L11" s="4054"/>
      <c r="M11" s="4054"/>
      <c r="N11" s="4054"/>
      <c r="O11" s="4054"/>
      <c r="P11" s="2537"/>
      <c r="Q11" s="4091"/>
      <c r="R11" s="4091"/>
      <c r="S11" s="4091"/>
      <c r="T11" s="4091"/>
      <c r="U11" s="4091"/>
      <c r="V11" s="4091"/>
    </row>
    <row r="12" spans="1:22" s="42" customFormat="1" ht="11.25" customHeight="1">
      <c r="A12" s="1461" t="s">
        <v>530</v>
      </c>
      <c r="B12" s="1119" t="s">
        <v>4150</v>
      </c>
      <c r="C12" s="1324"/>
      <c r="D12" s="1462"/>
      <c r="E12" s="2508">
        <f>$O$153</f>
        <v>0</v>
      </c>
      <c r="F12" s="4013">
        <f>$A$185</f>
        <v>0</v>
      </c>
      <c r="G12" s="4014"/>
      <c r="H12" s="4014"/>
      <c r="I12" s="4014"/>
      <c r="J12" s="4014"/>
      <c r="K12" s="4014"/>
      <c r="L12" s="4014"/>
      <c r="M12" s="4014"/>
      <c r="N12" s="4014"/>
      <c r="O12" s="4015"/>
      <c r="P12" s="2538"/>
      <c r="Q12" s="4102" t="str">
        <f>IF(OR($A$67="",$A$302="",$A$185="",$A$224="",$A$273="",$A$325="",$A$365="",$A$380="",$A$416="",$A$436=""),"Some Applicant Scoring Justification boxes are empty! Check to see if points claimed.","")</f>
        <v>Some Applicant Scoring Justification boxes are empty! Check to see if points claimed.</v>
      </c>
      <c r="R12" s="4103"/>
      <c r="S12" s="4103"/>
    </row>
    <row r="13" spans="1:22" s="42" customFormat="1" ht="11.25" customHeight="1">
      <c r="A13" s="1461" t="s">
        <v>772</v>
      </c>
      <c r="B13" s="1119" t="s">
        <v>4151</v>
      </c>
      <c r="C13" s="1324"/>
      <c r="D13" s="1462"/>
      <c r="E13" s="2509">
        <f>$O$189</f>
        <v>0</v>
      </c>
      <c r="F13" s="4013">
        <f>$A$224</f>
        <v>0</v>
      </c>
      <c r="G13" s="4014"/>
      <c r="H13" s="4014"/>
      <c r="I13" s="4014"/>
      <c r="J13" s="4014"/>
      <c r="K13" s="4014"/>
      <c r="L13" s="4014"/>
      <c r="M13" s="4014"/>
      <c r="N13" s="4014"/>
      <c r="O13" s="4015"/>
      <c r="P13" s="2538"/>
      <c r="Q13" s="4102"/>
      <c r="R13" s="4103"/>
      <c r="S13" s="4103"/>
    </row>
    <row r="14" spans="1:22" s="42" customFormat="1" ht="11.25" customHeight="1">
      <c r="A14" s="1467" t="s">
        <v>292</v>
      </c>
      <c r="B14" s="1468" t="s">
        <v>4152</v>
      </c>
      <c r="C14" s="1469"/>
      <c r="D14" s="1470"/>
      <c r="E14" s="2510" t="s">
        <v>1733</v>
      </c>
      <c r="F14" s="4055">
        <f>$A$273</f>
        <v>0</v>
      </c>
      <c r="G14" s="4056"/>
      <c r="H14" s="4056"/>
      <c r="I14" s="4056"/>
      <c r="J14" s="4056"/>
      <c r="K14" s="4056"/>
      <c r="L14" s="4056"/>
      <c r="M14" s="4056"/>
      <c r="N14" s="4056"/>
      <c r="O14" s="4057"/>
      <c r="P14" s="2538"/>
      <c r="Q14" s="4102"/>
      <c r="R14" s="4103"/>
      <c r="S14" s="4103"/>
    </row>
    <row r="15" spans="1:22" s="42" customFormat="1" ht="11.25" customHeight="1">
      <c r="A15" s="1461" t="s">
        <v>362</v>
      </c>
      <c r="B15" s="1119" t="s">
        <v>3789</v>
      </c>
      <c r="C15" s="1324"/>
      <c r="D15" s="1462"/>
      <c r="E15" s="2508">
        <f>$O$298</f>
        <v>0</v>
      </c>
      <c r="F15" s="4013">
        <f>$A$302</f>
        <v>0</v>
      </c>
      <c r="G15" s="4014"/>
      <c r="H15" s="4014"/>
      <c r="I15" s="4014"/>
      <c r="J15" s="4014"/>
      <c r="K15" s="4014"/>
      <c r="L15" s="4014"/>
      <c r="M15" s="4014"/>
      <c r="N15" s="4014"/>
      <c r="O15" s="4015"/>
      <c r="P15" s="2538"/>
      <c r="Q15" s="4102"/>
      <c r="R15" s="4103"/>
      <c r="S15" s="4103"/>
    </row>
    <row r="16" spans="1:22" s="42" customFormat="1" ht="11.25" customHeight="1">
      <c r="A16" s="1461" t="s">
        <v>4901</v>
      </c>
      <c r="B16" s="1119" t="s">
        <v>4458</v>
      </c>
      <c r="C16" s="1324"/>
      <c r="D16" s="1462"/>
      <c r="E16" s="2510">
        <f>$O$306</f>
        <v>0</v>
      </c>
      <c r="F16" s="4013">
        <f>$A$325</f>
        <v>0</v>
      </c>
      <c r="G16" s="4014"/>
      <c r="H16" s="4014"/>
      <c r="I16" s="4014"/>
      <c r="J16" s="4014"/>
      <c r="K16" s="4014"/>
      <c r="L16" s="4014"/>
      <c r="M16" s="4014"/>
      <c r="N16" s="4014"/>
      <c r="O16" s="4015"/>
      <c r="P16" s="2538"/>
      <c r="Q16" s="4102"/>
      <c r="R16" s="4103"/>
      <c r="S16" s="4103"/>
    </row>
    <row r="17" spans="1:19" s="42" customFormat="1" ht="11.25" customHeight="1">
      <c r="A17" s="1461" t="s">
        <v>2782</v>
      </c>
      <c r="B17" s="1119" t="s">
        <v>4153</v>
      </c>
      <c r="C17" s="1324"/>
      <c r="D17" s="1462"/>
      <c r="E17" s="2510">
        <f>$O$359</f>
        <v>0</v>
      </c>
      <c r="F17" s="4010">
        <f>$A$365</f>
        <v>0</v>
      </c>
      <c r="G17" s="4011"/>
      <c r="H17" s="4011"/>
      <c r="I17" s="4011"/>
      <c r="J17" s="4011"/>
      <c r="K17" s="4011"/>
      <c r="L17" s="4011"/>
      <c r="M17" s="4011"/>
      <c r="N17" s="4011"/>
      <c r="O17" s="4012"/>
      <c r="P17" s="2538"/>
      <c r="Q17" s="4102"/>
      <c r="R17" s="4103"/>
      <c r="S17" s="4103"/>
    </row>
    <row r="18" spans="1:19" s="42" customFormat="1" ht="11.25" customHeight="1">
      <c r="A18" s="1467" t="s">
        <v>2251</v>
      </c>
      <c r="B18" s="1468" t="s">
        <v>4154</v>
      </c>
      <c r="C18" s="1469"/>
      <c r="D18" s="1470"/>
      <c r="E18" s="2511">
        <f>O369</f>
        <v>0</v>
      </c>
      <c r="F18" s="4013">
        <f>$A$380</f>
        <v>0</v>
      </c>
      <c r="G18" s="4014"/>
      <c r="H18" s="4014"/>
      <c r="I18" s="4014"/>
      <c r="J18" s="4014"/>
      <c r="K18" s="4014"/>
      <c r="L18" s="4014"/>
      <c r="M18" s="4014"/>
      <c r="N18" s="4014"/>
      <c r="O18" s="4015"/>
      <c r="P18" s="2538"/>
      <c r="Q18" s="4102"/>
      <c r="R18" s="4103"/>
      <c r="S18" s="4103"/>
    </row>
    <row r="19" spans="1:19" s="42" customFormat="1" ht="11.25" customHeight="1">
      <c r="A19" s="1461" t="s">
        <v>4101</v>
      </c>
      <c r="B19" s="1119" t="s">
        <v>4155</v>
      </c>
      <c r="C19" s="1324"/>
      <c r="D19" s="1462"/>
      <c r="E19" s="2508">
        <f>$O$384</f>
        <v>0</v>
      </c>
      <c r="F19" s="4013">
        <f>$A$416</f>
        <v>0</v>
      </c>
      <c r="G19" s="4014"/>
      <c r="H19" s="4014"/>
      <c r="I19" s="4014"/>
      <c r="J19" s="4014"/>
      <c r="K19" s="4014"/>
      <c r="L19" s="4014"/>
      <c r="M19" s="4014"/>
      <c r="N19" s="4014"/>
      <c r="O19" s="4015"/>
      <c r="P19" s="2538"/>
      <c r="Q19" s="4102"/>
      <c r="R19" s="4103"/>
      <c r="S19" s="4103"/>
    </row>
    <row r="20" spans="1:19" s="42" customFormat="1" ht="11.25" customHeight="1">
      <c r="A20" s="1463" t="s">
        <v>4102</v>
      </c>
      <c r="B20" s="1464" t="s">
        <v>4157</v>
      </c>
      <c r="C20" s="1465"/>
      <c r="D20" s="1466"/>
      <c r="E20" s="2512">
        <f>$O$420</f>
        <v>0</v>
      </c>
      <c r="F20" s="4049">
        <f>$A$436</f>
        <v>0</v>
      </c>
      <c r="G20" s="4050"/>
      <c r="H20" s="4050"/>
      <c r="I20" s="4050"/>
      <c r="J20" s="4050"/>
      <c r="K20" s="4050"/>
      <c r="L20" s="4050"/>
      <c r="M20" s="4050"/>
      <c r="N20" s="4050"/>
      <c r="O20" s="4051"/>
      <c r="P20" s="2539"/>
      <c r="Q20" s="4102"/>
      <c r="R20" s="4103"/>
      <c r="S20" s="4103"/>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4906</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4803</v>
      </c>
      <c r="D24" s="48"/>
      <c r="E24" s="48"/>
      <c r="F24" s="1508"/>
      <c r="M24" s="6"/>
      <c r="N24" s="65" t="s">
        <v>1983</v>
      </c>
    </row>
    <row r="25" spans="1:19" s="43" customFormat="1" ht="11.25" customHeight="1">
      <c r="A25" s="198"/>
      <c r="B25" s="2454" t="s">
        <v>1986</v>
      </c>
      <c r="C25" s="114" t="s">
        <v>4806</v>
      </c>
      <c r="D25" s="48"/>
      <c r="E25" s="48"/>
      <c r="F25" s="1508"/>
      <c r="H25" s="192" t="s">
        <v>3648</v>
      </c>
      <c r="J25" s="49"/>
      <c r="M25" s="6"/>
      <c r="N25" s="449" t="s">
        <v>1986</v>
      </c>
      <c r="O25" s="977"/>
      <c r="P25" s="1406">
        <f>F33</f>
        <v>0</v>
      </c>
    </row>
    <row r="26" spans="1:19" s="43" customFormat="1" ht="11.25" customHeight="1">
      <c r="A26" s="198"/>
      <c r="B26" s="2454" t="s">
        <v>1988</v>
      </c>
      <c r="C26" s="114" t="s">
        <v>5085</v>
      </c>
      <c r="D26" s="48"/>
      <c r="E26" s="48"/>
      <c r="F26" s="2426"/>
      <c r="H26" s="192" t="s">
        <v>4804</v>
      </c>
      <c r="J26" s="49"/>
      <c r="M26" s="6"/>
      <c r="N26" s="449" t="s">
        <v>1988</v>
      </c>
      <c r="O26" s="2443"/>
      <c r="P26" s="2444">
        <f>J33</f>
        <v>0</v>
      </c>
    </row>
    <row r="27" spans="1:19" s="43" customFormat="1" ht="11.25" customHeight="1">
      <c r="A27" s="198"/>
      <c r="B27" s="2454" t="s">
        <v>2534</v>
      </c>
      <c r="C27" s="114" t="s">
        <v>4805</v>
      </c>
      <c r="D27" s="48"/>
      <c r="E27" s="48"/>
      <c r="F27" s="2426"/>
      <c r="H27" s="192" t="s">
        <v>4809</v>
      </c>
      <c r="J27" s="49"/>
      <c r="M27" s="6"/>
      <c r="N27" s="449" t="s">
        <v>2534</v>
      </c>
      <c r="O27" s="600"/>
      <c r="P27" s="2445"/>
    </row>
    <row r="28" spans="1:19" s="43" customFormat="1" ht="11.25" customHeight="1">
      <c r="C28" s="4020" t="s">
        <v>5047</v>
      </c>
      <c r="D28" s="4021"/>
      <c r="E28" s="4021"/>
      <c r="F28" s="4021"/>
      <c r="G28" s="4021"/>
      <c r="H28" s="4021"/>
      <c r="I28" s="4021"/>
      <c r="J28" s="4021"/>
      <c r="K28" s="4021"/>
      <c r="L28" s="4021"/>
      <c r="M28" s="4021"/>
      <c r="N28" s="4021"/>
      <c r="O28" s="4021"/>
      <c r="P28" s="4022"/>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37" t="s">
        <v>5016</v>
      </c>
      <c r="B32" s="4037"/>
      <c r="C32" s="4037"/>
      <c r="D32" s="4037"/>
      <c r="E32" s="4037"/>
      <c r="F32" s="2440" t="s">
        <v>4145</v>
      </c>
      <c r="G32" s="4041" t="s">
        <v>5017</v>
      </c>
      <c r="H32" s="4041"/>
      <c r="I32" s="4041"/>
      <c r="J32" s="2440" t="s">
        <v>4145</v>
      </c>
      <c r="K32" s="4045" t="s">
        <v>4802</v>
      </c>
      <c r="L32" s="4045"/>
      <c r="M32" s="4045"/>
      <c r="N32" s="4045"/>
      <c r="O32" s="4039" t="s">
        <v>4145</v>
      </c>
      <c r="P32" s="4040"/>
      <c r="R32" s="511"/>
      <c r="S32" s="162"/>
    </row>
    <row r="33" spans="1:20" s="42" customFormat="1" ht="11.25" customHeight="1">
      <c r="A33" s="4038"/>
      <c r="B33" s="4038"/>
      <c r="C33" s="4038"/>
      <c r="D33" s="4038"/>
      <c r="E33" s="4038"/>
      <c r="F33" s="77">
        <f>SUM(F34:F45)</f>
        <v>0</v>
      </c>
      <c r="G33" s="4042"/>
      <c r="H33" s="4043"/>
      <c r="I33" s="4044"/>
      <c r="J33" s="77">
        <f>SUM(J34:J45)</f>
        <v>0</v>
      </c>
      <c r="K33" s="4046"/>
      <c r="L33" s="4047"/>
      <c r="M33" s="4047"/>
      <c r="N33" s="4048"/>
      <c r="O33" s="4028">
        <f>SUM(O34:O45)</f>
        <v>0</v>
      </c>
      <c r="P33" s="4029"/>
      <c r="Q33" s="511"/>
      <c r="R33" s="162"/>
    </row>
    <row r="34" spans="1:20" s="42" customFormat="1" ht="24.75" customHeight="1">
      <c r="A34" s="4030">
        <v>1</v>
      </c>
      <c r="B34" s="4031"/>
      <c r="C34" s="4031"/>
      <c r="D34" s="4031"/>
      <c r="E34" s="4032"/>
      <c r="F34" s="1005"/>
      <c r="G34" s="4030">
        <v>1</v>
      </c>
      <c r="H34" s="4031"/>
      <c r="I34" s="4032"/>
      <c r="J34" s="1009" t="s">
        <v>1733</v>
      </c>
      <c r="K34" s="4033">
        <v>1</v>
      </c>
      <c r="L34" s="4034"/>
      <c r="M34" s="4034"/>
      <c r="N34" s="4034"/>
      <c r="O34" s="4035" t="s">
        <v>1733</v>
      </c>
      <c r="P34" s="4036"/>
      <c r="Q34" s="509" t="s">
        <v>1254</v>
      </c>
      <c r="R34" s="162"/>
    </row>
    <row r="35" spans="1:20" s="42" customFormat="1" ht="24.75" customHeight="1">
      <c r="A35" s="3879">
        <v>2</v>
      </c>
      <c r="B35" s="3880"/>
      <c r="C35" s="3880"/>
      <c r="D35" s="3880"/>
      <c r="E35" s="3881"/>
      <c r="F35" s="1006"/>
      <c r="G35" s="3879">
        <v>2</v>
      </c>
      <c r="H35" s="3880"/>
      <c r="I35" s="3881"/>
      <c r="J35" s="1006"/>
      <c r="K35" s="3882">
        <v>2</v>
      </c>
      <c r="L35" s="3883"/>
      <c r="M35" s="3883"/>
      <c r="N35" s="3883"/>
      <c r="O35" s="3884"/>
      <c r="P35" s="3885"/>
      <c r="Q35" s="510"/>
      <c r="R35" s="162"/>
    </row>
    <row r="36" spans="1:20" s="42" customFormat="1" ht="24.75" customHeight="1">
      <c r="A36" s="3879">
        <v>3</v>
      </c>
      <c r="B36" s="3880"/>
      <c r="C36" s="3880"/>
      <c r="D36" s="3880"/>
      <c r="E36" s="3881"/>
      <c r="F36" s="1006"/>
      <c r="G36" s="3879">
        <v>3</v>
      </c>
      <c r="H36" s="3880"/>
      <c r="I36" s="3881"/>
      <c r="J36" s="1471" t="s">
        <v>2905</v>
      </c>
      <c r="K36" s="3882">
        <v>3</v>
      </c>
      <c r="L36" s="3883"/>
      <c r="M36" s="3883"/>
      <c r="N36" s="3883"/>
      <c r="O36" s="3886" t="s">
        <v>2905</v>
      </c>
      <c r="P36" s="3887"/>
      <c r="Q36" s="3850" t="s">
        <v>4807</v>
      </c>
      <c r="R36" s="3851"/>
      <c r="S36" s="2446"/>
      <c r="T36" s="2446"/>
    </row>
    <row r="37" spans="1:20" s="42" customFormat="1" ht="24.75" customHeight="1">
      <c r="A37" s="3879">
        <v>4</v>
      </c>
      <c r="B37" s="3880"/>
      <c r="C37" s="3880"/>
      <c r="D37" s="3880"/>
      <c r="E37" s="3881"/>
      <c r="F37" s="1006"/>
      <c r="G37" s="3879">
        <v>4</v>
      </c>
      <c r="H37" s="3880"/>
      <c r="I37" s="3881"/>
      <c r="J37" s="1006"/>
      <c r="K37" s="3882">
        <v>4</v>
      </c>
      <c r="L37" s="3883"/>
      <c r="M37" s="3883"/>
      <c r="N37" s="3883"/>
      <c r="O37" s="3886" t="s">
        <v>2905</v>
      </c>
      <c r="P37" s="3887"/>
      <c r="Q37" s="3850"/>
      <c r="R37" s="3851"/>
      <c r="S37" s="2446"/>
      <c r="T37" s="2446"/>
    </row>
    <row r="38" spans="1:20" s="42" customFormat="1" ht="24.75" customHeight="1">
      <c r="A38" s="3879">
        <v>5</v>
      </c>
      <c r="B38" s="3880"/>
      <c r="C38" s="3880"/>
      <c r="D38" s="3880"/>
      <c r="E38" s="3881"/>
      <c r="F38" s="1006"/>
      <c r="G38" s="3879">
        <v>5</v>
      </c>
      <c r="H38" s="3880"/>
      <c r="I38" s="3881"/>
      <c r="J38" s="1471" t="s">
        <v>3585</v>
      </c>
      <c r="K38" s="3882">
        <v>5</v>
      </c>
      <c r="L38" s="3883"/>
      <c r="M38" s="3883"/>
      <c r="N38" s="3883"/>
      <c r="O38" s="3884"/>
      <c r="P38" s="3885"/>
      <c r="Q38" s="3850"/>
      <c r="R38" s="3851"/>
      <c r="S38" s="2446"/>
      <c r="T38" s="2446"/>
    </row>
    <row r="39" spans="1:20" s="42" customFormat="1" ht="24" customHeight="1">
      <c r="A39" s="3879">
        <v>6</v>
      </c>
      <c r="B39" s="3880"/>
      <c r="C39" s="3880"/>
      <c r="D39" s="3880"/>
      <c r="E39" s="3881"/>
      <c r="F39" s="1006"/>
      <c r="G39" s="3879">
        <v>6</v>
      </c>
      <c r="H39" s="3880"/>
      <c r="I39" s="3881"/>
      <c r="J39" s="1006"/>
      <c r="K39" s="3882">
        <v>6</v>
      </c>
      <c r="L39" s="3883"/>
      <c r="M39" s="3883"/>
      <c r="N39" s="3883"/>
      <c r="O39" s="3884"/>
      <c r="P39" s="3885"/>
      <c r="Q39" s="3850"/>
      <c r="R39" s="3851"/>
    </row>
    <row r="40" spans="1:20" s="42" customFormat="1" ht="10.5" customHeight="1">
      <c r="A40" s="3879">
        <v>7</v>
      </c>
      <c r="B40" s="3880"/>
      <c r="C40" s="3880"/>
      <c r="D40" s="3880"/>
      <c r="E40" s="3881"/>
      <c r="F40" s="1006"/>
      <c r="G40" s="3879">
        <v>7</v>
      </c>
      <c r="H40" s="3880"/>
      <c r="I40" s="3881"/>
      <c r="J40" s="1471" t="s">
        <v>3586</v>
      </c>
      <c r="K40" s="3882">
        <v>7</v>
      </c>
      <c r="L40" s="3883"/>
      <c r="M40" s="3883"/>
      <c r="N40" s="3883"/>
      <c r="O40" s="3884"/>
      <c r="P40" s="3885"/>
      <c r="Q40" s="162"/>
      <c r="R40" s="162"/>
    </row>
    <row r="41" spans="1:20" s="42" customFormat="1" ht="10.5" customHeight="1">
      <c r="A41" s="3879">
        <v>8</v>
      </c>
      <c r="B41" s="3880"/>
      <c r="C41" s="3880"/>
      <c r="D41" s="3880"/>
      <c r="E41" s="3881"/>
      <c r="F41" s="1006"/>
      <c r="G41" s="3879">
        <v>8</v>
      </c>
      <c r="H41" s="3880"/>
      <c r="I41" s="3881"/>
      <c r="J41" s="1006"/>
      <c r="K41" s="3882">
        <v>8</v>
      </c>
      <c r="L41" s="3883"/>
      <c r="M41" s="3883"/>
      <c r="N41" s="3883"/>
      <c r="O41" s="3884"/>
      <c r="P41" s="3885"/>
      <c r="Q41" s="162"/>
      <c r="R41" s="162"/>
    </row>
    <row r="42" spans="1:20" s="42" customFormat="1" ht="11.25" customHeight="1">
      <c r="A42" s="3879">
        <v>9</v>
      </c>
      <c r="B42" s="3880"/>
      <c r="C42" s="3880"/>
      <c r="D42" s="3880"/>
      <c r="E42" s="3881"/>
      <c r="F42" s="1006"/>
      <c r="G42" s="3879">
        <v>9</v>
      </c>
      <c r="H42" s="3880"/>
      <c r="I42" s="3881"/>
      <c r="J42" s="1471" t="s">
        <v>3587</v>
      </c>
      <c r="K42" s="3882">
        <v>9</v>
      </c>
      <c r="L42" s="3883"/>
      <c r="M42" s="3883"/>
      <c r="N42" s="3883"/>
      <c r="O42" s="3884"/>
      <c r="P42" s="3885"/>
      <c r="Q42" s="162"/>
      <c r="R42" s="162"/>
    </row>
    <row r="43" spans="1:20" s="42" customFormat="1" ht="11.25" customHeight="1">
      <c r="A43" s="3879">
        <v>10</v>
      </c>
      <c r="B43" s="3880"/>
      <c r="C43" s="3880"/>
      <c r="D43" s="3880"/>
      <c r="E43" s="3881"/>
      <c r="F43" s="1006"/>
      <c r="G43" s="3879">
        <v>10</v>
      </c>
      <c r="H43" s="3880"/>
      <c r="I43" s="3881"/>
      <c r="J43" s="1006"/>
      <c r="K43" s="3882">
        <v>10</v>
      </c>
      <c r="L43" s="3883"/>
      <c r="M43" s="3883"/>
      <c r="N43" s="3883"/>
      <c r="O43" s="3884"/>
      <c r="P43" s="3885"/>
      <c r="Q43" s="162"/>
    </row>
    <row r="44" spans="1:20" s="42" customFormat="1" ht="11.25" customHeight="1">
      <c r="A44" s="3879">
        <v>11</v>
      </c>
      <c r="B44" s="3880"/>
      <c r="C44" s="3880"/>
      <c r="D44" s="3880"/>
      <c r="E44" s="3881"/>
      <c r="F44" s="1006"/>
      <c r="G44" s="3879">
        <v>11</v>
      </c>
      <c r="H44" s="3880"/>
      <c r="I44" s="3881"/>
      <c r="J44" s="1471" t="s">
        <v>3588</v>
      </c>
      <c r="K44" s="3879">
        <v>11</v>
      </c>
      <c r="L44" s="3880"/>
      <c r="M44" s="3880"/>
      <c r="N44" s="3881"/>
      <c r="O44" s="3884"/>
      <c r="P44" s="3885"/>
      <c r="Q44" s="162"/>
      <c r="R44" s="162"/>
    </row>
    <row r="45" spans="1:20" s="42" customFormat="1" ht="11.25" customHeight="1">
      <c r="A45" s="4059">
        <v>12</v>
      </c>
      <c r="B45" s="4060"/>
      <c r="C45" s="4060"/>
      <c r="D45" s="4060"/>
      <c r="E45" s="4061"/>
      <c r="F45" s="1007"/>
      <c r="G45" s="4059">
        <v>12</v>
      </c>
      <c r="H45" s="4060"/>
      <c r="I45" s="4061"/>
      <c r="J45" s="1007"/>
      <c r="K45" s="4059">
        <v>12</v>
      </c>
      <c r="L45" s="4060"/>
      <c r="M45" s="4060"/>
      <c r="N45" s="4061"/>
      <c r="O45" s="4062"/>
      <c r="P45" s="4063"/>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10"/>
      <c r="M48" s="1011"/>
      <c r="N48" s="7"/>
      <c r="O48" s="3"/>
      <c r="P48" s="3"/>
      <c r="Q48" s="112"/>
      <c r="R48" s="434"/>
    </row>
    <row r="49" spans="1:18" s="43" customFormat="1" ht="13.5" customHeight="1">
      <c r="A49" s="142" t="s">
        <v>1983</v>
      </c>
      <c r="B49" s="1037" t="s">
        <v>2625</v>
      </c>
      <c r="E49" s="57"/>
      <c r="G49" s="89"/>
      <c r="H49" s="55" t="s">
        <v>5018</v>
      </c>
      <c r="J49" s="2609"/>
      <c r="K49" s="2609" t="str">
        <f>'Part I-Project Information'!$K$94</f>
        <v>Income Averaging</v>
      </c>
      <c r="M49" s="1011"/>
      <c r="N49" s="7"/>
      <c r="Q49" s="7"/>
      <c r="R49" s="434"/>
    </row>
    <row r="50" spans="1:18" s="105" customFormat="1" ht="9" customHeight="1">
      <c r="A50" s="142"/>
      <c r="B50" s="3852" t="s">
        <v>4811</v>
      </c>
      <c r="C50" s="3852"/>
      <c r="D50" s="3852"/>
      <c r="E50" s="3852"/>
      <c r="F50" s="3852"/>
      <c r="G50" s="3852"/>
      <c r="H50" s="3852"/>
      <c r="I50" s="3852"/>
      <c r="J50" s="3852"/>
      <c r="K50" s="3852"/>
      <c r="L50" s="3852"/>
      <c r="M50" s="1011"/>
      <c r="N50" s="7"/>
      <c r="Q50" s="7"/>
      <c r="R50" s="434"/>
    </row>
    <row r="51" spans="1:18" s="105" customFormat="1" ht="13.5" customHeight="1">
      <c r="B51" s="3852"/>
      <c r="C51" s="3852"/>
      <c r="D51" s="3852"/>
      <c r="E51" s="3852"/>
      <c r="F51" s="3852"/>
      <c r="G51" s="3852"/>
      <c r="H51" s="3852"/>
      <c r="I51" s="3852"/>
      <c r="J51" s="3852"/>
      <c r="K51" s="3852"/>
      <c r="L51" s="3852"/>
      <c r="M51" s="1020">
        <v>2</v>
      </c>
      <c r="N51" s="449" t="s">
        <v>1983</v>
      </c>
      <c r="O51" s="1042">
        <f>MIN($M51, O52+O53)</f>
        <v>0</v>
      </c>
      <c r="P51" s="1042">
        <f>MIN($M51, P52+P53)</f>
        <v>0</v>
      </c>
    </row>
    <row r="52" spans="1:18" s="105" customFormat="1" ht="13.5" customHeight="1">
      <c r="A52" s="142"/>
      <c r="B52" s="1532" t="s">
        <v>1986</v>
      </c>
      <c r="C52" s="2455" t="s">
        <v>4812</v>
      </c>
      <c r="D52" s="52"/>
      <c r="H52" s="52" t="s">
        <v>4813</v>
      </c>
      <c r="I52" s="2452"/>
      <c r="K52" s="2611">
        <f>'Part VI-Revenues &amp; Expenses'!B49</f>
        <v>60</v>
      </c>
      <c r="L52" s="4058"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4814</v>
      </c>
      <c r="D53" s="52"/>
      <c r="I53" s="2452"/>
      <c r="K53" s="52"/>
      <c r="L53" s="4058"/>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3650</v>
      </c>
      <c r="E55" s="491"/>
      <c r="H55" s="4064" t="s">
        <v>4815</v>
      </c>
      <c r="I55" s="4065"/>
      <c r="J55" s="2458" t="s">
        <v>4816</v>
      </c>
      <c r="M55" s="1020">
        <v>3</v>
      </c>
      <c r="N55" s="166" t="s">
        <v>1985</v>
      </c>
      <c r="O55" s="1042">
        <f>IF(AND(O56="Yes", O57="Yes"),$M$55,0)</f>
        <v>0</v>
      </c>
      <c r="P55" s="1042">
        <f>IF(AND(P56="Yes", P57="Yes"),$M$55,0)</f>
        <v>0</v>
      </c>
    </row>
    <row r="56" spans="1:18" s="490" customFormat="1" ht="13.5" customHeight="1">
      <c r="A56" s="489"/>
      <c r="B56" s="1532" t="s">
        <v>1986</v>
      </c>
      <c r="C56" s="2456">
        <v>0.3</v>
      </c>
      <c r="D56" s="1119" t="s">
        <v>3651</v>
      </c>
      <c r="E56" s="491"/>
      <c r="F56" s="1008"/>
      <c r="H56" s="1500"/>
      <c r="I56" s="1501"/>
      <c r="J56" s="2457">
        <f>'Part VI-Revenues &amp; Expenses'!O65</f>
        <v>244</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3956</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0"/>
      <c r="B59" s="3601"/>
      <c r="C59" s="3601"/>
      <c r="D59" s="3601"/>
      <c r="E59" s="3601"/>
      <c r="F59" s="3601"/>
      <c r="G59" s="3601"/>
      <c r="H59" s="3601"/>
      <c r="I59" s="3601"/>
      <c r="J59" s="3601"/>
      <c r="K59" s="3601"/>
      <c r="L59" s="3601"/>
      <c r="M59" s="3601"/>
      <c r="N59" s="3601"/>
      <c r="O59" s="3601"/>
      <c r="P59" s="3602"/>
      <c r="Q59" s="509"/>
    </row>
    <row r="60" spans="1:18" ht="7.5" customHeight="1" thickBot="1"/>
    <row r="61" spans="1:18" s="43" customFormat="1" ht="12.6" customHeight="1" thickBot="1">
      <c r="A61" s="157" t="s">
        <v>742</v>
      </c>
      <c r="B61" s="108" t="s">
        <v>4096</v>
      </c>
      <c r="D61" s="41"/>
      <c r="I61" s="4090" t="s">
        <v>3769</v>
      </c>
      <c r="J61" s="4090"/>
      <c r="K61" s="4090"/>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9" t="s">
        <v>2718</v>
      </c>
      <c r="I64" s="4027" t="s">
        <v>4176</v>
      </c>
      <c r="J64" s="4027"/>
      <c r="K64" s="4027"/>
      <c r="L64" s="4027"/>
      <c r="M64" s="73">
        <v>10</v>
      </c>
      <c r="N64" s="194" t="s">
        <v>1983</v>
      </c>
      <c r="O64" s="598"/>
      <c r="P64" s="612"/>
      <c r="Q64" s="2549" t="str">
        <f>IF(OR($O64=$M64,$O64=0,$O64=""),"","*CHECK!*")</f>
        <v/>
      </c>
    </row>
    <row r="65" spans="1:21" s="105" customFormat="1" ht="12.6" customHeight="1">
      <c r="A65" s="142" t="s">
        <v>1985</v>
      </c>
      <c r="B65" s="184" t="s">
        <v>3843</v>
      </c>
      <c r="D65" s="1357"/>
      <c r="F65" s="2610"/>
      <c r="H65" s="969" t="s">
        <v>3985</v>
      </c>
      <c r="I65" s="4027"/>
      <c r="J65" s="4027"/>
      <c r="K65" s="4027"/>
      <c r="L65" s="4027"/>
      <c r="M65" s="2597" t="s">
        <v>1238</v>
      </c>
      <c r="N65" s="527" t="s">
        <v>1985</v>
      </c>
      <c r="O65" s="599"/>
      <c r="P65" s="613"/>
    </row>
    <row r="66" spans="1:21" s="43" customFormat="1" ht="11.25" customHeight="1" thickBot="1">
      <c r="A66" s="42"/>
      <c r="B66" s="1488" t="s">
        <v>3754</v>
      </c>
      <c r="C66" s="42"/>
      <c r="D66" s="48"/>
      <c r="E66" s="48"/>
      <c r="F66" s="48"/>
      <c r="G66" s="48"/>
      <c r="H66" s="36"/>
      <c r="I66" s="4089"/>
      <c r="J66" s="4089"/>
      <c r="K66" s="4089"/>
      <c r="L66" s="4089"/>
      <c r="M66" s="46"/>
      <c r="N66" s="62"/>
      <c r="O66" s="3"/>
      <c r="P66" s="1505"/>
    </row>
    <row r="67" spans="1:21" s="43" customFormat="1" ht="72" customHeight="1" thickTop="1" thickBot="1">
      <c r="A67" s="3931"/>
      <c r="B67" s="3932"/>
      <c r="C67" s="3932"/>
      <c r="D67" s="3932"/>
      <c r="E67" s="3932"/>
      <c r="F67" s="3932"/>
      <c r="G67" s="3932"/>
      <c r="H67" s="3932"/>
      <c r="I67" s="3932"/>
      <c r="J67" s="3932"/>
      <c r="K67" s="3932"/>
      <c r="L67" s="3932"/>
      <c r="M67" s="3932"/>
      <c r="N67" s="3932"/>
      <c r="O67" s="3932"/>
      <c r="P67" s="3933"/>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0"/>
      <c r="B69" s="3601"/>
      <c r="C69" s="3601"/>
      <c r="D69" s="3601"/>
      <c r="E69" s="3601"/>
      <c r="F69" s="3601"/>
      <c r="G69" s="3601"/>
      <c r="H69" s="3601"/>
      <c r="I69" s="3601"/>
      <c r="J69" s="3601"/>
      <c r="K69" s="3601"/>
      <c r="L69" s="3601"/>
      <c r="M69" s="3601"/>
      <c r="N69" s="3601"/>
      <c r="O69" s="3601"/>
      <c r="P69" s="3602"/>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2" t="s">
        <v>5020</v>
      </c>
      <c r="S71" s="4092"/>
      <c r="T71" s="4092"/>
      <c r="U71" s="4092"/>
    </row>
    <row r="72" spans="1:21" s="43" customFormat="1" ht="17.25" customHeight="1">
      <c r="A72" s="157"/>
      <c r="B72" s="114" t="s">
        <v>3959</v>
      </c>
      <c r="D72" s="41"/>
      <c r="H72" s="184" t="s">
        <v>2794</v>
      </c>
      <c r="I72" s="588"/>
      <c r="J72" s="586" t="str">
        <f>'Part I-Project Information'!$H$105</f>
        <v>N/A - 4% Bond</v>
      </c>
      <c r="K72" s="48"/>
      <c r="M72" s="1503"/>
      <c r="N72" s="527"/>
      <c r="O72" s="1172" t="s">
        <v>3595</v>
      </c>
      <c r="P72" s="1172" t="s">
        <v>3596</v>
      </c>
      <c r="Q72" s="112"/>
      <c r="R72" s="4092"/>
      <c r="S72" s="4092"/>
      <c r="T72" s="4092"/>
      <c r="U72" s="4092"/>
    </row>
    <row r="73" spans="1:21" s="43" customFormat="1" ht="11.25" customHeight="1">
      <c r="A73" s="157"/>
      <c r="B73" s="432" t="s">
        <v>1986</v>
      </c>
      <c r="C73" s="36" t="s">
        <v>4823</v>
      </c>
      <c r="D73" s="1357"/>
      <c r="E73" s="105"/>
      <c r="F73" s="105"/>
      <c r="G73" s="105"/>
      <c r="H73" s="45"/>
      <c r="I73" s="49"/>
      <c r="J73" s="48"/>
      <c r="K73" s="48"/>
      <c r="L73" s="105"/>
      <c r="M73" s="2433"/>
      <c r="N73" s="527"/>
      <c r="O73" s="238"/>
      <c r="P73" s="617"/>
      <c r="Q73" s="112"/>
      <c r="R73" s="4092"/>
      <c r="S73" s="4092"/>
      <c r="T73" s="4092"/>
      <c r="U73" s="4092"/>
    </row>
    <row r="74" spans="1:21" s="43" customFormat="1" ht="11.25" customHeight="1">
      <c r="A74" s="157"/>
      <c r="B74" s="432" t="s">
        <v>1988</v>
      </c>
      <c r="C74" s="36" t="s">
        <v>4824</v>
      </c>
      <c r="D74" s="1357"/>
      <c r="E74" s="105"/>
      <c r="F74" s="105"/>
      <c r="G74" s="105"/>
      <c r="H74" s="45"/>
      <c r="I74" s="49"/>
      <c r="J74" s="48"/>
      <c r="K74" s="48"/>
      <c r="L74" s="105"/>
      <c r="M74" s="105"/>
      <c r="N74" s="527"/>
      <c r="O74" s="422"/>
      <c r="P74" s="618"/>
      <c r="Q74" s="112"/>
      <c r="R74" s="4092"/>
      <c r="S74" s="4092"/>
      <c r="T74" s="4092"/>
      <c r="U74" s="4092"/>
    </row>
    <row r="75" spans="1:21" s="43" customFormat="1" ht="11.25" customHeight="1">
      <c r="A75" s="157"/>
      <c r="B75" s="432" t="s">
        <v>2534</v>
      </c>
      <c r="C75" s="36" t="s">
        <v>4825</v>
      </c>
      <c r="D75" s="1357"/>
      <c r="E75" s="105"/>
      <c r="F75" s="105"/>
      <c r="G75" s="105"/>
      <c r="H75" s="45"/>
      <c r="I75" s="49"/>
      <c r="J75" s="48"/>
      <c r="K75" s="48"/>
      <c r="L75" s="105"/>
      <c r="M75" s="105"/>
      <c r="N75" s="527"/>
      <c r="O75" s="422"/>
      <c r="P75" s="618"/>
      <c r="Q75" s="112"/>
      <c r="R75" s="4092"/>
      <c r="S75" s="4092"/>
      <c r="T75" s="4092"/>
      <c r="U75" s="4092"/>
    </row>
    <row r="76" spans="1:21" s="43" customFormat="1" ht="11.25" customHeight="1">
      <c r="A76" s="157"/>
      <c r="B76" s="432" t="s">
        <v>1224</v>
      </c>
      <c r="C76" s="36" t="s">
        <v>4818</v>
      </c>
      <c r="D76" s="1357"/>
      <c r="E76" s="105"/>
      <c r="F76" s="105"/>
      <c r="G76" s="105"/>
      <c r="H76" s="45"/>
      <c r="I76" s="49"/>
      <c r="J76" s="48"/>
      <c r="K76" s="48"/>
      <c r="L76" s="105"/>
      <c r="M76" s="105"/>
      <c r="N76" s="527"/>
      <c r="O76" s="239"/>
      <c r="P76" s="619"/>
      <c r="Q76" s="112"/>
      <c r="R76" s="4092"/>
      <c r="S76" s="4092"/>
      <c r="T76" s="4092"/>
      <c r="U76" s="4092"/>
    </row>
    <row r="77" spans="1:21" s="43" customFormat="1" ht="3" customHeight="1">
      <c r="A77" s="157"/>
      <c r="B77" s="108"/>
      <c r="D77" s="41"/>
      <c r="H77" s="45"/>
      <c r="I77" s="49"/>
      <c r="J77" s="48"/>
      <c r="K77" s="48"/>
      <c r="M77" s="1503"/>
      <c r="N77" s="527"/>
      <c r="O77" s="3"/>
      <c r="P77" s="3"/>
      <c r="Q77" s="112"/>
      <c r="R77" s="4092"/>
      <c r="S77" s="4092"/>
      <c r="T77" s="4092"/>
      <c r="U77" s="4092"/>
    </row>
    <row r="78" spans="1:21" s="43" customFormat="1" ht="13.5" customHeight="1">
      <c r="A78" s="157"/>
      <c r="B78" s="114" t="s">
        <v>3965</v>
      </c>
      <c r="D78" s="41"/>
      <c r="F78" s="3888" t="s">
        <v>3716</v>
      </c>
      <c r="G78" s="3888"/>
      <c r="H78" s="3888"/>
      <c r="I78" s="3888"/>
      <c r="J78" s="3888" t="s">
        <v>3717</v>
      </c>
      <c r="K78" s="3888"/>
      <c r="L78" s="3888"/>
      <c r="M78" s="3888"/>
      <c r="N78" s="527"/>
      <c r="O78" s="4083" t="s">
        <v>5019</v>
      </c>
      <c r="P78" s="4084"/>
      <c r="Q78" s="112"/>
      <c r="R78" s="4092"/>
      <c r="S78" s="4092"/>
      <c r="T78" s="4092"/>
      <c r="U78" s="4092"/>
    </row>
    <row r="79" spans="1:21" s="43" customFormat="1" ht="12.75" customHeight="1">
      <c r="A79" s="157"/>
      <c r="C79" s="557" t="s">
        <v>3964</v>
      </c>
      <c r="D79" s="712"/>
      <c r="E79" s="300"/>
      <c r="F79" s="4085"/>
      <c r="G79" s="4086"/>
      <c r="H79" s="4087"/>
      <c r="I79" s="4088"/>
      <c r="J79" s="4085"/>
      <c r="K79" s="4086"/>
      <c r="L79" s="4087"/>
      <c r="M79" s="4088"/>
      <c r="N79" s="527"/>
      <c r="Q79" s="112"/>
      <c r="R79" s="4092"/>
      <c r="S79" s="4092"/>
      <c r="T79" s="4092"/>
      <c r="U79" s="4092"/>
    </row>
    <row r="80" spans="1:21" s="43" customFormat="1" ht="12.75" customHeight="1">
      <c r="A80" s="4023" t="s">
        <v>4142</v>
      </c>
      <c r="B80" s="4023"/>
      <c r="D80" s="1438" t="s">
        <v>3966</v>
      </c>
      <c r="E80" s="300"/>
      <c r="F80" s="3889"/>
      <c r="G80" s="3890"/>
      <c r="H80" s="3891"/>
      <c r="I80" s="3892"/>
      <c r="J80" s="3889"/>
      <c r="K80" s="3890"/>
      <c r="L80" s="3891"/>
      <c r="M80" s="3892"/>
      <c r="N80" s="527"/>
      <c r="O80" s="1445"/>
      <c r="P80" s="1446"/>
      <c r="Q80" s="112"/>
      <c r="R80" s="4092"/>
      <c r="S80" s="4092"/>
      <c r="T80" s="4092"/>
      <c r="U80" s="4092"/>
    </row>
    <row r="81" spans="1:21" s="43" customFormat="1" ht="12.75" customHeight="1">
      <c r="A81" s="4023"/>
      <c r="B81" s="4023"/>
      <c r="C81" s="557" t="s">
        <v>4094</v>
      </c>
      <c r="D81" s="712"/>
      <c r="E81" s="300"/>
      <c r="F81" s="4100"/>
      <c r="G81" s="4101"/>
      <c r="H81" s="4106"/>
      <c r="I81" s="4107"/>
      <c r="J81" s="4100"/>
      <c r="K81" s="4101"/>
      <c r="L81" s="4106"/>
      <c r="M81" s="4107"/>
      <c r="N81" s="527"/>
      <c r="O81" s="527"/>
      <c r="P81" s="527"/>
      <c r="Q81" s="112"/>
      <c r="R81" s="4092"/>
      <c r="S81" s="4092"/>
      <c r="T81" s="4092"/>
      <c r="U81" s="4092"/>
    </row>
    <row r="82" spans="1:21" s="43" customFormat="1" ht="12.75" customHeight="1">
      <c r="A82" s="4023"/>
      <c r="B82" s="4023"/>
      <c r="E82" s="2406" t="s">
        <v>4093</v>
      </c>
      <c r="F82" s="4104"/>
      <c r="G82" s="4105"/>
      <c r="H82" s="4066"/>
      <c r="I82" s="4067"/>
      <c r="J82" s="4104"/>
      <c r="K82" s="4105"/>
      <c r="L82" s="4066"/>
      <c r="M82" s="4067"/>
      <c r="N82" s="527"/>
      <c r="O82" s="1445"/>
      <c r="P82" s="1446"/>
      <c r="Q82" s="112"/>
      <c r="R82" s="4092"/>
      <c r="S82" s="4092"/>
      <c r="T82" s="4092"/>
      <c r="U82" s="4092"/>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3755</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c r="B87" s="504" t="s">
        <v>1986</v>
      </c>
      <c r="C87" s="3662" t="s">
        <v>4819</v>
      </c>
      <c r="D87" s="3662"/>
      <c r="E87" s="3662"/>
      <c r="F87" s="3662"/>
      <c r="G87" s="3662"/>
      <c r="H87" s="3662"/>
      <c r="I87" s="3893" t="s">
        <v>4091</v>
      </c>
      <c r="J87" s="3894"/>
      <c r="K87" s="3894"/>
      <c r="L87" s="3895"/>
      <c r="M87" s="583">
        <v>5</v>
      </c>
      <c r="N87" s="543" t="s">
        <v>1986</v>
      </c>
      <c r="O87" s="981"/>
      <c r="P87" s="980"/>
      <c r="Q87" s="2549" t="str">
        <f>IF(OR($O87=$M87,$O87=0,$O87=""),"","*CHECK!*")</f>
        <v/>
      </c>
      <c r="R87" s="1141" t="s">
        <v>2706</v>
      </c>
    </row>
    <row r="88" spans="1:21" s="472" customFormat="1" ht="12" customHeight="1">
      <c r="A88" s="672" t="s">
        <v>1353</v>
      </c>
      <c r="B88" s="504" t="s">
        <v>1988</v>
      </c>
      <c r="C88" s="450" t="s">
        <v>3960</v>
      </c>
      <c r="D88" s="450"/>
      <c r="E88" s="450"/>
      <c r="F88" s="450"/>
      <c r="G88" s="450"/>
      <c r="H88" s="2597" t="str">
        <f>IF(AND(O88&gt;0,O87&gt;0),"Pick A1 or A2!","")</f>
        <v/>
      </c>
      <c r="I88" s="3896"/>
      <c r="J88" s="3897"/>
      <c r="K88" s="3897"/>
      <c r="L88" s="3898"/>
      <c r="M88" s="73">
        <v>4</v>
      </c>
      <c r="N88" s="499" t="s">
        <v>1988</v>
      </c>
      <c r="O88" s="598"/>
      <c r="P88" s="612"/>
      <c r="Q88" s="2549" t="str">
        <f>IF(OR($O88=$M88,$O88=0,$O88=""),"","*CHECK!*")</f>
        <v/>
      </c>
      <c r="R88" s="1141" t="s">
        <v>2706</v>
      </c>
    </row>
    <row r="89" spans="1:21" s="472" customFormat="1" ht="12" customHeight="1">
      <c r="B89" s="504" t="s">
        <v>2534</v>
      </c>
      <c r="C89" s="450" t="s">
        <v>3748</v>
      </c>
      <c r="D89" s="450"/>
      <c r="E89" s="450"/>
      <c r="F89" s="450"/>
      <c r="I89" s="3896"/>
      <c r="J89" s="3897"/>
      <c r="K89" s="3897"/>
      <c r="L89" s="3898"/>
      <c r="M89" s="73">
        <v>1</v>
      </c>
      <c r="N89" s="499" t="s">
        <v>2534</v>
      </c>
      <c r="O89" s="599"/>
      <c r="P89" s="613"/>
      <c r="Q89" s="2549" t="str">
        <f>IF(OR($O89=$M89,$O89=0,$O89=""),"","*CHECK!*")</f>
        <v/>
      </c>
      <c r="R89" s="1141" t="s">
        <v>2706</v>
      </c>
    </row>
    <row r="90" spans="1:21" s="472" customFormat="1" ht="12" customHeight="1">
      <c r="B90" s="504"/>
      <c r="C90" s="969" t="s">
        <v>4092</v>
      </c>
      <c r="D90" s="450"/>
      <c r="E90" s="450"/>
      <c r="F90" s="2462" t="str">
        <f>'Part I-Project Information'!$H$82</f>
        <v>Family</v>
      </c>
      <c r="G90" s="969"/>
      <c r="H90" s="2462"/>
      <c r="I90" s="3896"/>
      <c r="J90" s="3897"/>
      <c r="K90" s="3897"/>
      <c r="L90" s="3898"/>
      <c r="M90" s="105"/>
      <c r="N90" s="105"/>
      <c r="O90" s="105"/>
      <c r="P90" s="105"/>
      <c r="Q90" s="1179"/>
      <c r="R90" s="1395"/>
    </row>
    <row r="91" spans="1:21" s="472" customFormat="1" ht="12" customHeight="1">
      <c r="B91" s="504"/>
      <c r="C91" s="969"/>
      <c r="D91" s="450"/>
      <c r="E91" s="450"/>
      <c r="F91" s="2462"/>
      <c r="G91" s="969"/>
      <c r="H91" s="2462"/>
      <c r="I91" s="3899"/>
      <c r="J91" s="3900"/>
      <c r="K91" s="3900"/>
      <c r="L91" s="3901"/>
      <c r="M91" s="105"/>
      <c r="N91" s="105"/>
      <c r="O91" s="105"/>
      <c r="P91" s="105"/>
      <c r="Q91" s="1179"/>
      <c r="R91" s="1395"/>
    </row>
    <row r="92" spans="1:21" s="472" customFormat="1" ht="12" customHeight="1">
      <c r="A92" s="147" t="s">
        <v>1985</v>
      </c>
      <c r="B92" s="1394" t="s">
        <v>3749</v>
      </c>
      <c r="C92" s="736"/>
      <c r="D92" s="736"/>
      <c r="E92" s="736"/>
      <c r="F92" s="1354" t="s">
        <v>3855</v>
      </c>
      <c r="I92" s="4108" t="s">
        <v>3745</v>
      </c>
      <c r="J92" s="4109"/>
      <c r="K92" s="4109"/>
      <c r="L92" s="4068" t="s">
        <v>3746</v>
      </c>
      <c r="M92" s="2596">
        <v>3</v>
      </c>
      <c r="N92" s="527" t="s">
        <v>1985</v>
      </c>
      <c r="O92" s="1177">
        <f>IF($J$72="Flexible",MIN($M92,O95+O96+O97),0)</f>
        <v>0</v>
      </c>
      <c r="P92" s="1177">
        <f>IF($J$72="Flexible",MIN($M92,P95+P96+P97),0)</f>
        <v>0</v>
      </c>
      <c r="Q92" s="584"/>
      <c r="R92" s="448"/>
    </row>
    <row r="93" spans="1:21" s="43" customFormat="1" ht="11.25" customHeight="1">
      <c r="A93" s="157"/>
      <c r="B93" s="446" t="s">
        <v>3780</v>
      </c>
      <c r="C93" s="192" t="s">
        <v>4821</v>
      </c>
      <c r="D93" s="1357"/>
      <c r="E93" s="105"/>
      <c r="F93" s="105"/>
      <c r="G93" s="105"/>
      <c r="H93" s="45"/>
      <c r="I93" s="4110"/>
      <c r="J93" s="4111"/>
      <c r="K93" s="4111"/>
      <c r="L93" s="4069"/>
      <c r="M93" s="105"/>
      <c r="N93" s="446" t="s">
        <v>3780</v>
      </c>
      <c r="O93" s="1174"/>
      <c r="P93" s="1084"/>
      <c r="Q93" s="112"/>
      <c r="R93" s="448"/>
      <c r="S93" s="472"/>
      <c r="T93" s="472"/>
      <c r="U93" s="472"/>
    </row>
    <row r="94" spans="1:21" s="43" customFormat="1" ht="11.25" customHeight="1">
      <c r="A94" s="157"/>
      <c r="B94" s="446" t="s">
        <v>3781</v>
      </c>
      <c r="C94" s="192" t="s">
        <v>4820</v>
      </c>
      <c r="D94" s="1357"/>
      <c r="E94" s="105"/>
      <c r="F94" s="105"/>
      <c r="G94" s="105"/>
      <c r="H94" s="45"/>
      <c r="I94" s="4079" t="s">
        <v>4822</v>
      </c>
      <c r="J94" s="4080"/>
      <c r="K94" s="4080"/>
      <c r="L94" s="4081"/>
      <c r="M94" s="105"/>
      <c r="N94" s="446" t="s">
        <v>3781</v>
      </c>
      <c r="O94" s="239"/>
      <c r="P94" s="619"/>
      <c r="Q94" s="112"/>
      <c r="R94" s="448"/>
      <c r="S94" s="472"/>
      <c r="T94" s="472"/>
      <c r="U94" s="472"/>
    </row>
    <row r="95" spans="1:21" s="472" customFormat="1" ht="12" customHeight="1">
      <c r="A95" s="142"/>
      <c r="B95" s="2612" t="s">
        <v>1986</v>
      </c>
      <c r="C95" s="3810" t="s">
        <v>3961</v>
      </c>
      <c r="D95" s="3810"/>
      <c r="E95" s="3810"/>
      <c r="F95" s="3810"/>
      <c r="G95" s="3810"/>
      <c r="H95" s="4073"/>
      <c r="I95" s="3958"/>
      <c r="J95" s="3959"/>
      <c r="K95" s="3959"/>
      <c r="L95" s="3960"/>
      <c r="M95" s="73">
        <v>3</v>
      </c>
      <c r="N95" s="499" t="s">
        <v>1986</v>
      </c>
      <c r="O95" s="598"/>
      <c r="P95" s="611"/>
      <c r="Q95" s="1179" t="str">
        <f>IF(OR($O95=$M95,$O95=0,$O95=""),"","*CHECK!*")</f>
        <v/>
      </c>
      <c r="R95" s="1395" t="s">
        <v>2706</v>
      </c>
    </row>
    <row r="96" spans="1:21" s="43" customFormat="1" ht="12" customHeight="1">
      <c r="A96" s="672" t="s">
        <v>1353</v>
      </c>
      <c r="B96" s="2612" t="s">
        <v>1988</v>
      </c>
      <c r="C96" s="3810" t="s">
        <v>3962</v>
      </c>
      <c r="D96" s="3810"/>
      <c r="E96" s="3810"/>
      <c r="F96" s="3810"/>
      <c r="G96" s="3810"/>
      <c r="H96" s="4073"/>
      <c r="I96" s="4079" t="s">
        <v>3597</v>
      </c>
      <c r="J96" s="4080"/>
      <c r="K96" s="4080"/>
      <c r="L96" s="4081"/>
      <c r="M96" s="73">
        <v>2</v>
      </c>
      <c r="N96" s="499" t="s">
        <v>1988</v>
      </c>
      <c r="O96" s="598"/>
      <c r="P96" s="612"/>
      <c r="Q96" s="1179" t="str">
        <f>IF(OR($O96=$M96,$O96=0,$O96=""),"","*CHECK!*")</f>
        <v/>
      </c>
      <c r="R96" s="1395" t="s">
        <v>2706</v>
      </c>
    </row>
    <row r="97" spans="1:18" s="43" customFormat="1" ht="14.25" customHeight="1">
      <c r="A97" s="672" t="s">
        <v>1353</v>
      </c>
      <c r="B97" s="2612" t="s">
        <v>2534</v>
      </c>
      <c r="C97" s="3810" t="s">
        <v>3963</v>
      </c>
      <c r="D97" s="3810"/>
      <c r="E97" s="3810"/>
      <c r="F97" s="3810"/>
      <c r="G97" s="3810"/>
      <c r="H97" s="4073"/>
      <c r="I97" s="3958"/>
      <c r="J97" s="3959"/>
      <c r="K97" s="3959"/>
      <c r="L97" s="3960"/>
      <c r="M97" s="73">
        <v>1</v>
      </c>
      <c r="N97" s="499" t="s">
        <v>2534</v>
      </c>
      <c r="O97" s="599"/>
      <c r="P97" s="613"/>
      <c r="Q97" s="1179" t="str">
        <f>IF(OR($O97=$M97,$O97=0,$O97=""),"","*CHECK!*")</f>
        <v/>
      </c>
      <c r="R97" s="1395" t="s">
        <v>2706</v>
      </c>
    </row>
    <row r="98" spans="1:18" s="43" customFormat="1" ht="14.25" customHeight="1">
      <c r="A98" s="1355"/>
      <c r="B98" s="2441"/>
      <c r="C98" s="2497"/>
      <c r="D98" s="2497"/>
      <c r="E98" s="2497"/>
      <c r="F98" s="3786" t="str">
        <f>IF(OR(AND(O95&gt;0,O96&gt;0,O97&gt;0),AND(O95&gt;0,O96&gt;0),AND(O95&gt;0,O97&gt;0),AND(O96&gt;0,O97&gt;0)),"Choose only one option: B1 or B2 or B3!","")</f>
        <v/>
      </c>
      <c r="G98" s="3786"/>
      <c r="H98" s="4078"/>
      <c r="I98" s="4079" t="s">
        <v>3598</v>
      </c>
      <c r="J98" s="4080"/>
      <c r="K98" s="4080"/>
      <c r="L98" s="4081"/>
      <c r="M98" s="105"/>
      <c r="N98" s="105"/>
      <c r="O98" s="105"/>
      <c r="P98" s="105"/>
      <c r="Q98" s="1179"/>
      <c r="R98" s="1395"/>
    </row>
    <row r="99" spans="1:18" s="43" customFormat="1" ht="12.6" customHeight="1">
      <c r="A99" s="587" t="s">
        <v>2787</v>
      </c>
      <c r="B99" s="184"/>
      <c r="E99" s="41"/>
      <c r="I99" s="3961"/>
      <c r="J99" s="3962"/>
      <c r="K99" s="3962"/>
      <c r="L99" s="3963"/>
      <c r="M99" s="73"/>
      <c r="N99" s="73"/>
      <c r="O99" s="73"/>
      <c r="P99" s="73"/>
      <c r="Q99" s="434"/>
      <c r="R99" s="434"/>
    </row>
    <row r="100" spans="1:18" s="105" customFormat="1" ht="12" customHeight="1">
      <c r="A100" s="142"/>
      <c r="B100" s="504" t="s">
        <v>1224</v>
      </c>
      <c r="C100" s="3857" t="s">
        <v>4930</v>
      </c>
      <c r="D100" s="3857"/>
      <c r="E100" s="3857"/>
      <c r="F100" s="3857"/>
      <c r="G100" s="3857"/>
      <c r="H100" s="3857"/>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57"/>
      <c r="D101" s="3857"/>
      <c r="E101" s="3857"/>
      <c r="F101" s="3857"/>
      <c r="G101" s="3857"/>
      <c r="H101" s="3857"/>
      <c r="I101" s="184"/>
      <c r="J101" s="184"/>
      <c r="K101" s="184"/>
      <c r="L101" s="184"/>
      <c r="M101" s="184"/>
      <c r="N101" s="184"/>
      <c r="O101" s="184"/>
      <c r="P101" s="184"/>
      <c r="Q101" s="1179"/>
      <c r="R101" s="1395"/>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0"/>
      <c r="B104" s="3601"/>
      <c r="C104" s="3601"/>
      <c r="D104" s="3601"/>
      <c r="E104" s="3601"/>
      <c r="F104" s="3601"/>
      <c r="G104" s="3601"/>
      <c r="H104" s="3601"/>
      <c r="I104" s="3601"/>
      <c r="J104" s="3601"/>
      <c r="K104" s="3601"/>
      <c r="L104" s="3601"/>
      <c r="M104" s="3601"/>
      <c r="N104" s="3601"/>
      <c r="O104" s="3601"/>
      <c r="P104" s="3602"/>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3983</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3984</v>
      </c>
      <c r="C109" s="94"/>
      <c r="D109" s="1326"/>
      <c r="E109" s="52" t="s">
        <v>4098</v>
      </c>
      <c r="G109" s="117"/>
      <c r="I109" s="527" t="s">
        <v>4092</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4616</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5022</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5023</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4826</v>
      </c>
      <c r="E113" s="4097"/>
      <c r="F113" s="4098"/>
      <c r="G113" s="4098"/>
      <c r="H113" s="4098"/>
      <c r="I113" s="4098"/>
      <c r="J113" s="4098"/>
      <c r="K113" s="4098"/>
      <c r="L113" s="4098"/>
      <c r="M113" s="4098"/>
      <c r="N113" s="4098"/>
      <c r="O113" s="4098"/>
      <c r="P113" s="4099"/>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3987</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3988</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3989</v>
      </c>
      <c r="D117" s="192" t="s">
        <v>4828</v>
      </c>
      <c r="F117" s="52"/>
      <c r="G117" s="52"/>
      <c r="H117" s="4071"/>
      <c r="I117" s="4071"/>
      <c r="J117" s="4071"/>
      <c r="K117" s="4071"/>
      <c r="L117" s="4071"/>
      <c r="M117" s="4071"/>
      <c r="N117" s="4071"/>
      <c r="O117" s="4071"/>
      <c r="P117" s="4071"/>
      <c r="Q117" s="1285"/>
      <c r="R117" s="1285"/>
      <c r="S117" s="1285"/>
      <c r="T117" s="1285"/>
    </row>
    <row r="118" spans="1:21" s="105" customFormat="1" ht="10.5" customHeight="1">
      <c r="A118" s="198"/>
      <c r="B118" s="52"/>
      <c r="C118" s="36" t="s">
        <v>3991</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c r="A119" s="64"/>
      <c r="B119" s="432"/>
      <c r="C119" s="36" t="s">
        <v>3992</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c r="A120" s="64"/>
      <c r="C120" s="55" t="s">
        <v>4126</v>
      </c>
      <c r="D120" s="478"/>
      <c r="E120" s="52"/>
      <c r="F120" s="52"/>
      <c r="G120" s="52"/>
      <c r="H120" s="478"/>
      <c r="J120" s="478"/>
      <c r="L120" s="3669" t="s">
        <v>3817</v>
      </c>
      <c r="M120" s="3669"/>
      <c r="N120" s="3669"/>
      <c r="O120" s="4082" t="s">
        <v>3816</v>
      </c>
      <c r="P120" s="4082"/>
      <c r="Q120" s="52"/>
    </row>
    <row r="121" spans="1:21" s="55" customFormat="1" ht="10.5" customHeight="1">
      <c r="A121" s="64"/>
      <c r="B121" s="433"/>
      <c r="C121" s="3964"/>
      <c r="D121" s="3965"/>
      <c r="E121" s="3965"/>
      <c r="F121" s="3965"/>
      <c r="G121" s="3965"/>
      <c r="H121" s="3965"/>
      <c r="I121" s="3965"/>
      <c r="J121" s="3965"/>
      <c r="K121" s="3966"/>
      <c r="L121" s="4095" t="s">
        <v>3700</v>
      </c>
      <c r="M121" s="4095"/>
      <c r="N121" s="4095"/>
      <c r="O121" s="4096"/>
      <c r="P121" s="4096"/>
      <c r="Q121" s="1346" t="str">
        <f>IF(O121&gt;15, "Too much!","")</f>
        <v/>
      </c>
    </row>
    <row r="122" spans="1:21" s="55" customFormat="1" ht="10.5" customHeight="1">
      <c r="A122" s="64"/>
      <c r="B122" s="447"/>
      <c r="C122" s="3967"/>
      <c r="D122" s="3968"/>
      <c r="E122" s="3968"/>
      <c r="F122" s="3968"/>
      <c r="G122" s="3968"/>
      <c r="H122" s="3968"/>
      <c r="I122" s="3968"/>
      <c r="J122" s="3968"/>
      <c r="K122" s="3969"/>
      <c r="L122" s="4093" t="s">
        <v>3700</v>
      </c>
      <c r="M122" s="4093"/>
      <c r="N122" s="4093"/>
      <c r="O122" s="4070"/>
      <c r="P122" s="4070"/>
      <c r="Q122" s="1346" t="str">
        <f>IF(O122&gt;15, "Too much!","")</f>
        <v/>
      </c>
    </row>
    <row r="123" spans="1:21" s="55" customFormat="1" ht="10.5" customHeight="1">
      <c r="A123" s="64"/>
      <c r="B123" s="433"/>
      <c r="C123" s="3967"/>
      <c r="D123" s="3968"/>
      <c r="E123" s="3968"/>
      <c r="F123" s="3968"/>
      <c r="G123" s="3968"/>
      <c r="H123" s="3968"/>
      <c r="I123" s="3968"/>
      <c r="J123" s="3968"/>
      <c r="K123" s="3969"/>
      <c r="L123" s="4093" t="s">
        <v>3700</v>
      </c>
      <c r="M123" s="4093"/>
      <c r="N123" s="4093"/>
      <c r="O123" s="4070"/>
      <c r="P123" s="4070"/>
      <c r="Q123" s="1346" t="str">
        <f>IF(O123&gt;15, "Too much!","")</f>
        <v/>
      </c>
    </row>
    <row r="124" spans="1:21" s="55" customFormat="1" ht="10.5" customHeight="1">
      <c r="A124" s="64"/>
      <c r="B124" s="446"/>
      <c r="C124" s="3970"/>
      <c r="D124" s="3971"/>
      <c r="E124" s="3971"/>
      <c r="F124" s="3971"/>
      <c r="G124" s="3971"/>
      <c r="H124" s="3971"/>
      <c r="I124" s="3971"/>
      <c r="J124" s="3971"/>
      <c r="K124" s="3972"/>
      <c r="L124" s="4074" t="s">
        <v>3700</v>
      </c>
      <c r="M124" s="4074"/>
      <c r="N124" s="4074"/>
      <c r="O124" s="4094"/>
      <c r="P124" s="4094"/>
      <c r="Q124" s="1346" t="str">
        <f>IF(O124&gt;15, "Too much!","")</f>
        <v/>
      </c>
    </row>
    <row r="125" spans="1:21" s="105" customFormat="1" ht="10.5" customHeight="1">
      <c r="B125" s="1012"/>
      <c r="C125" s="52" t="s">
        <v>3990</v>
      </c>
      <c r="D125" s="36" t="s">
        <v>3993</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8"/>
      <c r="N127" s="446" t="s">
        <v>3782</v>
      </c>
      <c r="Q127" s="52"/>
      <c r="R127" s="55"/>
      <c r="S127" s="55"/>
      <c r="T127" s="55"/>
      <c r="U127" s="55"/>
    </row>
    <row r="128" spans="1:21" s="55" customFormat="1" ht="10.5" customHeight="1">
      <c r="A128" s="64"/>
      <c r="B128" s="64"/>
      <c r="D128" s="64"/>
      <c r="E128" s="1021" t="s">
        <v>4158</v>
      </c>
      <c r="F128" s="64"/>
      <c r="L128" s="64"/>
      <c r="M128" s="64"/>
      <c r="N128" s="64"/>
      <c r="O128" s="238"/>
      <c r="P128" s="617"/>
      <c r="Q128" s="52"/>
    </row>
    <row r="129" spans="1:21" s="55" customFormat="1" ht="10.5" customHeight="1">
      <c r="A129" s="64"/>
      <c r="B129" s="64"/>
      <c r="D129" s="64"/>
      <c r="E129" s="1021" t="s">
        <v>4481</v>
      </c>
      <c r="F129" s="64"/>
      <c r="L129" s="64"/>
      <c r="M129" s="64"/>
      <c r="N129" s="64"/>
      <c r="O129" s="422"/>
      <c r="P129" s="618"/>
      <c r="Q129" s="52"/>
    </row>
    <row r="130" spans="1:21" s="55" customFormat="1" ht="10.5" customHeight="1">
      <c r="A130" s="64"/>
      <c r="B130" s="64"/>
      <c r="D130" s="64"/>
      <c r="E130" s="1021" t="s">
        <v>4160</v>
      </c>
      <c r="F130" s="64"/>
      <c r="L130" s="64"/>
      <c r="M130" s="64"/>
      <c r="N130" s="64"/>
      <c r="O130" s="422"/>
      <c r="P130" s="618"/>
      <c r="Q130" s="52"/>
    </row>
    <row r="131" spans="1:21" s="55" customFormat="1" ht="10.5" customHeight="1">
      <c r="A131" s="64"/>
      <c r="B131" s="64"/>
      <c r="D131" s="64"/>
      <c r="E131" s="1021" t="s">
        <v>4613</v>
      </c>
      <c r="F131" s="64"/>
      <c r="I131" s="1021"/>
      <c r="L131" s="64"/>
      <c r="M131" s="64"/>
      <c r="N131" s="64"/>
      <c r="O131" s="2275"/>
      <c r="P131" s="1035"/>
      <c r="Q131" s="52"/>
    </row>
    <row r="132" spans="1:21" s="55" customFormat="1" ht="10.5" customHeight="1">
      <c r="A132" s="64"/>
      <c r="B132" s="64"/>
      <c r="D132" s="64"/>
      <c r="E132" s="52" t="s">
        <v>4614</v>
      </c>
      <c r="F132" s="64"/>
      <c r="I132" s="1021"/>
      <c r="L132" s="64"/>
      <c r="M132" s="64"/>
      <c r="N132" s="64"/>
      <c r="O132" s="2275"/>
      <c r="P132" s="1035"/>
      <c r="Q132" s="52"/>
    </row>
    <row r="133" spans="1:21" s="55" customFormat="1" ht="10.5" customHeight="1">
      <c r="A133" s="64"/>
      <c r="B133" s="64"/>
      <c r="D133" s="64"/>
      <c r="E133" s="1021" t="s">
        <v>4615</v>
      </c>
      <c r="F133" s="64"/>
      <c r="I133" s="1021"/>
      <c r="L133" s="64"/>
      <c r="M133" s="64"/>
      <c r="N133" s="64"/>
      <c r="O133" s="2275"/>
      <c r="P133" s="1035"/>
      <c r="Q133" s="52"/>
    </row>
    <row r="134" spans="1:21" s="55" customFormat="1" ht="10.5" customHeight="1">
      <c r="A134" s="64"/>
      <c r="B134" s="64"/>
      <c r="D134" s="64"/>
      <c r="E134" s="4075" t="s">
        <v>4164</v>
      </c>
      <c r="F134" s="4076"/>
      <c r="G134" s="4076"/>
      <c r="H134" s="4076"/>
      <c r="I134" s="4076"/>
      <c r="J134" s="4076"/>
      <c r="K134" s="4076"/>
      <c r="L134" s="4077"/>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3995</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599" t="s">
        <v>4830</v>
      </c>
      <c r="D139" s="3599"/>
      <c r="E139" s="3599"/>
      <c r="F139" s="1514"/>
      <c r="G139" s="1021" t="s">
        <v>3996</v>
      </c>
      <c r="I139" s="1514"/>
      <c r="J139" s="1514"/>
      <c r="K139" s="1514"/>
      <c r="L139" s="1514"/>
      <c r="M139" s="65" t="s">
        <v>2435</v>
      </c>
      <c r="N139" s="446" t="s">
        <v>3780</v>
      </c>
      <c r="O139" s="1174"/>
      <c r="P139" s="1084"/>
      <c r="Q139" s="52"/>
      <c r="R139" s="1285"/>
      <c r="S139" s="1285"/>
      <c r="T139" s="1285"/>
      <c r="U139" s="1285"/>
    </row>
    <row r="140" spans="1:21" s="36" customFormat="1" ht="10.5" customHeight="1">
      <c r="A140" s="64"/>
      <c r="B140" s="432"/>
      <c r="C140" s="3599"/>
      <c r="D140" s="3599"/>
      <c r="E140" s="3599"/>
      <c r="F140" s="1514"/>
      <c r="G140" s="1021" t="s">
        <v>3997</v>
      </c>
      <c r="I140" s="1514"/>
      <c r="J140" s="1514"/>
      <c r="K140" s="1514"/>
      <c r="L140" s="1514"/>
      <c r="M140" s="1508"/>
      <c r="N140" s="1188" t="s">
        <v>3781</v>
      </c>
      <c r="O140" s="422"/>
      <c r="P140" s="618"/>
      <c r="Q140" s="52"/>
      <c r="R140" s="1285"/>
      <c r="S140" s="1285"/>
      <c r="T140" s="1285"/>
      <c r="U140" s="1285"/>
    </row>
    <row r="141" spans="1:21" s="36" customFormat="1" ht="10.5" customHeight="1">
      <c r="A141" s="65"/>
      <c r="B141" s="432"/>
      <c r="C141" s="3599"/>
      <c r="D141" s="3599"/>
      <c r="E141" s="3599"/>
      <c r="F141" s="1514"/>
      <c r="G141" s="1021" t="s">
        <v>3998</v>
      </c>
      <c r="I141" s="1514"/>
      <c r="J141" s="1514"/>
      <c r="K141" s="1514"/>
      <c r="L141" s="1514"/>
      <c r="M141" s="1508"/>
      <c r="N141" s="446" t="s">
        <v>3782</v>
      </c>
      <c r="O141" s="422"/>
      <c r="P141" s="618"/>
      <c r="Q141" s="52"/>
      <c r="R141" s="1285"/>
      <c r="S141" s="1285"/>
      <c r="T141" s="1285"/>
      <c r="U141" s="1285"/>
    </row>
    <row r="142" spans="1:21" s="36" customFormat="1" ht="10.5" customHeight="1">
      <c r="A142" s="64"/>
      <c r="B142" s="432"/>
      <c r="D142" s="1514"/>
      <c r="E142" s="1514"/>
      <c r="F142" s="1514"/>
      <c r="G142" s="1021" t="s">
        <v>3999</v>
      </c>
      <c r="I142" s="1514"/>
      <c r="J142" s="1514"/>
      <c r="K142" s="1514"/>
      <c r="L142" s="1514"/>
      <c r="M142" s="1508"/>
      <c r="N142" s="446" t="s">
        <v>3784</v>
      </c>
      <c r="O142" s="422"/>
      <c r="P142" s="618"/>
      <c r="Q142" s="52"/>
      <c r="R142" s="1285"/>
      <c r="S142" s="1285"/>
      <c r="T142" s="1285"/>
      <c r="U142" s="1285"/>
    </row>
    <row r="143" spans="1:21" s="36" customFormat="1" ht="10.5" customHeight="1">
      <c r="A143" s="64"/>
      <c r="B143" s="432"/>
      <c r="D143" s="1514"/>
      <c r="E143" s="1514"/>
      <c r="F143" s="1514"/>
      <c r="G143" s="1021" t="s">
        <v>4000</v>
      </c>
      <c r="I143" s="1514"/>
      <c r="J143" s="1514"/>
      <c r="K143" s="1514"/>
      <c r="L143" s="1514"/>
      <c r="M143" s="1508"/>
      <c r="N143" s="1188" t="s">
        <v>3785</v>
      </c>
      <c r="O143" s="239"/>
      <c r="P143" s="619"/>
      <c r="Q143" s="52"/>
    </row>
    <row r="144" spans="1:21" s="36" customFormat="1" ht="10.5" customHeight="1">
      <c r="A144" s="64"/>
      <c r="B144" s="1012"/>
      <c r="C144" s="1021" t="s">
        <v>4831</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64"/>
      <c r="D146" s="3965"/>
      <c r="E146" s="3965"/>
      <c r="F146" s="3966"/>
      <c r="G146" s="3964"/>
      <c r="H146" s="3965"/>
      <c r="I146" s="3965"/>
      <c r="J146" s="3965"/>
      <c r="K146" s="3965"/>
      <c r="L146" s="3965"/>
      <c r="M146" s="3965"/>
      <c r="N146" s="3965"/>
      <c r="O146" s="3965"/>
      <c r="P146" s="3966"/>
      <c r="Q146" s="52"/>
    </row>
    <row r="147" spans="1:18" s="55" customFormat="1" ht="10.5" customHeight="1">
      <c r="A147" s="64"/>
      <c r="B147" s="447"/>
      <c r="C147" s="3967"/>
      <c r="D147" s="3968"/>
      <c r="E147" s="3968"/>
      <c r="F147" s="3969"/>
      <c r="G147" s="3967"/>
      <c r="H147" s="3968"/>
      <c r="I147" s="3968"/>
      <c r="J147" s="3968"/>
      <c r="K147" s="3968"/>
      <c r="L147" s="3968"/>
      <c r="M147" s="3968"/>
      <c r="N147" s="3968"/>
      <c r="O147" s="3968"/>
      <c r="P147" s="3969"/>
      <c r="Q147" s="52"/>
    </row>
    <row r="148" spans="1:18" s="55" customFormat="1" ht="10.5" customHeight="1">
      <c r="A148" s="3511" t="s">
        <v>4165</v>
      </c>
      <c r="B148" s="3511"/>
      <c r="C148" s="3967"/>
      <c r="D148" s="3968"/>
      <c r="E148" s="3968"/>
      <c r="F148" s="3969"/>
      <c r="G148" s="3967"/>
      <c r="H148" s="3968"/>
      <c r="I148" s="3968"/>
      <c r="J148" s="3968"/>
      <c r="K148" s="3968"/>
      <c r="L148" s="3968"/>
      <c r="M148" s="3968"/>
      <c r="N148" s="3968"/>
      <c r="O148" s="3968"/>
      <c r="P148" s="3969"/>
      <c r="Q148" s="52"/>
    </row>
    <row r="149" spans="1:18" s="55" customFormat="1" ht="10.5" customHeight="1">
      <c r="A149" s="3511"/>
      <c r="B149" s="3511"/>
      <c r="C149" s="3970"/>
      <c r="D149" s="3971"/>
      <c r="E149" s="3971"/>
      <c r="F149" s="3972"/>
      <c r="G149" s="3970"/>
      <c r="H149" s="3971"/>
      <c r="I149" s="3971"/>
      <c r="J149" s="3971"/>
      <c r="K149" s="3971"/>
      <c r="L149" s="3971"/>
      <c r="M149" s="3971"/>
      <c r="N149" s="3971"/>
      <c r="O149" s="3971"/>
      <c r="P149" s="3972"/>
      <c r="Q149" s="52"/>
    </row>
    <row r="150" spans="1:18" s="43" customFormat="1" ht="4.5" customHeight="1">
      <c r="A150" s="4072"/>
      <c r="B150" s="4072"/>
      <c r="C150" s="101"/>
      <c r="D150" s="87"/>
      <c r="E150" s="102"/>
      <c r="F150" s="1506"/>
      <c r="G150" s="1506"/>
      <c r="H150" s="1506"/>
      <c r="I150" s="1506"/>
      <c r="J150" s="1506"/>
      <c r="K150" s="1506"/>
      <c r="L150" s="1506"/>
      <c r="M150" s="1506"/>
      <c r="N150" s="75"/>
      <c r="O150" s="71"/>
      <c r="P150" s="1503"/>
      <c r="Q150" s="490"/>
    </row>
    <row r="151" spans="1:18" s="43" customFormat="1" ht="11.25" customHeight="1">
      <c r="A151" s="3600"/>
      <c r="B151" s="3601"/>
      <c r="C151" s="3601"/>
      <c r="D151" s="3601"/>
      <c r="E151" s="3601"/>
      <c r="F151" s="3601"/>
      <c r="G151" s="3601"/>
      <c r="H151" s="3601"/>
      <c r="I151" s="3601"/>
      <c r="J151" s="3601"/>
      <c r="K151" s="3601"/>
      <c r="L151" s="3601"/>
      <c r="M151" s="3601"/>
      <c r="N151" s="3601"/>
      <c r="O151" s="3601"/>
      <c r="P151" s="3602"/>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3967</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4004</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8" t="s">
        <v>5028</v>
      </c>
      <c r="C158" s="3858"/>
      <c r="D158" s="3858"/>
      <c r="E158" s="52" t="s">
        <v>3824</v>
      </c>
      <c r="F158" s="105"/>
      <c r="G158" s="52"/>
      <c r="H158" s="105"/>
      <c r="I158" s="4097"/>
      <c r="J158" s="4098"/>
      <c r="K158" s="4098"/>
      <c r="L158" s="4099"/>
    </row>
    <row r="159" spans="1:18" s="43" customFormat="1" ht="11.25" customHeight="1">
      <c r="A159" s="142"/>
      <c r="B159" s="3858"/>
      <c r="C159" s="3858"/>
      <c r="D159" s="3858"/>
      <c r="E159" s="40" t="s">
        <v>4834</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4835</v>
      </c>
      <c r="F160" s="2615" t="str">
        <f>'Part I-Project Information'!$H$82</f>
        <v>Family</v>
      </c>
      <c r="H160" s="2614"/>
      <c r="I160" s="1506"/>
      <c r="J160" s="1506"/>
      <c r="M160" s="1506"/>
      <c r="N160" s="75"/>
      <c r="O160" s="4112" t="s">
        <v>5024</v>
      </c>
      <c r="P160" s="4112"/>
    </row>
    <row r="161" spans="1:24" s="55" customFormat="1" ht="3" customHeight="1">
      <c r="A161" s="1028"/>
      <c r="B161" s="492"/>
      <c r="O161" s="4113"/>
      <c r="P161" s="4113"/>
    </row>
    <row r="162" spans="1:24" s="43" customFormat="1" ht="12" customHeight="1">
      <c r="A162" s="433" t="s">
        <v>2435</v>
      </c>
      <c r="B162" s="114" t="s">
        <v>4833</v>
      </c>
      <c r="C162" s="2434"/>
      <c r="D162" s="2434"/>
      <c r="E162" s="52"/>
      <c r="F162" s="2435"/>
      <c r="G162" s="2435"/>
      <c r="I162" s="2434"/>
      <c r="J162" s="2434"/>
      <c r="K162" s="2434"/>
      <c r="L162" s="2434"/>
      <c r="M162" s="4119" t="s">
        <v>4832</v>
      </c>
      <c r="N162" s="75"/>
      <c r="O162" s="4113"/>
      <c r="P162" s="4113"/>
      <c r="T162" s="3668" t="s">
        <v>5062</v>
      </c>
    </row>
    <row r="163" spans="1:24" s="55" customFormat="1" ht="3" customHeight="1">
      <c r="A163" s="1028"/>
      <c r="B163" s="492"/>
      <c r="M163" s="4119"/>
      <c r="O163" s="4113"/>
      <c r="P163" s="4113"/>
      <c r="T163" s="3668"/>
    </row>
    <row r="164" spans="1:24" s="43" customFormat="1" ht="13.5" customHeight="1">
      <c r="A164" s="142"/>
      <c r="B164" s="632"/>
      <c r="C164" s="631"/>
      <c r="D164" s="631"/>
      <c r="E164" s="1522"/>
      <c r="H164" s="4116" t="s">
        <v>3822</v>
      </c>
      <c r="I164" s="4120" t="s">
        <v>3867</v>
      </c>
      <c r="J164" s="4121"/>
      <c r="K164" s="4122"/>
      <c r="L164" s="4119" t="s">
        <v>3821</v>
      </c>
      <c r="M164" s="4119"/>
      <c r="N164" s="2464"/>
      <c r="O164" s="4113"/>
      <c r="P164" s="4113"/>
      <c r="R164" s="4151" t="s">
        <v>5029</v>
      </c>
      <c r="T164" s="3668"/>
      <c r="U164" s="3845" t="s">
        <v>5061</v>
      </c>
    </row>
    <row r="165" spans="1:24" s="43" customFormat="1" ht="13.5" customHeight="1">
      <c r="A165" s="142"/>
      <c r="B165" s="640" t="s">
        <v>3819</v>
      </c>
      <c r="C165" s="1521"/>
      <c r="D165" s="4140" t="s">
        <v>3823</v>
      </c>
      <c r="E165" s="4140"/>
      <c r="F165" s="4140"/>
      <c r="G165" s="1517" t="s">
        <v>3398</v>
      </c>
      <c r="H165" s="3845"/>
      <c r="I165" s="595">
        <v>2015</v>
      </c>
      <c r="J165" s="595">
        <v>2016</v>
      </c>
      <c r="K165" s="595">
        <v>2017</v>
      </c>
      <c r="L165" s="3119"/>
      <c r="M165" s="3119"/>
      <c r="N165" s="2464"/>
      <c r="O165" s="4114"/>
      <c r="P165" s="4114"/>
      <c r="R165" s="4152"/>
      <c r="T165" s="3845"/>
      <c r="U165" s="3845"/>
    </row>
    <row r="166" spans="1:24" s="43" customFormat="1" ht="12" customHeight="1">
      <c r="B166" s="677" t="s">
        <v>4003</v>
      </c>
      <c r="D166" s="4126"/>
      <c r="E166" s="4127"/>
      <c r="F166" s="4128"/>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2">
        <f>SUM(T166:T170)</f>
        <v>0</v>
      </c>
    </row>
    <row r="167" spans="1:24" s="43" customFormat="1" ht="12" customHeight="1">
      <c r="B167" s="677" t="s">
        <v>4166</v>
      </c>
      <c r="D167" s="4129"/>
      <c r="E167" s="4130"/>
      <c r="F167" s="4131"/>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2"/>
    </row>
    <row r="168" spans="1:24" s="43" customFormat="1" ht="12" customHeight="1">
      <c r="A168" s="433"/>
      <c r="B168" s="677" t="s">
        <v>4001</v>
      </c>
      <c r="D168" s="4123"/>
      <c r="E168" s="4124"/>
      <c r="F168" s="4125"/>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2"/>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4005</v>
      </c>
      <c r="C171" s="94"/>
      <c r="D171" s="1326"/>
      <c r="E171" s="1326"/>
      <c r="F171" s="61" t="s">
        <v>3391</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c r="E172" s="3911" t="s">
        <v>4168</v>
      </c>
      <c r="F172" s="3911" t="s">
        <v>3660</v>
      </c>
      <c r="G172" s="3914" t="s">
        <v>3399</v>
      </c>
      <c r="H172" s="3914"/>
      <c r="I172" s="3914"/>
      <c r="J172" s="3914"/>
      <c r="K172" s="3914"/>
      <c r="L172" s="3914"/>
      <c r="M172" s="3914"/>
      <c r="N172" s="3914"/>
      <c r="P172" s="1361"/>
      <c r="R172" s="52" t="s">
        <v>2833</v>
      </c>
      <c r="S172" s="36"/>
      <c r="T172" s="3902" t="str">
        <f>'Part I-Project Information'!$F$38</f>
        <v>College Park</v>
      </c>
      <c r="U172" s="3903"/>
      <c r="V172" s="3903"/>
      <c r="W172" s="3903"/>
      <c r="X172" s="3904"/>
    </row>
    <row r="173" spans="1:24" s="55" customFormat="1" ht="13.5" customHeight="1">
      <c r="A173" s="47"/>
      <c r="B173" s="3925" t="s">
        <v>4008</v>
      </c>
      <c r="C173" s="3925"/>
      <c r="D173" s="3925"/>
      <c r="E173" s="3918"/>
      <c r="F173" s="3918"/>
      <c r="G173" s="3913" t="s">
        <v>4007</v>
      </c>
      <c r="H173" s="3913"/>
      <c r="I173" s="3913"/>
      <c r="J173" s="3913"/>
      <c r="K173" s="3913"/>
      <c r="L173" s="3913"/>
      <c r="M173" s="3913"/>
      <c r="N173" s="3913"/>
      <c r="O173" s="3911" t="s">
        <v>3661</v>
      </c>
      <c r="P173" s="3911"/>
      <c r="R173" s="52" t="s">
        <v>2834</v>
      </c>
      <c r="S173" s="36"/>
      <c r="T173" s="3853" t="str">
        <f>'Part I-Project Information'!$J$39</f>
        <v>Fulton</v>
      </c>
      <c r="U173" s="3854"/>
      <c r="V173" s="3854"/>
      <c r="W173" s="3854"/>
      <c r="X173" s="3855"/>
    </row>
    <row r="174" spans="1:24" s="55" customFormat="1" ht="13.5" customHeight="1">
      <c r="A174" s="47"/>
      <c r="B174" s="4115" t="s">
        <v>3828</v>
      </c>
      <c r="C174" s="4115"/>
      <c r="D174" s="4115"/>
      <c r="E174" s="1518">
        <v>3000</v>
      </c>
      <c r="F174" s="1518">
        <v>6000</v>
      </c>
      <c r="G174" s="3908">
        <v>15000</v>
      </c>
      <c r="H174" s="3908"/>
      <c r="I174" s="3908"/>
      <c r="J174" s="3908"/>
      <c r="K174" s="3908"/>
      <c r="L174" s="3908"/>
      <c r="M174" s="3908"/>
      <c r="N174" s="3908"/>
      <c r="O174" s="3908">
        <v>20000</v>
      </c>
      <c r="P174" s="3908"/>
      <c r="R174" s="40" t="s">
        <v>2835</v>
      </c>
      <c r="S174" s="36"/>
      <c r="T174" s="3853" t="str">
        <f>'Part I-Project Information'!$O$40</f>
        <v>Atlanta-Sandy Springs-Marietta</v>
      </c>
      <c r="U174" s="3854"/>
      <c r="V174" s="3854"/>
      <c r="W174" s="3854"/>
      <c r="X174" s="3855"/>
    </row>
    <row r="175" spans="1:24" s="36" customFormat="1" ht="13.5" customHeight="1">
      <c r="A175" s="47"/>
      <c r="B175" s="4156" t="s">
        <v>4006</v>
      </c>
      <c r="C175" s="4156"/>
      <c r="D175" s="4156"/>
      <c r="E175" s="1516">
        <v>4500</v>
      </c>
      <c r="F175" s="1516">
        <v>9000</v>
      </c>
      <c r="G175" s="3912">
        <v>22500</v>
      </c>
      <c r="H175" s="3912"/>
      <c r="I175" s="3912"/>
      <c r="J175" s="3912"/>
      <c r="K175" s="3912"/>
      <c r="L175" s="3912"/>
      <c r="M175" s="3912"/>
      <c r="N175" s="3912"/>
      <c r="O175" s="3912">
        <v>30000</v>
      </c>
      <c r="P175" s="3912"/>
      <c r="R175" s="40" t="s">
        <v>3861</v>
      </c>
      <c r="T175" s="3853" t="str">
        <f>VLOOKUP('Part I-Project Information'!$J$39,'DCA Underwriting Assumptions'!$G$158:$J$317,4)</f>
        <v>MSA</v>
      </c>
      <c r="U175" s="3854"/>
      <c r="V175" s="3854"/>
      <c r="W175" s="3854"/>
      <c r="X175" s="3855"/>
    </row>
    <row r="176" spans="1:24" s="55" customFormat="1" ht="9" customHeight="1">
      <c r="A176" s="47"/>
      <c r="B176" s="47"/>
      <c r="C176" s="478"/>
      <c r="K176" s="595"/>
      <c r="L176" s="595"/>
    </row>
    <row r="177" spans="1:24" s="55" customFormat="1" ht="12" customHeight="1">
      <c r="B177" s="1026" t="s">
        <v>3862</v>
      </c>
      <c r="E177" s="1023"/>
      <c r="F177" s="1023"/>
      <c r="G177" s="1023"/>
      <c r="I177" s="1024"/>
      <c r="J177" s="1407"/>
      <c r="R177" s="36" t="s">
        <v>3626</v>
      </c>
      <c r="S177" s="36"/>
      <c r="T177" s="3915" t="str">
        <f>'Part I-Project Information'!$K$40</f>
        <v>Urban</v>
      </c>
      <c r="U177" s="3916"/>
      <c r="V177" s="3916"/>
      <c r="W177" s="3916"/>
      <c r="X177" s="3917"/>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4167</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4009</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3884</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3754</v>
      </c>
      <c r="C184" s="42"/>
      <c r="D184" s="48"/>
      <c r="E184" s="48"/>
      <c r="F184" s="48"/>
      <c r="G184" s="48"/>
      <c r="H184" s="36"/>
      <c r="I184" s="36"/>
      <c r="J184" s="36"/>
      <c r="K184" s="36"/>
      <c r="M184" s="46"/>
      <c r="N184" s="62"/>
      <c r="O184" s="3"/>
      <c r="P184" s="1505"/>
    </row>
    <row r="185" spans="1:24" s="43" customFormat="1" ht="21.75" customHeight="1" thickTop="1" thickBot="1">
      <c r="A185" s="3931"/>
      <c r="B185" s="3932"/>
      <c r="C185" s="3932"/>
      <c r="D185" s="3932"/>
      <c r="E185" s="3932"/>
      <c r="F185" s="3932"/>
      <c r="G185" s="3932"/>
      <c r="H185" s="3932"/>
      <c r="I185" s="3932"/>
      <c r="J185" s="3932"/>
      <c r="K185" s="3932"/>
      <c r="L185" s="3932"/>
      <c r="M185" s="3932"/>
      <c r="N185" s="3932"/>
      <c r="O185" s="3932"/>
      <c r="P185" s="3933"/>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0"/>
      <c r="B187" s="3601"/>
      <c r="C187" s="3601"/>
      <c r="D187" s="3601"/>
      <c r="E187" s="3601"/>
      <c r="F187" s="3601"/>
      <c r="G187" s="3601"/>
      <c r="H187" s="3601"/>
      <c r="I187" s="3601"/>
      <c r="J187" s="3601"/>
      <c r="K187" s="3601"/>
      <c r="L187" s="3601"/>
      <c r="M187" s="3601"/>
      <c r="N187" s="3601"/>
      <c r="O187" s="3601"/>
      <c r="P187" s="3602"/>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4015</v>
      </c>
      <c r="C189" s="94"/>
      <c r="D189" s="59"/>
      <c r="E189" s="59"/>
      <c r="I189" s="1269"/>
      <c r="J189" s="1269"/>
      <c r="K189" s="668"/>
      <c r="L189" s="668"/>
      <c r="M189" s="1503">
        <v>7</v>
      </c>
      <c r="N189" s="7"/>
      <c r="O189" s="1328">
        <f>IF(OR(O$153&gt;0,O$277&gt;0),0,MIN($M$189,O205+O210))</f>
        <v>0</v>
      </c>
      <c r="P189" s="1329">
        <f>IF(OR(P$153&gt;0,P$277&gt;0),0,MIN($M$189,P205+P210))</f>
        <v>0</v>
      </c>
      <c r="Q189" s="112" t="s">
        <v>441</v>
      </c>
      <c r="R189" s="3919" t="s">
        <v>4842</v>
      </c>
      <c r="S189" s="3920"/>
    </row>
    <row r="190" spans="1:24" s="43" customFormat="1" ht="2.25" customHeight="1">
      <c r="A190" s="493"/>
      <c r="C190" s="184"/>
      <c r="D190" s="184"/>
      <c r="E190" s="192"/>
      <c r="F190" s="184"/>
      <c r="G190" s="184"/>
      <c r="H190" s="184"/>
      <c r="I190" s="184"/>
      <c r="J190" s="184"/>
      <c r="K190" s="184"/>
      <c r="L190" s="184"/>
      <c r="M190" s="184"/>
      <c r="N190" s="184"/>
      <c r="O190" s="184"/>
      <c r="P190" s="184"/>
      <c r="R190" s="3921"/>
      <c r="S190" s="3922"/>
    </row>
    <row r="191" spans="1:24" s="43" customFormat="1" ht="23.25" customHeight="1">
      <c r="A191" s="493"/>
      <c r="B191" s="3810" t="s">
        <v>4842</v>
      </c>
      <c r="C191" s="3810"/>
      <c r="D191" s="3810"/>
      <c r="E191" s="3810"/>
      <c r="F191" s="3810"/>
      <c r="G191" s="3810"/>
      <c r="H191" s="3810"/>
      <c r="I191" s="3810"/>
      <c r="J191" s="3810"/>
      <c r="K191" s="3810"/>
      <c r="L191" s="3810"/>
      <c r="M191" s="3810"/>
      <c r="N191" s="3810"/>
      <c r="O191" s="3810"/>
      <c r="P191" s="3810"/>
      <c r="R191" s="3921"/>
      <c r="S191" s="3922"/>
    </row>
    <row r="192" spans="1:24" s="43" customFormat="1" ht="12" customHeight="1">
      <c r="A192" s="493"/>
      <c r="B192" s="184" t="s">
        <v>4132</v>
      </c>
      <c r="C192" s="184"/>
      <c r="D192" s="184"/>
      <c r="E192" s="184"/>
      <c r="F192" s="184"/>
      <c r="G192" s="184"/>
      <c r="H192" s="184"/>
      <c r="I192" s="184"/>
      <c r="J192" s="184"/>
      <c r="K192" s="1455" t="s">
        <v>2510</v>
      </c>
      <c r="L192" s="1456" t="s">
        <v>2510</v>
      </c>
      <c r="N192" s="1491"/>
      <c r="P192" s="1492"/>
      <c r="R192" s="3921"/>
      <c r="S192" s="3922"/>
    </row>
    <row r="193" spans="1:25" s="451" customFormat="1" ht="11.25" customHeight="1">
      <c r="B193" s="1188" t="s">
        <v>2435</v>
      </c>
      <c r="C193" s="3860" t="s">
        <v>4947</v>
      </c>
      <c r="D193" s="3860"/>
      <c r="E193" s="3860"/>
      <c r="F193" s="3860"/>
      <c r="G193" s="3860"/>
      <c r="H193" s="3860"/>
      <c r="I193" s="3860"/>
      <c r="J193" s="1188" t="s">
        <v>2435</v>
      </c>
      <c r="K193" s="1493"/>
      <c r="L193" s="1494"/>
      <c r="M193" s="3926" t="s">
        <v>3857</v>
      </c>
      <c r="N193" s="3927"/>
      <c r="O193" s="3927"/>
      <c r="P193" s="3928"/>
      <c r="R193" s="3921"/>
      <c r="S193" s="3922"/>
    </row>
    <row r="194" spans="1:25" s="43" customFormat="1" ht="11.25" customHeight="1">
      <c r="A194" s="431"/>
      <c r="B194" s="433"/>
      <c r="C194" s="3860"/>
      <c r="D194" s="3860"/>
      <c r="E194" s="3860"/>
      <c r="F194" s="3860"/>
      <c r="G194" s="3860"/>
      <c r="H194" s="3860"/>
      <c r="I194" s="3860"/>
      <c r="K194" s="1472"/>
      <c r="L194" s="1472"/>
      <c r="R194" s="3921"/>
      <c r="S194" s="3922"/>
    </row>
    <row r="195" spans="1:25" s="105" customFormat="1" ht="11.25" customHeight="1">
      <c r="A195" s="493"/>
      <c r="B195" s="433" t="s">
        <v>2436</v>
      </c>
      <c r="C195" s="3859" t="s">
        <v>4836</v>
      </c>
      <c r="D195" s="3859"/>
      <c r="E195" s="3859"/>
      <c r="F195" s="3859"/>
      <c r="G195" s="3859"/>
      <c r="J195" s="433" t="s">
        <v>2436</v>
      </c>
      <c r="K195" s="1495"/>
      <c r="L195" s="623"/>
      <c r="M195" s="4134" t="s">
        <v>3857</v>
      </c>
      <c r="N195" s="4135"/>
      <c r="O195" s="4135"/>
      <c r="P195" s="4136"/>
      <c r="R195" s="3921"/>
      <c r="S195" s="3922"/>
    </row>
    <row r="196" spans="1:25" s="33" customFormat="1" ht="11.25" customHeight="1">
      <c r="B196" s="433" t="s">
        <v>2437</v>
      </c>
      <c r="C196" s="558" t="s">
        <v>4837</v>
      </c>
      <c r="D196" s="558"/>
      <c r="E196" s="558"/>
      <c r="F196" s="558"/>
      <c r="G196" s="558"/>
      <c r="H196" s="558"/>
      <c r="J196" s="433" t="s">
        <v>2437</v>
      </c>
      <c r="K196" s="2533"/>
      <c r="L196" s="2534"/>
      <c r="M196" s="3905" t="s">
        <v>3857</v>
      </c>
      <c r="N196" s="3906"/>
      <c r="O196" s="3906"/>
      <c r="P196" s="3907"/>
      <c r="R196" s="3921"/>
      <c r="S196" s="3922"/>
    </row>
    <row r="197" spans="1:25" s="33" customFormat="1" ht="11.25" customHeight="1">
      <c r="B197" s="433" t="s">
        <v>2439</v>
      </c>
      <c r="C197" s="138" t="s">
        <v>4838</v>
      </c>
      <c r="D197" s="558"/>
      <c r="E197" s="558"/>
      <c r="F197" s="558"/>
      <c r="G197" s="558"/>
      <c r="H197" s="558"/>
      <c r="J197" s="433" t="s">
        <v>2439</v>
      </c>
      <c r="K197" s="2533"/>
      <c r="L197" s="2534"/>
      <c r="M197" s="3905" t="s">
        <v>3857</v>
      </c>
      <c r="N197" s="3906"/>
      <c r="O197" s="3906"/>
      <c r="P197" s="3907"/>
      <c r="R197" s="3921"/>
      <c r="S197" s="3922"/>
    </row>
    <row r="198" spans="1:25" s="33" customFormat="1" ht="11.25" customHeight="1">
      <c r="B198" s="433" t="s">
        <v>2438</v>
      </c>
      <c r="C198" s="52" t="s">
        <v>4840</v>
      </c>
      <c r="D198" s="52"/>
      <c r="E198" s="52"/>
      <c r="F198" s="52"/>
      <c r="G198" s="52"/>
      <c r="H198" s="52"/>
      <c r="J198" s="433" t="s">
        <v>2438</v>
      </c>
      <c r="K198" s="2533"/>
      <c r="L198" s="2534"/>
      <c r="M198" s="3905" t="s">
        <v>3857</v>
      </c>
      <c r="N198" s="3906"/>
      <c r="O198" s="3906"/>
      <c r="P198" s="3907"/>
      <c r="R198" s="3921"/>
      <c r="S198" s="3922"/>
    </row>
    <row r="199" spans="1:25" s="33" customFormat="1" ht="11.25" customHeight="1">
      <c r="B199" s="446" t="s">
        <v>2455</v>
      </c>
      <c r="C199" s="52" t="s">
        <v>4839</v>
      </c>
      <c r="D199" s="558"/>
      <c r="E199" s="558"/>
      <c r="F199" s="558"/>
      <c r="G199" s="558"/>
      <c r="J199" s="446" t="s">
        <v>2455</v>
      </c>
      <c r="K199" s="2533"/>
      <c r="L199" s="2534"/>
      <c r="M199" s="4153" t="s">
        <v>3857</v>
      </c>
      <c r="N199" s="4154"/>
      <c r="O199" s="4154"/>
      <c r="P199" s="4155"/>
      <c r="R199" s="3921"/>
      <c r="S199" s="3922"/>
    </row>
    <row r="200" spans="1:25" s="33" customFormat="1" ht="11.25" customHeight="1">
      <c r="B200" s="446" t="s">
        <v>2456</v>
      </c>
      <c r="C200" s="3873" t="s">
        <v>4945</v>
      </c>
      <c r="D200" s="3873"/>
      <c r="E200" s="3873"/>
      <c r="F200" s="3873"/>
      <c r="G200" s="3873"/>
      <c r="H200" s="3873"/>
      <c r="I200" s="2551"/>
      <c r="J200" s="446" t="s">
        <v>2456</v>
      </c>
      <c r="K200" s="2533"/>
      <c r="L200" s="2534"/>
      <c r="R200" s="3921"/>
      <c r="S200" s="3922"/>
    </row>
    <row r="201" spans="1:25" s="43" customFormat="1" ht="11.25" customHeight="1">
      <c r="A201" s="431"/>
      <c r="B201" s="433"/>
      <c r="C201" s="3873"/>
      <c r="D201" s="3873"/>
      <c r="E201" s="3873"/>
      <c r="F201" s="3873"/>
      <c r="G201" s="3873"/>
      <c r="H201" s="3873"/>
      <c r="I201" s="2551"/>
      <c r="J201" s="446" t="s">
        <v>4946</v>
      </c>
      <c r="K201" s="2552"/>
      <c r="L201" s="2553"/>
      <c r="M201" s="558"/>
      <c r="N201" s="558"/>
      <c r="O201" s="558"/>
      <c r="P201" s="558"/>
      <c r="R201" s="3921"/>
      <c r="S201" s="3922"/>
    </row>
    <row r="202" spans="1:25" s="33" customFormat="1" ht="11.25" customHeight="1">
      <c r="B202" s="1188" t="s">
        <v>2457</v>
      </c>
      <c r="C202" s="3860" t="s">
        <v>4843</v>
      </c>
      <c r="D202" s="3860"/>
      <c r="E202" s="3860"/>
      <c r="F202" s="3860"/>
      <c r="G202" s="3860"/>
      <c r="H202" s="3860"/>
      <c r="I202" s="3860"/>
      <c r="J202" s="446" t="s">
        <v>2457</v>
      </c>
      <c r="K202" s="1496"/>
      <c r="L202" s="624"/>
      <c r="R202" s="3921"/>
      <c r="S202" s="3922"/>
    </row>
    <row r="203" spans="1:25" s="43" customFormat="1" ht="11.25" customHeight="1" thickBot="1">
      <c r="A203" s="431"/>
      <c r="B203" s="433"/>
      <c r="C203" s="3860"/>
      <c r="D203" s="3860"/>
      <c r="E203" s="3860"/>
      <c r="F203" s="3860"/>
      <c r="G203" s="3860"/>
      <c r="H203" s="3860"/>
      <c r="I203" s="3860"/>
      <c r="K203" s="1472"/>
      <c r="L203" s="1472"/>
      <c r="R203" s="3923"/>
      <c r="S203" s="3924"/>
    </row>
    <row r="204" spans="1:25" ht="4.5" customHeight="1">
      <c r="B204" s="446"/>
      <c r="C204" s="558"/>
      <c r="K204" s="40"/>
      <c r="M204" s="431"/>
      <c r="N204" s="431"/>
      <c r="O204" s="431"/>
      <c r="P204" s="431"/>
    </row>
    <row r="205" spans="1:25" ht="11.25" customHeight="1">
      <c r="A205" s="142" t="s">
        <v>1983</v>
      </c>
      <c r="B205" s="197" t="s">
        <v>4014</v>
      </c>
      <c r="H205" s="163"/>
      <c r="I205" s="495" t="s">
        <v>4841</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58" t="s">
        <v>4934</v>
      </c>
      <c r="D206" s="3858"/>
      <c r="E206" s="3858"/>
      <c r="F206" s="3858"/>
      <c r="G206" s="3858"/>
      <c r="H206" s="3858"/>
      <c r="I206" s="3858"/>
      <c r="J206" s="3858"/>
      <c r="K206" s="3858"/>
      <c r="L206" s="3858"/>
      <c r="M206" s="1393">
        <v>3</v>
      </c>
      <c r="N206" s="543" t="s">
        <v>1986</v>
      </c>
      <c r="O206" s="981"/>
      <c r="P206" s="980"/>
      <c r="Q206" s="2549" t="str">
        <f>IF(OR($O206=$M206,$O206=0,$O206=""),"","*CHECK!*")</f>
        <v/>
      </c>
      <c r="R206" s="1175" t="s">
        <v>2706</v>
      </c>
    </row>
    <row r="207" spans="1:25" ht="12" customHeight="1">
      <c r="A207" s="581"/>
      <c r="B207" s="674" t="s">
        <v>1988</v>
      </c>
      <c r="C207" s="1187" t="s">
        <v>4932</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859" t="s">
        <v>4933</v>
      </c>
      <c r="D208" s="3859"/>
      <c r="E208" s="3859"/>
      <c r="F208" s="3859"/>
      <c r="G208" s="3859"/>
      <c r="H208" s="3859"/>
      <c r="I208" s="2500"/>
      <c r="J208" s="497" t="s">
        <v>3575</v>
      </c>
      <c r="K208" s="2535"/>
      <c r="L208" s="2532" t="str">
        <f>'Part I-Project Information'!$O$38</f>
        <v>402.03</v>
      </c>
      <c r="M208" s="2501"/>
      <c r="N208" s="1393"/>
      <c r="O208" s="1393"/>
      <c r="P208" s="1393"/>
      <c r="Q208" s="1179"/>
      <c r="R208" s="1175"/>
    </row>
    <row r="209" spans="1:23" ht="12" customHeight="1">
      <c r="A209" s="581"/>
      <c r="B209" s="538"/>
      <c r="C209" s="3859"/>
      <c r="D209" s="3859"/>
      <c r="E209" s="3859"/>
      <c r="F209" s="3859"/>
      <c r="G209" s="3859"/>
      <c r="H209" s="3859"/>
      <c r="J209" s="497" t="s">
        <v>3375</v>
      </c>
      <c r="K209" s="33"/>
      <c r="L209" s="2530" t="str">
        <f>'Part IV-A-Uses of Funds'!$H$152</f>
        <v>DDA/QCT</v>
      </c>
      <c r="M209" s="2530"/>
      <c r="N209" s="27"/>
      <c r="O209" s="27"/>
      <c r="P209" s="27"/>
      <c r="R209" s="163"/>
    </row>
    <row r="210" spans="1:23" ht="12" customHeight="1">
      <c r="A210" s="142" t="s">
        <v>1985</v>
      </c>
      <c r="B210" s="197" t="s">
        <v>4844</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3780</v>
      </c>
      <c r="C212" s="36" t="s">
        <v>3858</v>
      </c>
      <c r="D212" s="105"/>
      <c r="E212" s="105"/>
      <c r="F212" s="105"/>
      <c r="G212" s="105"/>
      <c r="H212" s="105"/>
      <c r="I212" s="105"/>
      <c r="J212" s="3861"/>
      <c r="K212" s="3862"/>
      <c r="L212" s="3862"/>
      <c r="M212" s="3862"/>
      <c r="N212" s="3862"/>
      <c r="O212" s="3862"/>
      <c r="P212" s="3863"/>
      <c r="V212" s="1285"/>
      <c r="W212" s="1285"/>
    </row>
    <row r="213" spans="1:23" s="43" customFormat="1" ht="11.25" customHeight="1">
      <c r="A213" s="195"/>
      <c r="B213" s="527" t="s">
        <v>3781</v>
      </c>
      <c r="C213" s="497" t="s">
        <v>3859</v>
      </c>
      <c r="D213" s="105"/>
      <c r="E213" s="105"/>
      <c r="F213" s="105"/>
      <c r="G213" s="105"/>
      <c r="H213" s="105"/>
      <c r="I213" s="2408" t="str">
        <f>IF($J$213="Government", "Additional documentation required - see QAP.","")</f>
        <v/>
      </c>
      <c r="J213" s="3816" t="s">
        <v>2829</v>
      </c>
      <c r="K213" s="3909"/>
      <c r="L213" s="3910"/>
      <c r="M213" s="105"/>
      <c r="N213" s="105"/>
      <c r="O213" s="105"/>
      <c r="P213" s="105"/>
      <c r="V213" s="1285"/>
      <c r="W213" s="1285"/>
    </row>
    <row r="214" spans="1:23" ht="11.25" customHeight="1">
      <c r="A214" s="196"/>
      <c r="B214" s="527" t="s">
        <v>3782</v>
      </c>
      <c r="C214" s="497" t="s">
        <v>4849</v>
      </c>
      <c r="D214" s="33"/>
      <c r="E214" s="33"/>
      <c r="F214" s="673"/>
      <c r="G214" s="673"/>
      <c r="H214" s="673"/>
      <c r="I214" s="33"/>
      <c r="J214" s="238"/>
      <c r="K214" s="3864" t="s">
        <v>4846</v>
      </c>
      <c r="L214" s="3865"/>
      <c r="M214" s="3865"/>
      <c r="N214" s="3865"/>
      <c r="O214" s="2469"/>
      <c r="P214" s="94"/>
      <c r="V214" s="1285"/>
      <c r="W214" s="1285"/>
    </row>
    <row r="215" spans="1:23" ht="11.25" customHeight="1">
      <c r="A215" s="196"/>
      <c r="B215" s="446" t="s">
        <v>3784</v>
      </c>
      <c r="C215" s="497" t="s">
        <v>4845</v>
      </c>
      <c r="D215" s="33"/>
      <c r="E215" s="33"/>
      <c r="F215" s="673"/>
      <c r="G215" s="673"/>
      <c r="H215" s="673"/>
      <c r="I215" s="33"/>
      <c r="J215" s="422"/>
      <c r="K215" s="3864"/>
      <c r="L215" s="3865"/>
      <c r="M215" s="3865"/>
      <c r="N215" s="3865"/>
      <c r="O215" s="2473"/>
      <c r="P215" s="2470" t="s">
        <v>3787</v>
      </c>
      <c r="V215" s="1285"/>
      <c r="W215" s="1285"/>
    </row>
    <row r="216" spans="1:23" ht="11.25" customHeight="1">
      <c r="A216" s="196"/>
      <c r="B216" s="446" t="s">
        <v>3785</v>
      </c>
      <c r="C216" s="497" t="s">
        <v>4848</v>
      </c>
      <c r="D216" s="33"/>
      <c r="E216" s="33"/>
      <c r="F216" s="673"/>
      <c r="G216" s="673"/>
      <c r="H216" s="673"/>
      <c r="I216" s="33"/>
      <c r="J216" s="239"/>
      <c r="L216" s="2471" t="s">
        <v>4847</v>
      </c>
      <c r="N216" s="2472"/>
      <c r="O216" s="3866"/>
      <c r="P216" s="3867"/>
      <c r="V216" s="1285"/>
      <c r="W216" s="1285"/>
    </row>
    <row r="217" spans="1:23" ht="2.25" customHeight="1">
      <c r="A217" s="196"/>
      <c r="G217" s="450"/>
      <c r="L217" s="1409"/>
      <c r="V217" s="1285"/>
      <c r="W217" s="1285"/>
    </row>
    <row r="218" spans="1:23" ht="21.75" customHeight="1">
      <c r="A218" s="4161" t="s">
        <v>4172</v>
      </c>
      <c r="B218" s="4159" t="s">
        <v>4169</v>
      </c>
      <c r="C218" s="4160"/>
      <c r="D218" s="3086"/>
      <c r="E218" s="3087"/>
      <c r="F218" s="3087"/>
      <c r="G218" s="3087"/>
      <c r="H218" s="3087"/>
      <c r="I218" s="3087"/>
      <c r="J218" s="3087"/>
      <c r="K218" s="3087"/>
      <c r="L218" s="3087"/>
      <c r="M218" s="3087"/>
      <c r="N218" s="3087"/>
      <c r="O218" s="3087"/>
      <c r="P218" s="3089"/>
      <c r="Q218" s="509"/>
      <c r="V218" s="1285"/>
      <c r="W218" s="1285"/>
    </row>
    <row r="219" spans="1:23" ht="22.5" customHeight="1">
      <c r="A219" s="4162"/>
      <c r="B219" s="4157" t="s">
        <v>4170</v>
      </c>
      <c r="C219" s="4158"/>
      <c r="D219" s="3066"/>
      <c r="E219" s="3067"/>
      <c r="F219" s="3067"/>
      <c r="G219" s="3067"/>
      <c r="H219" s="3067"/>
      <c r="I219" s="3067"/>
      <c r="J219" s="3067"/>
      <c r="K219" s="3067"/>
      <c r="L219" s="3067"/>
      <c r="M219" s="3067"/>
      <c r="N219" s="3067"/>
      <c r="O219" s="3067"/>
      <c r="P219" s="3069"/>
      <c r="Q219" s="509"/>
      <c r="V219" s="1285"/>
      <c r="W219" s="1285"/>
    </row>
    <row r="220" spans="1:23" ht="22.5" customHeight="1">
      <c r="A220" s="4163"/>
      <c r="B220" s="4166" t="s">
        <v>4928</v>
      </c>
      <c r="C220" s="4167"/>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3454</v>
      </c>
      <c r="G221" s="4139" t="s">
        <v>2629</v>
      </c>
      <c r="H221" s="4139"/>
      <c r="J221" s="4137"/>
      <c r="K221" s="4138"/>
      <c r="L221" s="4164"/>
      <c r="M221" s="4165"/>
      <c r="V221" s="1285"/>
      <c r="W221" s="1285"/>
    </row>
    <row r="222" spans="1:23" s="43" customFormat="1" ht="11.25" customHeight="1">
      <c r="C222" s="36" t="s">
        <v>3455</v>
      </c>
      <c r="D222" s="1506"/>
      <c r="G222" s="4168">
        <f>'Part IV-A-Uses of Funds'!$G$132</f>
        <v>49998466.819839999</v>
      </c>
      <c r="H222" s="4169"/>
      <c r="J222" s="4132">
        <f>IF($J221=0,0,$J221/$G$222)</f>
        <v>0</v>
      </c>
      <c r="K222" s="4133"/>
      <c r="L222" s="4132">
        <f>IF($L221=0,0,$L221/$G$222)</f>
        <v>0</v>
      </c>
      <c r="M222" s="4133"/>
      <c r="V222" s="1285"/>
      <c r="W222" s="1285"/>
    </row>
    <row r="223" spans="1:23" s="105" customFormat="1" ht="10.5" customHeight="1" thickBot="1">
      <c r="A223" s="42"/>
      <c r="B223" s="1488" t="s">
        <v>3754</v>
      </c>
      <c r="C223" s="42"/>
      <c r="D223" s="48"/>
      <c r="E223" s="48"/>
      <c r="F223" s="48"/>
      <c r="G223" s="48"/>
      <c r="H223" s="36"/>
      <c r="I223" s="36"/>
      <c r="J223" s="36"/>
      <c r="K223" s="36"/>
      <c r="M223" s="46"/>
      <c r="N223" s="6"/>
      <c r="O223" s="3"/>
      <c r="P223" s="1503"/>
    </row>
    <row r="224" spans="1:23" s="43" customFormat="1" ht="21.75" customHeight="1" thickTop="1" thickBot="1">
      <c r="A224" s="3931"/>
      <c r="B224" s="3932"/>
      <c r="C224" s="3932"/>
      <c r="D224" s="3932"/>
      <c r="E224" s="3932"/>
      <c r="F224" s="3932"/>
      <c r="G224" s="3932"/>
      <c r="H224" s="3932"/>
      <c r="I224" s="3932"/>
      <c r="J224" s="3932"/>
      <c r="K224" s="3932"/>
      <c r="L224" s="3932"/>
      <c r="M224" s="3932"/>
      <c r="N224" s="3932"/>
      <c r="O224" s="3932"/>
      <c r="P224" s="3933"/>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0"/>
      <c r="B226" s="3601"/>
      <c r="C226" s="3601"/>
      <c r="D226" s="3601"/>
      <c r="E226" s="3601"/>
      <c r="F226" s="3601"/>
      <c r="G226" s="3601"/>
      <c r="H226" s="3601"/>
      <c r="I226" s="3601"/>
      <c r="J226" s="3601"/>
      <c r="K226" s="3601"/>
      <c r="L226" s="3601"/>
      <c r="M226" s="3601"/>
      <c r="N226" s="3601"/>
      <c r="O226" s="3601"/>
      <c r="P226" s="3602"/>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4018</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4611</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4020</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4856</v>
      </c>
      <c r="K231" s="1452">
        <f>$O$189</f>
        <v>0</v>
      </c>
      <c r="L231" s="1453">
        <f>$P$189</f>
        <v>0</v>
      </c>
      <c r="N231" s="527" t="s">
        <v>2435</v>
      </c>
      <c r="O231" s="238"/>
      <c r="P231" s="617"/>
      <c r="R231" s="434"/>
    </row>
    <row r="232" spans="1:23" s="43" customFormat="1" ht="11.25" customHeight="1">
      <c r="A232" s="142"/>
      <c r="C232" s="55" t="s">
        <v>4857</v>
      </c>
      <c r="K232" s="1452">
        <f>$O$107</f>
        <v>0</v>
      </c>
      <c r="L232" s="1453">
        <f>$P$107</f>
        <v>0</v>
      </c>
      <c r="N232" s="527" t="s">
        <v>2436</v>
      </c>
      <c r="O232" s="422"/>
      <c r="P232" s="618"/>
      <c r="R232" s="1285"/>
      <c r="S232" s="1285"/>
    </row>
    <row r="233" spans="1:23" s="43" customFormat="1" ht="11.25" customHeight="1">
      <c r="C233" s="55" t="s">
        <v>4858</v>
      </c>
      <c r="N233" s="527" t="s">
        <v>2437</v>
      </c>
      <c r="O233" s="239"/>
      <c r="P233" s="618"/>
      <c r="R233" s="1285"/>
      <c r="S233" s="1285"/>
    </row>
    <row r="234" spans="1:23" s="43" customFormat="1" ht="11.25" customHeight="1">
      <c r="A234" s="142"/>
      <c r="C234" s="55" t="s">
        <v>4024</v>
      </c>
      <c r="K234" s="2458" t="str">
        <f>'Part I-Project Information'!F38</f>
        <v>College Park</v>
      </c>
      <c r="L234" s="2461"/>
      <c r="N234" s="527" t="s">
        <v>2438</v>
      </c>
      <c r="O234" s="527"/>
      <c r="P234" s="618"/>
      <c r="R234" s="1285"/>
      <c r="S234" s="1285"/>
    </row>
    <row r="235" spans="1:23" s="43" customFormat="1" ht="11.25" customHeight="1">
      <c r="A235" s="142"/>
      <c r="C235" s="55" t="s">
        <v>4949</v>
      </c>
      <c r="K235" s="1452">
        <f>$O$153</f>
        <v>0</v>
      </c>
      <c r="L235" s="1453">
        <f>$P$153</f>
        <v>0</v>
      </c>
      <c r="N235" s="527" t="s">
        <v>2439</v>
      </c>
      <c r="O235" s="238"/>
      <c r="P235" s="618"/>
      <c r="R235" s="1285"/>
      <c r="S235" s="1285"/>
    </row>
    <row r="236" spans="1:23" s="43" customFormat="1" ht="11.25" customHeight="1">
      <c r="A236" s="142"/>
      <c r="C236" s="55" t="s">
        <v>4948</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4027</v>
      </c>
      <c r="D238" s="33"/>
      <c r="G238" s="538" t="s">
        <v>3783</v>
      </c>
      <c r="N238" s="27"/>
      <c r="O238" s="27"/>
      <c r="P238" s="27"/>
      <c r="Q238" s="1185"/>
    </row>
    <row r="239" spans="1:23" s="33" customFormat="1" ht="11.25" customHeight="1">
      <c r="A239" s="581"/>
      <c r="B239" s="138" t="s">
        <v>3863</v>
      </c>
      <c r="D239" s="4143"/>
      <c r="E239" s="4141"/>
      <c r="F239" s="4141"/>
      <c r="G239" s="3488"/>
      <c r="H239" s="4144"/>
      <c r="I239" s="1510" t="s">
        <v>2704</v>
      </c>
      <c r="J239" s="4143"/>
      <c r="K239" s="4141"/>
      <c r="L239" s="4141"/>
      <c r="M239" s="4141"/>
      <c r="N239" s="4144"/>
      <c r="O239" s="660"/>
      <c r="P239" s="660"/>
      <c r="Q239" s="1185"/>
      <c r="R239" s="4145" t="s">
        <v>5025</v>
      </c>
      <c r="S239" s="4146"/>
    </row>
    <row r="240" spans="1:23" s="33" customFormat="1" ht="11.25" customHeight="1">
      <c r="A240" s="581"/>
      <c r="B240" s="138" t="s">
        <v>2194</v>
      </c>
      <c r="D240" s="4024"/>
      <c r="E240" s="4025"/>
      <c r="F240" s="4026"/>
      <c r="G240" s="138" t="s">
        <v>1721</v>
      </c>
      <c r="H240" s="1270"/>
      <c r="I240" s="497" t="s">
        <v>1800</v>
      </c>
      <c r="J240" s="4024"/>
      <c r="K240" s="4025"/>
      <c r="L240" s="4025"/>
      <c r="M240" s="4025"/>
      <c r="N240" s="4026"/>
      <c r="Q240" s="1185"/>
      <c r="R240" s="4147"/>
      <c r="S240" s="4148"/>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7"/>
      <c r="S241" s="4148"/>
    </row>
    <row r="242" spans="1:23" ht="10.5" customHeight="1">
      <c r="A242" s="581"/>
      <c r="B242" s="674" t="s">
        <v>1986</v>
      </c>
      <c r="C242" s="1187" t="s">
        <v>4026</v>
      </c>
      <c r="D242" s="1182"/>
      <c r="E242" s="1182"/>
      <c r="F242" s="1182"/>
      <c r="G242" s="1182"/>
      <c r="H242" s="1182"/>
      <c r="I242" s="1182"/>
      <c r="J242" s="1182"/>
      <c r="K242" s="1182"/>
      <c r="L242" s="1182"/>
      <c r="M242" s="1182"/>
      <c r="N242" s="1182"/>
      <c r="O242" s="589" t="s">
        <v>2510</v>
      </c>
      <c r="P242" s="589" t="s">
        <v>2510</v>
      </c>
      <c r="Q242" s="1182"/>
      <c r="R242" s="4147"/>
      <c r="S242" s="4148"/>
    </row>
    <row r="243" spans="1:23" s="33" customFormat="1" ht="21.75" customHeight="1">
      <c r="A243" s="1512"/>
      <c r="B243" s="718"/>
      <c r="C243" s="3859" t="s">
        <v>4037</v>
      </c>
      <c r="D243" s="3859"/>
      <c r="E243" s="3859"/>
      <c r="F243" s="3859"/>
      <c r="G243" s="3859"/>
      <c r="H243" s="3859"/>
      <c r="I243" s="3859"/>
      <c r="J243" s="3859"/>
      <c r="K243" s="3859"/>
      <c r="L243" s="3859"/>
      <c r="M243" s="3859"/>
      <c r="N243" s="449" t="s">
        <v>1986</v>
      </c>
      <c r="O243" s="1424"/>
      <c r="P243" s="1425"/>
      <c r="Q243" s="1182"/>
      <c r="R243" s="4147"/>
      <c r="S243" s="4148"/>
      <c r="V243" s="1285"/>
      <c r="W243" s="1285"/>
    </row>
    <row r="244" spans="1:23" s="33" customFormat="1" ht="11.25" customHeight="1">
      <c r="A244" s="581"/>
      <c r="B244" s="527" t="s">
        <v>2435</v>
      </c>
      <c r="C244" s="138" t="s">
        <v>4028</v>
      </c>
      <c r="D244" s="4017"/>
      <c r="E244" s="4018"/>
      <c r="F244" s="4018"/>
      <c r="G244" s="4141"/>
      <c r="H244" s="4019"/>
      <c r="I244" s="1510" t="s">
        <v>2704</v>
      </c>
      <c r="J244" s="4017"/>
      <c r="K244" s="4018"/>
      <c r="L244" s="4018"/>
      <c r="M244" s="4018"/>
      <c r="N244" s="4019"/>
      <c r="O244" s="4117" t="s">
        <v>4030</v>
      </c>
      <c r="P244" s="4118"/>
      <c r="Q244" s="1182"/>
      <c r="R244" s="4147"/>
      <c r="S244" s="4148"/>
      <c r="V244" s="1285"/>
      <c r="W244" s="1285"/>
    </row>
    <row r="245" spans="1:23" s="33" customFormat="1" ht="11.25" customHeight="1">
      <c r="A245" s="581"/>
      <c r="C245" s="1304" t="s">
        <v>2194</v>
      </c>
      <c r="D245" s="4024"/>
      <c r="E245" s="4025"/>
      <c r="F245" s="4026"/>
      <c r="G245" s="1413" t="s">
        <v>1721</v>
      </c>
      <c r="H245" s="1270"/>
      <c r="I245" s="1303" t="s">
        <v>1800</v>
      </c>
      <c r="J245" s="4024"/>
      <c r="K245" s="4025"/>
      <c r="L245" s="4025"/>
      <c r="M245" s="4025"/>
      <c r="N245" s="4026"/>
      <c r="O245" s="239"/>
      <c r="P245" s="619"/>
      <c r="Q245" s="1182"/>
      <c r="R245" s="4147"/>
      <c r="S245" s="4148"/>
      <c r="V245" s="1285"/>
      <c r="W245" s="1285"/>
    </row>
    <row r="246" spans="1:23" s="33" customFormat="1" ht="11.25" customHeight="1">
      <c r="A246" s="581"/>
      <c r="B246" s="527" t="s">
        <v>2436</v>
      </c>
      <c r="C246" s="138" t="s">
        <v>4029</v>
      </c>
      <c r="D246" s="4017"/>
      <c r="E246" s="4018"/>
      <c r="F246" s="4018"/>
      <c r="G246" s="4141"/>
      <c r="H246" s="4019"/>
      <c r="I246" s="1510" t="s">
        <v>2704</v>
      </c>
      <c r="J246" s="4017"/>
      <c r="K246" s="4018"/>
      <c r="L246" s="4018"/>
      <c r="M246" s="4018"/>
      <c r="N246" s="4019"/>
      <c r="O246" s="4117" t="s">
        <v>4030</v>
      </c>
      <c r="P246" s="4118"/>
      <c r="Q246" s="1182"/>
      <c r="R246" s="4147"/>
      <c r="S246" s="4148"/>
      <c r="V246" s="1285"/>
      <c r="W246" s="1285"/>
    </row>
    <row r="247" spans="1:23" s="33" customFormat="1" ht="11.25" customHeight="1">
      <c r="A247" s="581"/>
      <c r="C247" s="1304" t="s">
        <v>2194</v>
      </c>
      <c r="D247" s="4024"/>
      <c r="E247" s="4025"/>
      <c r="F247" s="4026"/>
      <c r="G247" s="1413" t="s">
        <v>1721</v>
      </c>
      <c r="H247" s="1270"/>
      <c r="I247" s="1303" t="s">
        <v>1800</v>
      </c>
      <c r="J247" s="4024"/>
      <c r="K247" s="4025"/>
      <c r="L247" s="4025"/>
      <c r="M247" s="4025"/>
      <c r="N247" s="4026"/>
      <c r="O247" s="239"/>
      <c r="P247" s="619"/>
      <c r="Q247" s="1182"/>
      <c r="R247" s="4147"/>
      <c r="S247" s="4148"/>
      <c r="V247" s="1285"/>
      <c r="W247" s="1285"/>
    </row>
    <row r="248" spans="1:23" ht="11.25" customHeight="1">
      <c r="A248" s="581"/>
      <c r="B248" s="674" t="s">
        <v>1988</v>
      </c>
      <c r="C248" s="1187" t="s">
        <v>4031</v>
      </c>
      <c r="D248" s="1182"/>
      <c r="E248" s="1182"/>
      <c r="F248" s="1182"/>
      <c r="G248" s="538" t="s">
        <v>3783</v>
      </c>
      <c r="H248" s="1182"/>
      <c r="I248" s="1182"/>
      <c r="J248" s="1182"/>
      <c r="K248" s="1182"/>
      <c r="L248" s="1182"/>
      <c r="M248" s="1182"/>
      <c r="N248" s="1182"/>
      <c r="O248" s="589" t="s">
        <v>2510</v>
      </c>
      <c r="P248" s="589" t="s">
        <v>2510</v>
      </c>
      <c r="Q248" s="1182"/>
      <c r="R248" s="4147"/>
      <c r="S248" s="4148"/>
    </row>
    <row r="249" spans="1:23" ht="33.75" customHeight="1">
      <c r="A249" s="581"/>
      <c r="B249" s="1189"/>
      <c r="C249" s="3860" t="s">
        <v>4136</v>
      </c>
      <c r="D249" s="3860"/>
      <c r="E249" s="3860"/>
      <c r="F249" s="3860"/>
      <c r="G249" s="3860"/>
      <c r="H249" s="3860"/>
      <c r="I249" s="3860"/>
      <c r="J249" s="3860"/>
      <c r="K249" s="3860"/>
      <c r="L249" s="3860"/>
      <c r="M249" s="3860"/>
      <c r="N249" s="449" t="s">
        <v>1988</v>
      </c>
      <c r="O249" s="1424"/>
      <c r="P249" s="1425"/>
      <c r="Q249" s="1186"/>
      <c r="R249" s="4147"/>
      <c r="S249" s="4148"/>
      <c r="V249" s="1285"/>
      <c r="W249" s="1285"/>
    </row>
    <row r="250" spans="1:23" ht="11.25" customHeight="1">
      <c r="A250" s="581"/>
      <c r="B250" s="527" t="s">
        <v>2435</v>
      </c>
      <c r="C250" s="1191" t="s">
        <v>4137</v>
      </c>
      <c r="D250" s="1511"/>
      <c r="E250" s="1511"/>
      <c r="F250" s="1511"/>
      <c r="G250" s="1511"/>
      <c r="H250" s="1511"/>
      <c r="I250" s="1511"/>
      <c r="J250" s="1511"/>
      <c r="K250" s="1511"/>
      <c r="L250" s="1511"/>
      <c r="M250" s="1511"/>
      <c r="N250" s="1511"/>
      <c r="O250" s="1511"/>
      <c r="P250" s="1511"/>
      <c r="Q250" s="1186"/>
      <c r="R250" s="4147"/>
      <c r="S250" s="4148"/>
      <c r="V250" s="1285"/>
      <c r="W250" s="1285"/>
    </row>
    <row r="251" spans="1:23" ht="11.25" customHeight="1">
      <c r="A251" s="581"/>
      <c r="B251" s="33"/>
      <c r="C251" s="3955" t="s">
        <v>4612</v>
      </c>
      <c r="D251" s="3956"/>
      <c r="E251" s="3956"/>
      <c r="F251" s="3956"/>
      <c r="G251" s="3956"/>
      <c r="H251" s="3956"/>
      <c r="I251" s="3956"/>
      <c r="J251" s="3956"/>
      <c r="K251" s="3956"/>
      <c r="L251" s="3956"/>
      <c r="M251" s="3956"/>
      <c r="N251" s="3956"/>
      <c r="O251" s="3956"/>
      <c r="P251" s="3957"/>
      <c r="Q251" s="1291"/>
      <c r="R251" s="4147"/>
      <c r="S251" s="4148"/>
      <c r="V251" s="1285"/>
      <c r="W251" s="1285"/>
    </row>
    <row r="252" spans="1:23" ht="11.25" customHeight="1">
      <c r="A252" s="581"/>
      <c r="B252" s="1189"/>
      <c r="C252" s="3958" t="s">
        <v>226</v>
      </c>
      <c r="D252" s="3959"/>
      <c r="E252" s="3959"/>
      <c r="F252" s="3959"/>
      <c r="G252" s="3959"/>
      <c r="H252" s="3959"/>
      <c r="I252" s="3959"/>
      <c r="J252" s="3959"/>
      <c r="K252" s="3959"/>
      <c r="L252" s="3959"/>
      <c r="M252" s="3959"/>
      <c r="N252" s="3959"/>
      <c r="O252" s="3959"/>
      <c r="P252" s="3960"/>
      <c r="Q252" s="1186"/>
      <c r="R252" s="4147"/>
      <c r="S252" s="4148"/>
      <c r="V252" s="1285"/>
      <c r="W252" s="1285"/>
    </row>
    <row r="253" spans="1:23" ht="11.25" customHeight="1">
      <c r="A253" s="581"/>
      <c r="B253" s="1189"/>
      <c r="C253" s="3961" t="s">
        <v>1404</v>
      </c>
      <c r="D253" s="3962"/>
      <c r="E253" s="3962"/>
      <c r="F253" s="3962"/>
      <c r="G253" s="3962"/>
      <c r="H253" s="3962"/>
      <c r="I253" s="3962"/>
      <c r="J253" s="3962"/>
      <c r="K253" s="3962"/>
      <c r="L253" s="3962"/>
      <c r="M253" s="3962"/>
      <c r="N253" s="3962"/>
      <c r="O253" s="3962"/>
      <c r="P253" s="3963"/>
      <c r="Q253" s="1186"/>
      <c r="R253" s="4147"/>
      <c r="S253" s="4148"/>
      <c r="V253" s="1285"/>
      <c r="W253" s="1285"/>
    </row>
    <row r="254" spans="1:23" ht="11.25" customHeight="1">
      <c r="A254" s="581"/>
      <c r="B254" s="527" t="s">
        <v>2436</v>
      </c>
      <c r="C254" s="1191" t="s">
        <v>4135</v>
      </c>
      <c r="D254" s="1511"/>
      <c r="E254" s="1511"/>
      <c r="F254" s="1511"/>
      <c r="G254" s="1511"/>
      <c r="H254" s="1511"/>
      <c r="I254" s="1511"/>
      <c r="J254" s="1511"/>
      <c r="K254" s="1511"/>
      <c r="L254" s="3973" t="s">
        <v>4139</v>
      </c>
      <c r="M254" s="3973"/>
      <c r="N254" s="3974" t="s">
        <v>4140</v>
      </c>
      <c r="O254" s="3974"/>
      <c r="P254" s="3974"/>
      <c r="Q254" s="1186"/>
      <c r="R254" s="4147"/>
      <c r="S254" s="4148"/>
      <c r="V254" s="1285"/>
      <c r="W254" s="1285"/>
    </row>
    <row r="255" spans="1:23" ht="11.25" customHeight="1">
      <c r="A255" s="581"/>
      <c r="B255" s="1189"/>
      <c r="C255" s="3964" t="s">
        <v>4612</v>
      </c>
      <c r="D255" s="3965"/>
      <c r="E255" s="3965"/>
      <c r="F255" s="3965"/>
      <c r="G255" s="3965"/>
      <c r="H255" s="3965"/>
      <c r="I255" s="3965"/>
      <c r="J255" s="3965"/>
      <c r="K255" s="3966"/>
      <c r="L255" s="3964"/>
      <c r="M255" s="3966"/>
      <c r="N255" s="3964"/>
      <c r="O255" s="3965"/>
      <c r="P255" s="3966"/>
      <c r="Q255" s="1291"/>
      <c r="R255" s="4147"/>
      <c r="S255" s="4148"/>
      <c r="V255" s="1285"/>
      <c r="W255" s="1285"/>
    </row>
    <row r="256" spans="1:23" ht="11.25" customHeight="1">
      <c r="A256" s="581"/>
      <c r="B256" s="1189"/>
      <c r="C256" s="3967" t="s">
        <v>226</v>
      </c>
      <c r="D256" s="3968"/>
      <c r="E256" s="3968"/>
      <c r="F256" s="3968"/>
      <c r="G256" s="3968"/>
      <c r="H256" s="3968"/>
      <c r="I256" s="3968"/>
      <c r="J256" s="3968"/>
      <c r="K256" s="3969"/>
      <c r="L256" s="3967"/>
      <c r="M256" s="3969"/>
      <c r="N256" s="3967"/>
      <c r="O256" s="3968"/>
      <c r="P256" s="3969"/>
      <c r="Q256" s="1186"/>
      <c r="R256" s="4147"/>
      <c r="S256" s="4148"/>
      <c r="V256" s="1285"/>
      <c r="W256" s="1285"/>
    </row>
    <row r="257" spans="1:23" ht="11.25" customHeight="1">
      <c r="A257" s="581"/>
      <c r="B257" s="1189"/>
      <c r="C257" s="3970" t="s">
        <v>1404</v>
      </c>
      <c r="D257" s="3971"/>
      <c r="E257" s="3971"/>
      <c r="F257" s="3971"/>
      <c r="G257" s="3971"/>
      <c r="H257" s="3971"/>
      <c r="I257" s="3971"/>
      <c r="J257" s="3971"/>
      <c r="K257" s="3972"/>
      <c r="L257" s="3970"/>
      <c r="M257" s="3972"/>
      <c r="N257" s="3970"/>
      <c r="O257" s="3971"/>
      <c r="P257" s="3972"/>
      <c r="Q257" s="1186"/>
      <c r="R257" s="4147"/>
      <c r="S257" s="4148"/>
      <c r="V257" s="1285"/>
      <c r="W257" s="1285"/>
    </row>
    <row r="258" spans="1:23" ht="11.25" customHeight="1">
      <c r="A258" s="581"/>
      <c r="B258" s="674" t="s">
        <v>2534</v>
      </c>
      <c r="C258" s="1187" t="s">
        <v>4032</v>
      </c>
      <c r="D258" s="1182"/>
      <c r="E258" s="1182"/>
      <c r="F258" s="1182"/>
      <c r="G258" s="1182"/>
      <c r="H258" s="1182"/>
      <c r="I258" s="1182"/>
      <c r="J258" s="1182"/>
      <c r="K258" s="1182"/>
      <c r="L258" s="1182"/>
      <c r="M258" s="1182"/>
      <c r="N258" s="1182"/>
      <c r="O258" s="589"/>
      <c r="P258" s="589"/>
      <c r="Q258" s="1182"/>
      <c r="R258" s="4149"/>
      <c r="S258" s="4150"/>
    </row>
    <row r="259" spans="1:23" s="33" customFormat="1" ht="11.25" customHeight="1">
      <c r="A259" s="581"/>
      <c r="B259" s="1190"/>
      <c r="C259" s="3859" t="s">
        <v>4036</v>
      </c>
      <c r="D259" s="3859"/>
      <c r="E259" s="3859"/>
      <c r="F259" s="3859"/>
      <c r="G259" s="3859"/>
      <c r="H259" s="3859"/>
      <c r="I259" s="3859"/>
      <c r="J259" s="3859"/>
      <c r="K259" s="3859"/>
      <c r="L259" s="3859"/>
      <c r="M259" s="3859"/>
      <c r="N259" s="449" t="s">
        <v>2534</v>
      </c>
      <c r="O259" s="542"/>
      <c r="P259" s="616"/>
      <c r="Q259" s="1186"/>
      <c r="V259" s="1285"/>
      <c r="W259" s="1285"/>
    </row>
    <row r="260" spans="1:23" ht="11.25" customHeight="1">
      <c r="A260" s="142"/>
      <c r="B260" s="1012" t="s">
        <v>1224</v>
      </c>
      <c r="C260" s="671" t="s">
        <v>3786</v>
      </c>
      <c r="D260" s="33"/>
      <c r="N260" s="27"/>
      <c r="O260" s="27"/>
      <c r="P260" s="27"/>
      <c r="Q260" s="118"/>
    </row>
    <row r="261" spans="1:23" s="33" customFormat="1" ht="21.75" customHeight="1">
      <c r="A261" s="581"/>
      <c r="B261" s="1190"/>
      <c r="C261" s="3858" t="s">
        <v>4038</v>
      </c>
      <c r="D261" s="3858"/>
      <c r="E261" s="3858"/>
      <c r="F261" s="3858"/>
      <c r="G261" s="3858"/>
      <c r="H261" s="3858"/>
      <c r="I261" s="3858"/>
      <c r="J261" s="3858"/>
      <c r="K261" s="3858"/>
      <c r="L261" s="3858"/>
      <c r="M261" s="3858"/>
      <c r="N261" s="449" t="s">
        <v>1224</v>
      </c>
      <c r="O261" s="1424"/>
      <c r="P261" s="1425"/>
      <c r="Q261" s="1186"/>
      <c r="V261" s="1285"/>
      <c r="W261" s="1285"/>
    </row>
    <row r="262" spans="1:23" s="33" customFormat="1" ht="10.5" customHeight="1">
      <c r="A262" s="581"/>
      <c r="B262" s="1190"/>
      <c r="C262" s="2541"/>
      <c r="D262" s="2541"/>
      <c r="E262" s="2541"/>
      <c r="F262" s="2541"/>
      <c r="G262" s="718" t="s">
        <v>4950</v>
      </c>
      <c r="H262" s="2541"/>
      <c r="J262" s="3978"/>
      <c r="K262" s="3979"/>
      <c r="L262" s="2541"/>
      <c r="M262" s="2541"/>
      <c r="N262" s="2541"/>
      <c r="O262" s="2541"/>
      <c r="P262" s="2541"/>
      <c r="Q262" s="1186"/>
      <c r="V262" s="1285"/>
      <c r="W262" s="1285"/>
    </row>
    <row r="263" spans="1:23" s="33" customFormat="1" ht="11.25" customHeight="1">
      <c r="A263" s="581"/>
      <c r="B263" s="446" t="s">
        <v>2435</v>
      </c>
      <c r="C263" s="3859" t="s">
        <v>4039</v>
      </c>
      <c r="D263" s="3859"/>
      <c r="E263" s="3859"/>
      <c r="F263" s="3859"/>
      <c r="G263" s="3859"/>
      <c r="H263" s="3859"/>
      <c r="I263" s="3859"/>
      <c r="J263" s="3859"/>
      <c r="K263" s="3859"/>
      <c r="L263" s="3859"/>
      <c r="M263" s="3859"/>
      <c r="N263" s="446" t="s">
        <v>2435</v>
      </c>
      <c r="O263" s="238"/>
      <c r="P263" s="617"/>
      <c r="Q263" s="1186"/>
      <c r="V263" s="1285"/>
      <c r="W263" s="1285"/>
    </row>
    <row r="264" spans="1:23" s="33" customFormat="1" ht="11.25" customHeight="1">
      <c r="A264" s="581"/>
      <c r="B264" s="446" t="s">
        <v>2436</v>
      </c>
      <c r="C264" s="3859" t="s">
        <v>4850</v>
      </c>
      <c r="D264" s="3859"/>
      <c r="E264" s="3859"/>
      <c r="F264" s="3859"/>
      <c r="G264" s="3859"/>
      <c r="H264" s="3859"/>
      <c r="I264" s="3859"/>
      <c r="J264" s="3859"/>
      <c r="K264" s="3859"/>
      <c r="L264" s="3859"/>
      <c r="M264" s="3859"/>
      <c r="N264" s="446" t="s">
        <v>2436</v>
      </c>
      <c r="O264" s="239"/>
      <c r="P264" s="619"/>
      <c r="Q264" s="1186"/>
      <c r="V264" s="1285"/>
      <c r="W264" s="1285"/>
    </row>
    <row r="265" spans="1:23" ht="11.25" customHeight="1">
      <c r="A265" s="142"/>
      <c r="B265" s="1012" t="s">
        <v>1225</v>
      </c>
      <c r="C265" s="671" t="s">
        <v>4851</v>
      </c>
      <c r="D265" s="33"/>
      <c r="N265" s="449" t="s">
        <v>1225</v>
      </c>
      <c r="O265" s="27"/>
      <c r="P265" s="27"/>
      <c r="Q265" s="118"/>
    </row>
    <row r="266" spans="1:23" s="33" customFormat="1" ht="11.25" customHeight="1">
      <c r="A266" s="581"/>
      <c r="B266" s="446" t="s">
        <v>2435</v>
      </c>
      <c r="C266" s="3859" t="s">
        <v>4852</v>
      </c>
      <c r="D266" s="3859"/>
      <c r="E266" s="3859"/>
      <c r="F266" s="3859"/>
      <c r="G266" s="3859"/>
      <c r="H266" s="3859"/>
      <c r="I266" s="3859"/>
      <c r="J266" s="3859"/>
      <c r="K266" s="3859"/>
      <c r="L266" s="3859"/>
      <c r="M266" s="3859"/>
      <c r="N266" s="446" t="s">
        <v>2435</v>
      </c>
      <c r="O266" s="238"/>
      <c r="P266" s="617"/>
      <c r="Q266" s="1186"/>
      <c r="V266" s="1285"/>
      <c r="W266" s="1285"/>
    </row>
    <row r="267" spans="1:23" s="33" customFormat="1" ht="11.25" customHeight="1">
      <c r="A267" s="581"/>
      <c r="B267" s="446" t="s">
        <v>2436</v>
      </c>
      <c r="C267" s="3859" t="s">
        <v>4853</v>
      </c>
      <c r="D267" s="3859"/>
      <c r="E267" s="3859"/>
      <c r="F267" s="3859"/>
      <c r="G267" s="3859"/>
      <c r="H267" s="3859"/>
      <c r="I267" s="3859"/>
      <c r="J267" s="3859"/>
      <c r="K267" s="3859"/>
      <c r="L267" s="3859"/>
      <c r="M267" s="3859"/>
      <c r="N267" s="446" t="s">
        <v>2436</v>
      </c>
      <c r="O267" s="239"/>
      <c r="P267" s="619"/>
      <c r="Q267" s="1186"/>
      <c r="V267" s="1285"/>
      <c r="W267" s="1285"/>
    </row>
    <row r="268" spans="1:23" ht="11.45" customHeight="1">
      <c r="A268" s="142" t="s">
        <v>1985</v>
      </c>
      <c r="B268" s="197" t="s">
        <v>4033</v>
      </c>
      <c r="D268" s="33"/>
      <c r="G268" s="538" t="s">
        <v>3783</v>
      </c>
      <c r="N268" s="27"/>
      <c r="O268" s="589" t="s">
        <v>2510</v>
      </c>
      <c r="P268" s="589" t="s">
        <v>2510</v>
      </c>
      <c r="Q268" s="1185"/>
    </row>
    <row r="269" spans="1:23" ht="22.5" customHeight="1">
      <c r="B269" s="674" t="s">
        <v>1986</v>
      </c>
      <c r="C269" s="3873" t="s">
        <v>4034</v>
      </c>
      <c r="D269" s="3873"/>
      <c r="E269" s="3873"/>
      <c r="F269" s="3873"/>
      <c r="G269" s="3873"/>
      <c r="H269" s="3873"/>
      <c r="I269" s="3873"/>
      <c r="J269" s="3873"/>
      <c r="K269" s="3873"/>
      <c r="L269" s="3873"/>
      <c r="M269" s="1368" t="s">
        <v>1985</v>
      </c>
      <c r="N269" s="449" t="s">
        <v>1986</v>
      </c>
      <c r="O269" s="1422"/>
      <c r="P269" s="1421"/>
      <c r="Q269" s="1185"/>
      <c r="V269" s="1285"/>
      <c r="W269" s="1285"/>
    </row>
    <row r="270" spans="1:23" s="33" customFormat="1" ht="11.25" customHeight="1">
      <c r="A270" s="581"/>
      <c r="B270" s="674" t="s">
        <v>1988</v>
      </c>
      <c r="C270" s="497" t="s">
        <v>4854</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4855</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3754</v>
      </c>
      <c r="C272" s="42"/>
      <c r="D272" s="48"/>
      <c r="E272" s="48"/>
      <c r="F272" s="48"/>
      <c r="G272" s="48"/>
      <c r="H272" s="36"/>
      <c r="I272" s="138"/>
      <c r="M272" s="46"/>
      <c r="N272" s="62"/>
      <c r="O272" s="3"/>
      <c r="P272" s="1505"/>
    </row>
    <row r="273" spans="1:18" s="43" customFormat="1" ht="21.75" customHeight="1" thickTop="1" thickBot="1">
      <c r="A273" s="3874"/>
      <c r="B273" s="3875"/>
      <c r="C273" s="3875"/>
      <c r="D273" s="3875"/>
      <c r="E273" s="3875"/>
      <c r="F273" s="3875"/>
      <c r="G273" s="3875"/>
      <c r="H273" s="3875"/>
      <c r="I273" s="3875"/>
      <c r="J273" s="3875"/>
      <c r="K273" s="3875"/>
      <c r="L273" s="3875"/>
      <c r="M273" s="3875"/>
      <c r="N273" s="3875"/>
      <c r="O273" s="3875"/>
      <c r="P273" s="3876"/>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3"/>
      <c r="B275" s="3984"/>
      <c r="C275" s="3984"/>
      <c r="D275" s="3984"/>
      <c r="E275" s="3984"/>
      <c r="F275" s="3984"/>
      <c r="G275" s="3984"/>
      <c r="H275" s="3984"/>
      <c r="I275" s="3984"/>
      <c r="J275" s="3984"/>
      <c r="K275" s="3984"/>
      <c r="L275" s="3984"/>
      <c r="M275" s="3984"/>
      <c r="N275" s="3984"/>
      <c r="O275" s="3984"/>
      <c r="P275" s="3985"/>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6" t="s">
        <v>3601</v>
      </c>
      <c r="B279" s="989" t="s">
        <v>4859</v>
      </c>
      <c r="C279" s="94"/>
      <c r="D279" s="59"/>
      <c r="E279" s="59"/>
      <c r="G279" s="538" t="s">
        <v>4866</v>
      </c>
      <c r="I279" s="27"/>
      <c r="J279" s="3980" t="str">
        <f>'Part I-Project Information'!$O$38</f>
        <v>402.03</v>
      </c>
      <c r="K279" s="3980"/>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86"/>
      <c r="B280" s="114" t="s">
        <v>2794</v>
      </c>
      <c r="C280" s="585"/>
      <c r="D280" s="585"/>
      <c r="G280" s="586" t="str">
        <f>'Part I-Project Information'!$H$105</f>
        <v>N/A - 4% Bond</v>
      </c>
      <c r="M280" s="1183" t="s">
        <v>4860</v>
      </c>
      <c r="N280" s="2476"/>
      <c r="O280" s="1456" t="s">
        <v>2510</v>
      </c>
      <c r="P280" s="1456" t="s">
        <v>2510</v>
      </c>
    </row>
    <row r="281" spans="1:18" ht="11.45" customHeight="1">
      <c r="A281" s="3986"/>
      <c r="B281" s="1012" t="s">
        <v>1986</v>
      </c>
      <c r="C281" s="502" t="s">
        <v>2685</v>
      </c>
      <c r="E281" s="120"/>
      <c r="M281" s="82"/>
      <c r="N281" s="194" t="s">
        <v>1986</v>
      </c>
      <c r="O281" s="238"/>
      <c r="P281" s="617"/>
      <c r="Q281" s="3975" t="str">
        <f>IF(AND(O281="Yes",O284="Yes"),"Only 1 or 4 can be 'Yes'!","")</f>
        <v/>
      </c>
      <c r="R281" s="3975"/>
    </row>
    <row r="282" spans="1:18" ht="11.45" customHeight="1">
      <c r="B282" s="1012" t="s">
        <v>1988</v>
      </c>
      <c r="C282" s="502" t="s">
        <v>2739</v>
      </c>
      <c r="G282" s="103" t="s">
        <v>2389</v>
      </c>
      <c r="H282" s="550" t="s">
        <v>4900</v>
      </c>
      <c r="I282" s="502" t="s">
        <v>2740</v>
      </c>
      <c r="L282" s="138" t="s">
        <v>2738</v>
      </c>
      <c r="M282" s="1013" t="str">
        <f>IF(O282&gt;H282,"CHECK ACTUAL PERCENT!!!","")</f>
        <v/>
      </c>
      <c r="N282" s="194" t="s">
        <v>1988</v>
      </c>
      <c r="O282" s="2477"/>
      <c r="P282" s="2478"/>
      <c r="Q282" s="3975"/>
      <c r="R282" s="3975"/>
    </row>
    <row r="283" spans="1:18" ht="11.45" customHeight="1">
      <c r="B283" s="1012" t="s">
        <v>2534</v>
      </c>
      <c r="C283" s="478" t="s">
        <v>2390</v>
      </c>
      <c r="E283" s="120"/>
      <c r="G283" s="103" t="s">
        <v>2391</v>
      </c>
      <c r="J283" s="3846" t="s">
        <v>5063</v>
      </c>
      <c r="L283" s="497" t="s">
        <v>2732</v>
      </c>
      <c r="M283" s="33"/>
      <c r="N283" s="194" t="s">
        <v>2534</v>
      </c>
      <c r="O283" s="2479" t="s">
        <v>201</v>
      </c>
      <c r="P283" s="2480" t="s">
        <v>201</v>
      </c>
      <c r="Q283" s="3975"/>
      <c r="R283" s="3975"/>
    </row>
    <row r="284" spans="1:18" s="451" customFormat="1" ht="11.45" customHeight="1">
      <c r="B284" s="674" t="s">
        <v>1224</v>
      </c>
      <c r="C284" s="3860" t="s">
        <v>4875</v>
      </c>
      <c r="D284" s="3860"/>
      <c r="E284" s="3860"/>
      <c r="F284" s="3860"/>
      <c r="G284" s="3860"/>
      <c r="H284" s="3860"/>
      <c r="I284" s="3860"/>
      <c r="J284" s="3847"/>
      <c r="K284" s="3846" t="s">
        <v>4041</v>
      </c>
      <c r="M284" s="1372">
        <v>2</v>
      </c>
      <c r="N284" s="194" t="s">
        <v>1224</v>
      </c>
      <c r="O284" s="1447"/>
      <c r="P284" s="1448"/>
      <c r="Q284" s="3975"/>
      <c r="R284" s="3975"/>
    </row>
    <row r="285" spans="1:18" ht="11.45" customHeight="1">
      <c r="B285" s="432"/>
      <c r="C285" s="3860"/>
      <c r="D285" s="3860"/>
      <c r="E285" s="3860"/>
      <c r="F285" s="3860"/>
      <c r="G285" s="3860"/>
      <c r="H285" s="3860"/>
      <c r="I285" s="3860"/>
      <c r="J285" s="3848"/>
      <c r="K285" s="3848"/>
      <c r="L285" s="3877" t="s">
        <v>4097</v>
      </c>
      <c r="M285" s="3878"/>
      <c r="N285" s="120"/>
    </row>
    <row r="286" spans="1:18" ht="23.25" customHeight="1">
      <c r="B286" s="432"/>
      <c r="C286" s="3860"/>
      <c r="D286" s="3860"/>
      <c r="E286" s="3860"/>
      <c r="F286" s="3860"/>
      <c r="G286" s="3860"/>
      <c r="H286" s="3860"/>
      <c r="I286" s="3860"/>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4861</v>
      </c>
      <c r="C288" s="478"/>
      <c r="E288" s="120"/>
      <c r="G288" s="495" t="s">
        <v>4862</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5058</v>
      </c>
      <c r="D289" s="138"/>
      <c r="G289" s="138" t="s">
        <v>4863</v>
      </c>
      <c r="H289" s="1129"/>
      <c r="I289" s="1129"/>
      <c r="J289" s="33"/>
      <c r="K289" s="33"/>
      <c r="L289" s="33"/>
      <c r="M289" s="33"/>
      <c r="N289" s="194" t="s">
        <v>1986</v>
      </c>
      <c r="O289" s="2481"/>
      <c r="P289" s="2482"/>
    </row>
    <row r="290" spans="1:21" ht="11.45" customHeight="1">
      <c r="A290" s="588"/>
      <c r="B290" s="1012" t="s">
        <v>1988</v>
      </c>
      <c r="C290" s="138" t="s">
        <v>5059</v>
      </c>
      <c r="D290" s="138"/>
      <c r="G290" s="138" t="s">
        <v>4864</v>
      </c>
      <c r="H290" s="1129"/>
      <c r="I290" s="1129"/>
      <c r="J290" s="33"/>
      <c r="K290" s="33"/>
      <c r="L290" s="33"/>
      <c r="M290" s="33"/>
      <c r="N290" s="194" t="s">
        <v>1988</v>
      </c>
      <c r="O290" s="2483"/>
      <c r="P290" s="2484"/>
      <c r="R290" s="163" t="s">
        <v>5069</v>
      </c>
    </row>
    <row r="291" spans="1:21" ht="11.45" customHeight="1">
      <c r="A291" s="588"/>
      <c r="B291" s="1012" t="s">
        <v>2534</v>
      </c>
      <c r="C291" s="138" t="s">
        <v>5060</v>
      </c>
      <c r="D291" s="138"/>
      <c r="G291" s="138" t="s">
        <v>4865</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3602</v>
      </c>
      <c r="C293" s="478"/>
      <c r="E293" s="120"/>
      <c r="G293" s="2460" t="s">
        <v>3606</v>
      </c>
      <c r="H293" s="2487">
        <f>IF('Part VI-Revenues &amp; Expenses'!$O$67=0,0,'Part VI-Revenues &amp; Expenses'!$O$64/'Part VI-Revenues &amp; Expenses'!$O$67)</f>
        <v>0</v>
      </c>
      <c r="J293" s="2468" t="s">
        <v>4867</v>
      </c>
      <c r="K293" s="3981" t="str">
        <f>'Part I-Project Information'!$K$94</f>
        <v>Income Averaging</v>
      </c>
      <c r="L293" s="3982"/>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3"/>
      <c r="B296" s="3984"/>
      <c r="C296" s="3984"/>
      <c r="D296" s="3984"/>
      <c r="E296" s="3984"/>
      <c r="F296" s="3984"/>
      <c r="G296" s="3984"/>
      <c r="H296" s="3984"/>
      <c r="I296" s="3984"/>
      <c r="J296" s="3984"/>
      <c r="K296" s="3984"/>
      <c r="L296" s="3984"/>
      <c r="M296" s="3984"/>
      <c r="N296" s="3984"/>
      <c r="O296" s="3984"/>
      <c r="P296" s="3985"/>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4044</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c r="A299" s="1504" t="s">
        <v>1983</v>
      </c>
      <c r="B299" s="1374" t="s">
        <v>3790</v>
      </c>
      <c r="D299" s="718"/>
      <c r="E299" s="718"/>
      <c r="F299" s="718"/>
      <c r="G299" s="718"/>
      <c r="H299" s="718"/>
      <c r="I299" s="718"/>
      <c r="J299" s="718"/>
      <c r="K299" s="718"/>
      <c r="L299" s="1191"/>
      <c r="M299" s="3994" t="str">
        <f>IF(OR(SUM(T299:T300)&gt;1,SUM(U299:U300)&gt;1),"Only one category can be met by other means!","")</f>
        <v/>
      </c>
      <c r="N299" s="527" t="s">
        <v>1983</v>
      </c>
      <c r="O299" s="238"/>
      <c r="P299" s="617"/>
      <c r="U299" s="1523">
        <f>IF(L299="Yes",1,0)</f>
        <v>0</v>
      </c>
    </row>
    <row r="300" spans="1:21" ht="11.25" customHeight="1">
      <c r="A300" s="1504" t="s">
        <v>1985</v>
      </c>
      <c r="B300" s="1374" t="s">
        <v>3791</v>
      </c>
      <c r="D300" s="718"/>
      <c r="L300" s="1191"/>
      <c r="M300" s="3994"/>
      <c r="N300" s="527" t="s">
        <v>1985</v>
      </c>
      <c r="O300" s="239"/>
      <c r="P300" s="619"/>
      <c r="U300" s="1523">
        <f>IF(L300="Yes",1,0)</f>
        <v>0</v>
      </c>
    </row>
    <row r="301" spans="1:21" s="43" customFormat="1" ht="10.5" customHeight="1" thickBot="1">
      <c r="A301" s="42"/>
      <c r="B301" s="1488" t="s">
        <v>3754</v>
      </c>
      <c r="C301" s="42"/>
      <c r="D301" s="48"/>
      <c r="E301" s="48"/>
      <c r="F301" s="48"/>
      <c r="G301" s="48"/>
      <c r="H301" s="36"/>
      <c r="I301" s="36"/>
      <c r="J301" s="36"/>
      <c r="K301" s="36"/>
      <c r="M301" s="46"/>
      <c r="N301" s="62"/>
      <c r="O301" s="3"/>
      <c r="P301" s="1505"/>
    </row>
    <row r="302" spans="1:21" s="43" customFormat="1" ht="21.75" customHeight="1" thickTop="1" thickBot="1">
      <c r="A302" s="3931"/>
      <c r="B302" s="3932"/>
      <c r="C302" s="3932"/>
      <c r="D302" s="3932"/>
      <c r="E302" s="3932"/>
      <c r="F302" s="3932"/>
      <c r="G302" s="3932"/>
      <c r="H302" s="3932"/>
      <c r="I302" s="3932"/>
      <c r="J302" s="3932"/>
      <c r="K302" s="3932"/>
      <c r="L302" s="3932"/>
      <c r="M302" s="3932"/>
      <c r="N302" s="3932"/>
      <c r="O302" s="3932"/>
      <c r="P302" s="3933"/>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3"/>
      <c r="B304" s="3984"/>
      <c r="C304" s="3984"/>
      <c r="D304" s="3984"/>
      <c r="E304" s="3984"/>
      <c r="F304" s="3984"/>
      <c r="G304" s="3984"/>
      <c r="H304" s="3984"/>
      <c r="I304" s="3984"/>
      <c r="J304" s="3984"/>
      <c r="K304" s="3984"/>
      <c r="L304" s="3984"/>
      <c r="M304" s="3984"/>
      <c r="N304" s="3984"/>
      <c r="O304" s="3984"/>
      <c r="P304" s="3985"/>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4871</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4045</v>
      </c>
      <c r="D307" s="33"/>
      <c r="E307" s="33"/>
      <c r="F307" s="33"/>
      <c r="H307" s="88" t="s">
        <v>3683</v>
      </c>
      <c r="I307" s="495"/>
      <c r="J307" s="3990" t="str">
        <f>'Part I-Project Information'!$O$34</f>
        <v>No</v>
      </c>
      <c r="K307" s="3990"/>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858" t="s">
        <v>4876</v>
      </c>
      <c r="D308" s="3858"/>
      <c r="E308" s="3858"/>
      <c r="F308" s="3858"/>
      <c r="G308" s="3858"/>
      <c r="H308" s="3858"/>
      <c r="I308" s="3858"/>
      <c r="J308" s="3858"/>
      <c r="K308" s="3858"/>
      <c r="L308" s="3858"/>
      <c r="M308" s="1184"/>
      <c r="N308" s="449" t="s">
        <v>1986</v>
      </c>
      <c r="O308" s="1412"/>
      <c r="P308" s="1392"/>
      <c r="Q308" s="3976" t="s">
        <v>4194</v>
      </c>
      <c r="R308" s="3860"/>
      <c r="S308" s="3860"/>
      <c r="T308" s="1184"/>
      <c r="U308" s="1184"/>
      <c r="V308" s="1184"/>
      <c r="W308" s="1184"/>
      <c r="X308" s="1184"/>
      <c r="Y308" s="1184"/>
      <c r="Z308" s="1184"/>
      <c r="AA308" s="1184"/>
    </row>
    <row r="309" spans="1:27" s="121" customFormat="1" ht="11.25" customHeight="1">
      <c r="B309" s="1012"/>
      <c r="C309" s="138" t="s">
        <v>3805</v>
      </c>
      <c r="I309" s="446" t="s">
        <v>4872</v>
      </c>
      <c r="J309" s="2465"/>
      <c r="K309" s="497" t="s">
        <v>2301</v>
      </c>
      <c r="L309" s="3991"/>
      <c r="M309" s="3992"/>
      <c r="N309" s="3992"/>
      <c r="O309" s="3992"/>
      <c r="P309" s="3993"/>
      <c r="Q309" s="3976"/>
      <c r="R309" s="3860"/>
      <c r="S309" s="3860"/>
    </row>
    <row r="310" spans="1:27" s="121" customFormat="1" ht="11.25" customHeight="1">
      <c r="B310" s="1012"/>
      <c r="C310" s="138" t="s">
        <v>3860</v>
      </c>
      <c r="I310" s="446" t="s">
        <v>4872</v>
      </c>
      <c r="J310" s="2466"/>
      <c r="K310" s="497" t="s">
        <v>2301</v>
      </c>
      <c r="L310" s="3996"/>
      <c r="M310" s="3997"/>
      <c r="N310" s="3997"/>
      <c r="O310" s="3997"/>
      <c r="P310" s="3998"/>
      <c r="Q310" s="3976"/>
      <c r="R310" s="3860"/>
      <c r="S310" s="3860"/>
    </row>
    <row r="311" spans="1:27" s="121" customFormat="1" ht="11.25" customHeight="1">
      <c r="B311" s="1012" t="s">
        <v>1988</v>
      </c>
      <c r="C311" s="121" t="s">
        <v>963</v>
      </c>
      <c r="M311" s="7"/>
      <c r="N311" s="194" t="s">
        <v>1988</v>
      </c>
      <c r="O311" s="1174"/>
      <c r="P311" s="1084"/>
      <c r="Q311" s="3976"/>
      <c r="R311" s="3860"/>
      <c r="S311" s="3860"/>
    </row>
    <row r="312" spans="1:27" s="121" customFormat="1" ht="11.25" customHeight="1">
      <c r="B312" s="1012" t="s">
        <v>2534</v>
      </c>
      <c r="C312" s="121" t="s">
        <v>964</v>
      </c>
      <c r="M312" s="7"/>
      <c r="N312" s="194" t="s">
        <v>2534</v>
      </c>
      <c r="O312" s="422"/>
      <c r="P312" s="618"/>
      <c r="Q312" s="3976"/>
      <c r="R312" s="3860"/>
      <c r="S312" s="3860"/>
    </row>
    <row r="313" spans="1:27" s="121" customFormat="1" ht="11.25" customHeight="1">
      <c r="B313" s="1012" t="s">
        <v>1224</v>
      </c>
      <c r="C313" s="138" t="s">
        <v>4877</v>
      </c>
      <c r="M313" s="7"/>
      <c r="N313" s="194" t="s">
        <v>1224</v>
      </c>
      <c r="O313" s="422"/>
      <c r="P313" s="618"/>
      <c r="Q313" s="3976"/>
      <c r="R313" s="3860"/>
      <c r="S313" s="3860"/>
    </row>
    <row r="314" spans="1:27" s="121" customFormat="1" ht="11.25" customHeight="1">
      <c r="A314" s="581"/>
      <c r="B314" s="1012" t="s">
        <v>1225</v>
      </c>
      <c r="C314" s="121" t="s">
        <v>965</v>
      </c>
      <c r="M314" s="7"/>
      <c r="N314" s="194" t="s">
        <v>1225</v>
      </c>
      <c r="O314" s="239"/>
      <c r="P314" s="619"/>
      <c r="Q314" s="3976"/>
      <c r="R314" s="3860"/>
      <c r="S314" s="3860"/>
    </row>
    <row r="315" spans="1:27" s="33" customFormat="1" ht="11.25" customHeight="1">
      <c r="A315" s="1504" t="s">
        <v>1985</v>
      </c>
      <c r="B315" s="197" t="s">
        <v>4046</v>
      </c>
      <c r="D315" s="673"/>
      <c r="H315" s="61" t="s">
        <v>4873</v>
      </c>
    </row>
    <row r="316" spans="1:27" s="33" customFormat="1" ht="11.25" customHeight="1">
      <c r="A316" s="1504"/>
      <c r="B316" s="2488" t="s">
        <v>4878</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4048</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4047</v>
      </c>
      <c r="D319" s="673"/>
      <c r="H319" s="61" t="s">
        <v>4874</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3609</v>
      </c>
      <c r="K321" s="3995" t="str">
        <f>IF(OR(AND(O321&gt;0,O323&gt;0), AND(O322&gt;0,O323&gt;0), AND(O321&gt;0,O322&gt;0)),"Choose option 1 or 2 or 3!!!","")</f>
        <v/>
      </c>
      <c r="L321" s="3995"/>
      <c r="M321" s="73">
        <v>4</v>
      </c>
      <c r="N321" s="499" t="s">
        <v>1986</v>
      </c>
      <c r="O321" s="597"/>
      <c r="P321" s="611"/>
      <c r="Q321" s="1179" t="str">
        <f>IF(OR($O321=$M321,$O321=0,$O321=""),"","*CHECK!*")</f>
        <v/>
      </c>
      <c r="R321" s="1327" t="s">
        <v>2706</v>
      </c>
    </row>
    <row r="322" spans="1:21" ht="11.25" customHeight="1">
      <c r="A322" s="672"/>
      <c r="B322" s="674" t="s">
        <v>1988</v>
      </c>
      <c r="C322" s="671" t="s">
        <v>4049</v>
      </c>
      <c r="D322" s="33"/>
      <c r="E322" s="33"/>
      <c r="F322" s="33"/>
      <c r="G322" s="40"/>
      <c r="H322" s="1017"/>
      <c r="I322" s="40"/>
      <c r="K322" s="3995"/>
      <c r="L322" s="3995"/>
      <c r="M322" s="82">
        <v>3</v>
      </c>
      <c r="N322" s="1016" t="s">
        <v>1988</v>
      </c>
      <c r="O322" s="598"/>
      <c r="P322" s="612"/>
      <c r="Q322" s="1179" t="str">
        <f>IF(OR($O322=$M322,$O322=0,$O322=""),"","*CHECK!*")</f>
        <v/>
      </c>
      <c r="R322" s="1327" t="s">
        <v>2706</v>
      </c>
    </row>
    <row r="323" spans="1:21" ht="11.25" customHeight="1">
      <c r="A323" s="672"/>
      <c r="B323" s="674" t="s">
        <v>2534</v>
      </c>
      <c r="C323" s="503" t="s">
        <v>3611</v>
      </c>
      <c r="D323" s="33"/>
      <c r="E323" s="33"/>
      <c r="F323" s="33"/>
      <c r="G323" s="40"/>
      <c r="H323" s="61"/>
      <c r="I323" s="40"/>
      <c r="K323" s="3995"/>
      <c r="L323" s="3995"/>
      <c r="M323" s="82">
        <v>2</v>
      </c>
      <c r="N323" s="1016" t="s">
        <v>2534</v>
      </c>
      <c r="O323" s="599"/>
      <c r="P323" s="613"/>
      <c r="Q323" s="1179" t="str">
        <f>IF(OR($O323=$M323,$O323=0,$O323=""),"","*CHECK!*")</f>
        <v/>
      </c>
      <c r="R323" s="1327" t="s">
        <v>2706</v>
      </c>
    </row>
    <row r="324" spans="1:21" s="43" customFormat="1" ht="10.5" customHeight="1" thickBot="1">
      <c r="A324" s="42"/>
      <c r="B324" s="1488" t="s">
        <v>3754</v>
      </c>
      <c r="C324" s="42"/>
      <c r="D324" s="48"/>
      <c r="E324" s="48"/>
      <c r="F324" s="48"/>
      <c r="G324" s="48"/>
      <c r="H324" s="36"/>
      <c r="I324" s="36"/>
      <c r="J324" s="36"/>
      <c r="K324" s="36"/>
      <c r="M324" s="46"/>
      <c r="N324" s="62"/>
      <c r="O324" s="3"/>
      <c r="P324" s="1563"/>
    </row>
    <row r="325" spans="1:21" s="43" customFormat="1" ht="21.75" customHeight="1" thickTop="1" thickBot="1">
      <c r="A325" s="3931"/>
      <c r="B325" s="3932"/>
      <c r="C325" s="3932"/>
      <c r="D325" s="3932"/>
      <c r="E325" s="3932"/>
      <c r="F325" s="3932"/>
      <c r="G325" s="3932"/>
      <c r="H325" s="3932"/>
      <c r="I325" s="3932"/>
      <c r="J325" s="3932"/>
      <c r="K325" s="3932"/>
      <c r="L325" s="3932"/>
      <c r="M325" s="3932"/>
      <c r="N325" s="3932"/>
      <c r="O325" s="3932"/>
      <c r="P325" s="3933"/>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0"/>
      <c r="B327" s="3601"/>
      <c r="C327" s="3601"/>
      <c r="D327" s="3601"/>
      <c r="E327" s="3601"/>
      <c r="F327" s="3601"/>
      <c r="G327" s="3601"/>
      <c r="H327" s="3601"/>
      <c r="I327" s="3601"/>
      <c r="J327" s="3601"/>
      <c r="K327" s="3601"/>
      <c r="L327" s="3601"/>
      <c r="M327" s="3601"/>
      <c r="N327" s="3601"/>
      <c r="O327" s="3601"/>
      <c r="P327" s="3602"/>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4879</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4880</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4881</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79" t="s">
        <v>4883</v>
      </c>
      <c r="C335" s="3679"/>
      <c r="D335" s="3679"/>
      <c r="E335" s="3679"/>
      <c r="F335" s="3679"/>
      <c r="G335" s="3679"/>
      <c r="H335" s="3679"/>
      <c r="I335" s="3679"/>
      <c r="J335" s="3679"/>
      <c r="K335" s="3679"/>
      <c r="L335" s="3679"/>
      <c r="M335" s="7"/>
      <c r="N335" s="527"/>
      <c r="O335" s="1498"/>
      <c r="P335" s="1499"/>
      <c r="Q335" s="448"/>
      <c r="R335" s="434"/>
      <c r="T335" s="1285"/>
      <c r="U335" s="1285"/>
    </row>
    <row r="336" spans="1:21" s="43" customFormat="1" ht="11.25" customHeight="1">
      <c r="A336" s="142" t="s">
        <v>749</v>
      </c>
      <c r="B336" s="184" t="s">
        <v>4882</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599" t="s">
        <v>5034</v>
      </c>
      <c r="C337" s="3599"/>
      <c r="D337" s="3599"/>
      <c r="E337" s="3599"/>
      <c r="F337" s="3599"/>
      <c r="G337" s="3599"/>
      <c r="H337" s="3599"/>
      <c r="I337" s="3599"/>
      <c r="J337" s="3599"/>
      <c r="K337" s="3599"/>
      <c r="L337" s="3599"/>
      <c r="M337" s="7"/>
      <c r="N337" s="527"/>
      <c r="O337" s="1447"/>
      <c r="P337" s="1448"/>
      <c r="Q337" s="448"/>
      <c r="R337" s="434"/>
      <c r="T337" s="1285"/>
      <c r="U337" s="1285"/>
    </row>
    <row r="338" spans="1:21" s="43" customFormat="1" ht="22.5" customHeight="1">
      <c r="B338" s="3599" t="s">
        <v>5035</v>
      </c>
      <c r="C338" s="3599"/>
      <c r="D338" s="3599"/>
      <c r="E338" s="3599"/>
      <c r="F338" s="3599"/>
      <c r="G338" s="3599"/>
      <c r="H338" s="3599"/>
      <c r="I338" s="3599"/>
      <c r="J338" s="3599"/>
      <c r="K338" s="3599"/>
      <c r="L338" s="3599"/>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0"/>
      <c r="B340" s="3601"/>
      <c r="C340" s="3601"/>
      <c r="D340" s="3601"/>
      <c r="E340" s="3601"/>
      <c r="F340" s="3601"/>
      <c r="G340" s="3601"/>
      <c r="H340" s="3601"/>
      <c r="I340" s="3601"/>
      <c r="J340" s="3601"/>
      <c r="K340" s="3601"/>
      <c r="L340" s="3601"/>
      <c r="M340" s="3601"/>
      <c r="N340" s="3601"/>
      <c r="O340" s="3601"/>
      <c r="P340" s="3602"/>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4052</v>
      </c>
      <c r="C342" s="89"/>
      <c r="D342" s="58"/>
      <c r="E342" s="52"/>
      <c r="G342" s="55"/>
      <c r="M342" s="1503">
        <v>2</v>
      </c>
      <c r="N342" s="6"/>
      <c r="O342" s="6"/>
      <c r="P342" s="1397">
        <f>P343+P351</f>
        <v>0</v>
      </c>
      <c r="Q342" s="112" t="s">
        <v>441</v>
      </c>
    </row>
    <row r="343" spans="1:21" s="43" customFormat="1" ht="12" customHeight="1">
      <c r="A343" s="142" t="s">
        <v>1983</v>
      </c>
      <c r="B343" s="184" t="s">
        <v>4053</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4954</v>
      </c>
      <c r="D344" s="33"/>
      <c r="N344" s="499" t="s">
        <v>4956</v>
      </c>
      <c r="O344" s="238"/>
      <c r="P344" s="617"/>
      <c r="R344" s="434"/>
    </row>
    <row r="345" spans="1:21" s="105" customFormat="1" ht="10.5" customHeight="1">
      <c r="A345" s="142"/>
      <c r="B345" s="432"/>
      <c r="C345" s="36" t="s">
        <v>4955</v>
      </c>
      <c r="D345" s="33"/>
      <c r="N345" s="499" t="s">
        <v>4957</v>
      </c>
      <c r="O345" s="422"/>
      <c r="P345" s="618"/>
      <c r="R345" s="434"/>
    </row>
    <row r="346" spans="1:21" s="105" customFormat="1" ht="10.5" customHeight="1">
      <c r="A346" s="142"/>
      <c r="B346" s="432" t="s">
        <v>1988</v>
      </c>
      <c r="C346" s="36" t="s">
        <v>4070</v>
      </c>
      <c r="D346" s="33"/>
      <c r="N346" s="1016" t="s">
        <v>1988</v>
      </c>
      <c r="O346" s="422"/>
      <c r="P346" s="618"/>
      <c r="R346" s="434"/>
    </row>
    <row r="347" spans="1:21" s="105" customFormat="1" ht="10.5" customHeight="1">
      <c r="A347" s="142"/>
      <c r="B347" s="432" t="s">
        <v>2534</v>
      </c>
      <c r="C347" s="36" t="s">
        <v>4958</v>
      </c>
      <c r="D347" s="33"/>
      <c r="N347" s="1016" t="s">
        <v>2534</v>
      </c>
      <c r="O347" s="422"/>
      <c r="P347" s="618"/>
      <c r="R347" s="434"/>
    </row>
    <row r="348" spans="1:21" s="105" customFormat="1" ht="10.5" customHeight="1">
      <c r="B348" s="432" t="s">
        <v>1224</v>
      </c>
      <c r="C348" s="36" t="s">
        <v>4884</v>
      </c>
      <c r="D348" s="33"/>
      <c r="N348" s="1016" t="s">
        <v>1224</v>
      </c>
      <c r="O348" s="422"/>
      <c r="P348" s="618"/>
      <c r="R348" s="434"/>
    </row>
    <row r="349" spans="1:21" s="105" customFormat="1" ht="10.5" customHeight="1">
      <c r="A349" s="142"/>
      <c r="B349" s="432" t="s">
        <v>1225</v>
      </c>
      <c r="C349" s="36" t="s">
        <v>4885</v>
      </c>
      <c r="D349" s="33"/>
      <c r="N349" s="1016" t="s">
        <v>1225</v>
      </c>
      <c r="O349" s="422"/>
      <c r="P349" s="618"/>
      <c r="R349" s="434"/>
    </row>
    <row r="350" spans="1:21" s="105" customFormat="1" ht="10.5" customHeight="1">
      <c r="A350" s="142"/>
      <c r="B350" s="432" t="s">
        <v>1881</v>
      </c>
      <c r="C350" s="36" t="s">
        <v>4071</v>
      </c>
      <c r="D350" s="33"/>
      <c r="N350" s="1016" t="s">
        <v>1881</v>
      </c>
      <c r="O350" s="239"/>
      <c r="P350" s="619"/>
      <c r="R350" s="434"/>
    </row>
    <row r="351" spans="1:21" s="43" customFormat="1" ht="12" customHeight="1">
      <c r="A351" s="142" t="s">
        <v>1985</v>
      </c>
      <c r="B351" s="184" t="s">
        <v>4054</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4954</v>
      </c>
      <c r="D352" s="52"/>
      <c r="E352" s="52"/>
      <c r="M352" s="1503"/>
      <c r="N352" s="499" t="s">
        <v>4956</v>
      </c>
      <c r="O352" s="238"/>
      <c r="P352" s="617"/>
      <c r="Q352" s="112"/>
    </row>
    <row r="353" spans="1:18" s="105" customFormat="1" ht="10.5" customHeight="1">
      <c r="A353" s="142"/>
      <c r="B353" s="432"/>
      <c r="C353" s="36" t="s">
        <v>4959</v>
      </c>
      <c r="D353" s="33"/>
      <c r="N353" s="499" t="s">
        <v>4957</v>
      </c>
      <c r="O353" s="422"/>
      <c r="P353" s="618"/>
      <c r="R353" s="434"/>
    </row>
    <row r="354" spans="1:18" s="105" customFormat="1" ht="10.5" customHeight="1">
      <c r="A354" s="142"/>
      <c r="B354" s="432" t="s">
        <v>1988</v>
      </c>
      <c r="C354" s="36" t="s">
        <v>4083</v>
      </c>
      <c r="D354" s="33"/>
      <c r="N354" s="1016" t="s">
        <v>1988</v>
      </c>
      <c r="O354" s="422"/>
      <c r="P354" s="618"/>
      <c r="R354" s="434"/>
    </row>
    <row r="355" spans="1:18" s="105" customFormat="1" ht="10.5" customHeight="1">
      <c r="B355" s="432" t="s">
        <v>2534</v>
      </c>
      <c r="C355" s="36" t="s">
        <v>4071</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0"/>
      <c r="B357" s="3601"/>
      <c r="C357" s="3601"/>
      <c r="D357" s="3601"/>
      <c r="E357" s="3601"/>
      <c r="F357" s="3601"/>
      <c r="G357" s="3601"/>
      <c r="H357" s="3601"/>
      <c r="I357" s="3601"/>
      <c r="J357" s="3601"/>
      <c r="K357" s="3601"/>
      <c r="L357" s="3601"/>
      <c r="M357" s="3601"/>
      <c r="N357" s="3601"/>
      <c r="O357" s="3601"/>
      <c r="P357" s="3602"/>
      <c r="Q357" s="509"/>
    </row>
    <row r="358" spans="1:18" ht="2.25" customHeight="1" thickBot="1"/>
    <row r="359" spans="1:18" s="63" customFormat="1" ht="12.6" customHeight="1" thickBot="1">
      <c r="A359" s="158" t="s">
        <v>2782</v>
      </c>
      <c r="B359" s="108" t="s">
        <v>4055</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89" t="s">
        <v>4886</v>
      </c>
      <c r="J360" s="3989"/>
      <c r="K360" s="3989"/>
      <c r="L360" s="3989"/>
      <c r="M360" s="3989"/>
      <c r="N360" s="3989"/>
      <c r="O360" s="3989"/>
      <c r="P360" s="3989"/>
      <c r="R360" s="434"/>
    </row>
    <row r="361" spans="1:18" s="63" customFormat="1" ht="12" customHeight="1">
      <c r="A361" s="1022"/>
      <c r="B361" s="3599" t="s">
        <v>4929</v>
      </c>
      <c r="C361" s="3599"/>
      <c r="D361" s="3599"/>
      <c r="E361" s="3599"/>
      <c r="F361" s="3599"/>
      <c r="G361" s="3599"/>
      <c r="H361" s="3675"/>
      <c r="I361" s="3987">
        <v>1</v>
      </c>
      <c r="J361" s="3987"/>
      <c r="K361" s="3987"/>
      <c r="L361" s="3987">
        <v>4</v>
      </c>
      <c r="M361" s="3987"/>
      <c r="N361" s="3987"/>
      <c r="O361" s="3987"/>
      <c r="P361" s="3987"/>
      <c r="R361" s="434"/>
    </row>
    <row r="362" spans="1:18" s="63" customFormat="1" ht="12" customHeight="1">
      <c r="A362" s="1022"/>
      <c r="B362" s="3599"/>
      <c r="C362" s="3599"/>
      <c r="D362" s="3599"/>
      <c r="E362" s="3599"/>
      <c r="F362" s="3599"/>
      <c r="G362" s="3599"/>
      <c r="H362" s="3675"/>
      <c r="I362" s="3988">
        <v>2</v>
      </c>
      <c r="J362" s="3988"/>
      <c r="K362" s="3988"/>
      <c r="L362" s="3988">
        <v>5</v>
      </c>
      <c r="M362" s="3988"/>
      <c r="N362" s="3988"/>
      <c r="O362" s="3988"/>
      <c r="P362" s="3988"/>
      <c r="R362" s="434"/>
    </row>
    <row r="363" spans="1:18" s="63" customFormat="1" ht="12" customHeight="1">
      <c r="A363" s="2496"/>
      <c r="B363" s="3599"/>
      <c r="C363" s="3599"/>
      <c r="D363" s="3599"/>
      <c r="E363" s="3599"/>
      <c r="F363" s="3599"/>
      <c r="G363" s="3599"/>
      <c r="H363" s="3675"/>
      <c r="I363" s="3856">
        <v>3</v>
      </c>
      <c r="J363" s="3856"/>
      <c r="K363" s="3856"/>
      <c r="L363" s="3856">
        <v>6</v>
      </c>
      <c r="M363" s="3856"/>
      <c r="N363" s="3856"/>
      <c r="O363" s="3856"/>
      <c r="P363" s="3856"/>
      <c r="R363" s="434"/>
    </row>
    <row r="364" spans="1:18" s="105" customFormat="1" ht="10.5" customHeight="1" thickBot="1">
      <c r="A364" s="42"/>
      <c r="B364" s="1488" t="s">
        <v>3754</v>
      </c>
      <c r="C364" s="42"/>
      <c r="D364" s="48"/>
      <c r="E364" s="48"/>
      <c r="F364" s="48"/>
      <c r="G364" s="48"/>
      <c r="H364" s="36"/>
      <c r="I364" s="36"/>
      <c r="J364" s="36"/>
      <c r="K364" s="36"/>
      <c r="M364" s="46"/>
      <c r="N364" s="6"/>
      <c r="O364" s="3"/>
      <c r="P364" s="1503"/>
    </row>
    <row r="365" spans="1:18" s="43" customFormat="1" ht="21.75" customHeight="1" thickTop="1" thickBot="1">
      <c r="A365" s="3931"/>
      <c r="B365" s="3932"/>
      <c r="C365" s="3932"/>
      <c r="D365" s="3932"/>
      <c r="E365" s="3932"/>
      <c r="F365" s="3932"/>
      <c r="G365" s="3932"/>
      <c r="H365" s="3932"/>
      <c r="I365" s="3932"/>
      <c r="J365" s="3932"/>
      <c r="K365" s="3932"/>
      <c r="L365" s="3932"/>
      <c r="M365" s="3932"/>
      <c r="N365" s="3932"/>
      <c r="O365" s="3932"/>
      <c r="P365" s="3933"/>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0"/>
      <c r="B367" s="3601"/>
      <c r="C367" s="3601"/>
      <c r="D367" s="3601"/>
      <c r="E367" s="3601"/>
      <c r="F367" s="3601"/>
      <c r="G367" s="3601"/>
      <c r="H367" s="3601"/>
      <c r="I367" s="3601"/>
      <c r="J367" s="3601"/>
      <c r="K367" s="3601"/>
      <c r="L367" s="3601"/>
      <c r="M367" s="3601"/>
      <c r="N367" s="3601"/>
      <c r="O367" s="3601"/>
      <c r="P367" s="3602"/>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87" t="s">
        <v>2522</v>
      </c>
      <c r="J370" s="3488"/>
      <c r="K370" s="3488"/>
      <c r="L370" s="3489"/>
      <c r="M370" s="494"/>
      <c r="N370" s="454"/>
      <c r="Q370" s="1179"/>
      <c r="R370" s="1327" t="s">
        <v>2706</v>
      </c>
    </row>
    <row r="371" spans="1:18" s="43" customFormat="1" ht="11.25" customHeight="1">
      <c r="A371" s="142"/>
      <c r="B371" s="432" t="s">
        <v>1986</v>
      </c>
      <c r="C371" s="55" t="s">
        <v>4902</v>
      </c>
      <c r="D371" s="90"/>
      <c r="E371" s="55" t="s">
        <v>4903</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4904</v>
      </c>
      <c r="G372" s="52"/>
      <c r="H372" s="1346"/>
      <c r="I372" s="55"/>
      <c r="J372" s="55"/>
      <c r="K372" s="55"/>
      <c r="L372" s="2514"/>
      <c r="M372" s="682"/>
      <c r="N372" s="2514"/>
      <c r="O372" s="239"/>
      <c r="P372" s="619"/>
      <c r="Q372" s="2515"/>
      <c r="R372" s="1327"/>
    </row>
    <row r="373" spans="1:18" s="43" customFormat="1" ht="11.25" customHeight="1">
      <c r="B373" s="432" t="s">
        <v>1988</v>
      </c>
      <c r="C373" s="40" t="s">
        <v>4905</v>
      </c>
      <c r="D373" s="105"/>
      <c r="E373" s="90"/>
      <c r="F373" s="52"/>
      <c r="G373" s="52"/>
      <c r="N373" s="527" t="s">
        <v>1983</v>
      </c>
      <c r="O373" s="1456" t="s">
        <v>2510</v>
      </c>
      <c r="P373" s="1456" t="s">
        <v>2510</v>
      </c>
    </row>
    <row r="374" spans="1:18" s="121" customFormat="1" ht="10.5" customHeight="1">
      <c r="B374" s="433" t="s">
        <v>2435</v>
      </c>
      <c r="C374" s="497" t="s">
        <v>4056</v>
      </c>
      <c r="H374" s="39"/>
      <c r="I374" s="39"/>
      <c r="J374" s="39"/>
      <c r="K374" s="39"/>
      <c r="N374" s="433" t="s">
        <v>2435</v>
      </c>
      <c r="O374" s="238"/>
      <c r="P374" s="617"/>
    </row>
    <row r="375" spans="1:18" s="121" customFormat="1" ht="10.5" customHeight="1">
      <c r="B375" s="447" t="s">
        <v>2436</v>
      </c>
      <c r="C375" s="497" t="s">
        <v>4057</v>
      </c>
      <c r="N375" s="447" t="s">
        <v>2436</v>
      </c>
      <c r="O375" s="422"/>
      <c r="P375" s="618"/>
    </row>
    <row r="376" spans="1:18" s="121" customFormat="1" ht="10.5" customHeight="1">
      <c r="B376" s="433" t="s">
        <v>2437</v>
      </c>
      <c r="C376" s="497" t="s">
        <v>4887</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3754</v>
      </c>
      <c r="C379" s="42"/>
      <c r="D379" s="48"/>
      <c r="E379" s="48"/>
      <c r="F379" s="48"/>
      <c r="G379" s="48"/>
      <c r="H379" s="36"/>
      <c r="I379" s="36"/>
      <c r="J379" s="36"/>
      <c r="K379" s="36"/>
      <c r="M379" s="46"/>
      <c r="N379" s="6"/>
      <c r="O379" s="3"/>
      <c r="P379" s="1503"/>
    </row>
    <row r="380" spans="1:18" s="43" customFormat="1" ht="21.75" customHeight="1" thickTop="1" thickBot="1">
      <c r="A380" s="3931"/>
      <c r="B380" s="3932"/>
      <c r="C380" s="3932"/>
      <c r="D380" s="3932"/>
      <c r="E380" s="3932"/>
      <c r="F380" s="3932"/>
      <c r="G380" s="3932"/>
      <c r="H380" s="3932"/>
      <c r="I380" s="3932"/>
      <c r="J380" s="3932"/>
      <c r="K380" s="3932"/>
      <c r="L380" s="3932"/>
      <c r="M380" s="3932"/>
      <c r="N380" s="3932"/>
      <c r="O380" s="3932"/>
      <c r="P380" s="3933"/>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0"/>
      <c r="B382" s="3601"/>
      <c r="C382" s="3601"/>
      <c r="D382" s="3601"/>
      <c r="E382" s="3601"/>
      <c r="F382" s="3601"/>
      <c r="G382" s="3601"/>
      <c r="H382" s="3601"/>
      <c r="I382" s="3601"/>
      <c r="J382" s="3601"/>
      <c r="K382" s="3601"/>
      <c r="L382" s="3601"/>
      <c r="M382" s="3601"/>
      <c r="N382" s="3601"/>
      <c r="O382" s="3601"/>
      <c r="P382" s="3602"/>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4889</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3" t="str">
        <f>IF(OR(O386="No",O386="",O387="No",O387="",O388="No",O388="",O389="No",O389=""),"Unmet criterion results in no points!","")</f>
        <v>Unmet criterion results in no points!</v>
      </c>
      <c r="M386" s="4003"/>
      <c r="N386" s="433" t="s">
        <v>2435</v>
      </c>
      <c r="O386" s="238"/>
      <c r="P386" s="617"/>
      <c r="R386" s="3977" t="str">
        <f>IF(OR(P386="No",P386="",P387="No",P387="",P388="No",P388="",P389="No",P389=""),"Unmet criterion results in no points!","")</f>
        <v>Unmet criterion results in no points!</v>
      </c>
      <c r="S386" s="3977" t="e">
        <f>IF(OR(V386="No",V386="",V387="No",V387="",V388="No",V388="",V389="No",V389="",#REF!="No",#REF!="",#REF!="No",#REF!=""),"Unmet criterion results in no points!","")</f>
        <v>#REF!</v>
      </c>
    </row>
    <row r="387" spans="1:19" s="103" customFormat="1" ht="12.75" customHeight="1">
      <c r="B387" s="433" t="s">
        <v>2436</v>
      </c>
      <c r="C387" s="138" t="s">
        <v>3808</v>
      </c>
      <c r="L387" s="4003"/>
      <c r="M387" s="4003"/>
      <c r="N387" s="433" t="s">
        <v>2436</v>
      </c>
      <c r="O387" s="422"/>
      <c r="P387" s="618"/>
      <c r="R387" s="3977"/>
      <c r="S387" s="3977"/>
    </row>
    <row r="388" spans="1:19" s="103" customFormat="1" ht="12.75" customHeight="1">
      <c r="B388" s="433" t="s">
        <v>2437</v>
      </c>
      <c r="C388" s="138" t="s">
        <v>3807</v>
      </c>
      <c r="L388" s="4003"/>
      <c r="M388" s="4003"/>
      <c r="N388" s="433" t="s">
        <v>2437</v>
      </c>
      <c r="O388" s="422"/>
      <c r="P388" s="618"/>
      <c r="R388" s="3977"/>
      <c r="S388" s="3977"/>
    </row>
    <row r="389" spans="1:19" s="103" customFormat="1" ht="33.75" customHeight="1">
      <c r="B389" s="447" t="s">
        <v>2438</v>
      </c>
      <c r="C389" s="3858" t="s">
        <v>4888</v>
      </c>
      <c r="D389" s="3858"/>
      <c r="E389" s="3858"/>
      <c r="F389" s="3858"/>
      <c r="G389" s="3858"/>
      <c r="H389" s="3858"/>
      <c r="I389" s="3858"/>
      <c r="J389" s="3858"/>
      <c r="K389" s="3858"/>
      <c r="L389" s="3858"/>
      <c r="M389" s="3858"/>
      <c r="N389" s="447" t="s">
        <v>2438</v>
      </c>
      <c r="O389" s="1447"/>
      <c r="P389" s="1448"/>
    </row>
    <row r="390" spans="1:19" ht="3" customHeight="1">
      <c r="C390" s="3858"/>
      <c r="D390" s="3858"/>
      <c r="E390" s="3858"/>
      <c r="F390" s="3858"/>
      <c r="G390" s="3858"/>
      <c r="H390" s="3858"/>
      <c r="I390" s="3858"/>
      <c r="J390" s="3858"/>
      <c r="K390" s="3858"/>
      <c r="L390" s="3858"/>
      <c r="M390" s="3858"/>
    </row>
    <row r="391" spans="1:19" ht="12.75" customHeight="1">
      <c r="A391" s="1198" t="s">
        <v>1983</v>
      </c>
      <c r="B391" s="197" t="s">
        <v>4064</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4891</v>
      </c>
      <c r="D392" s="1182"/>
      <c r="E392" s="1182"/>
      <c r="F392" s="1182"/>
      <c r="G392" s="1182"/>
      <c r="H392" s="1182"/>
      <c r="I392" s="1182"/>
      <c r="N392" s="27"/>
      <c r="O392" s="27"/>
      <c r="P392" s="27"/>
    </row>
    <row r="393" spans="1:19" ht="12.75" customHeight="1">
      <c r="A393" s="1198"/>
      <c r="B393" s="504"/>
      <c r="C393" s="1182" t="s">
        <v>4890</v>
      </c>
      <c r="D393" s="1182"/>
      <c r="E393" s="1182"/>
      <c r="F393" s="1182"/>
      <c r="G393" s="1182"/>
      <c r="H393" s="1182"/>
      <c r="I393" s="1182"/>
      <c r="J393" s="4002" t="s">
        <v>1990</v>
      </c>
      <c r="K393" s="4002"/>
      <c r="M393" s="4002" t="s">
        <v>1990</v>
      </c>
      <c r="N393" s="4002"/>
      <c r="O393" s="4002"/>
      <c r="P393" s="4002"/>
    </row>
    <row r="394" spans="1:19" s="43" customFormat="1" ht="12.75" customHeight="1">
      <c r="A394" s="195"/>
      <c r="B394" s="433" t="s">
        <v>2435</v>
      </c>
      <c r="C394" s="36" t="s">
        <v>1482</v>
      </c>
      <c r="I394" s="433" t="s">
        <v>2435</v>
      </c>
      <c r="J394" s="3871"/>
      <c r="K394" s="3872"/>
      <c r="L394" s="433" t="s">
        <v>2435</v>
      </c>
      <c r="M394" s="3999"/>
      <c r="N394" s="4000"/>
      <c r="O394" s="4000"/>
      <c r="P394" s="4001"/>
      <c r="R394" s="434"/>
    </row>
    <row r="395" spans="1:19" ht="12.75" customHeight="1">
      <c r="A395" s="196"/>
      <c r="B395" s="447" t="s">
        <v>2436</v>
      </c>
      <c r="C395" s="36" t="s">
        <v>3621</v>
      </c>
      <c r="I395" s="447" t="s">
        <v>2436</v>
      </c>
      <c r="J395" s="3929"/>
      <c r="K395" s="3930"/>
      <c r="L395" s="447" t="s">
        <v>2436</v>
      </c>
      <c r="M395" s="3868"/>
      <c r="N395" s="3869"/>
      <c r="O395" s="3869"/>
      <c r="P395" s="3870"/>
      <c r="R395" s="434"/>
    </row>
    <row r="396" spans="1:19" ht="12.75" customHeight="1">
      <c r="B396" s="433" t="s">
        <v>2437</v>
      </c>
      <c r="C396" s="36" t="s">
        <v>2626</v>
      </c>
      <c r="I396" s="433" t="s">
        <v>2437</v>
      </c>
      <c r="J396" s="3929"/>
      <c r="K396" s="3930"/>
      <c r="L396" s="433" t="s">
        <v>2437</v>
      </c>
      <c r="M396" s="3868"/>
      <c r="N396" s="3869"/>
      <c r="O396" s="3869"/>
      <c r="P396" s="3870"/>
      <c r="R396" s="434"/>
    </row>
    <row r="397" spans="1:19" ht="12.75" customHeight="1">
      <c r="A397" s="196"/>
      <c r="B397" s="433" t="s">
        <v>2438</v>
      </c>
      <c r="C397" s="36" t="s">
        <v>3461</v>
      </c>
      <c r="I397" s="433" t="s">
        <v>2438</v>
      </c>
      <c r="J397" s="3929"/>
      <c r="K397" s="3930"/>
      <c r="L397" s="433" t="s">
        <v>2438</v>
      </c>
      <c r="M397" s="3868"/>
      <c r="N397" s="3869"/>
      <c r="O397" s="3869"/>
      <c r="P397" s="3870"/>
      <c r="R397" s="434"/>
    </row>
    <row r="398" spans="1:19" s="43" customFormat="1" ht="12.75" customHeight="1">
      <c r="A398" s="195"/>
      <c r="B398" s="447" t="s">
        <v>2439</v>
      </c>
      <c r="C398" s="36" t="s">
        <v>2731</v>
      </c>
      <c r="I398" s="447" t="s">
        <v>2439</v>
      </c>
      <c r="J398" s="3929"/>
      <c r="K398" s="3930"/>
      <c r="L398" s="447" t="s">
        <v>2439</v>
      </c>
      <c r="M398" s="3868"/>
      <c r="N398" s="3869"/>
      <c r="O398" s="3869"/>
      <c r="P398" s="3870"/>
      <c r="R398" s="434"/>
    </row>
    <row r="399" spans="1:19" ht="12.75" customHeight="1">
      <c r="B399" s="433" t="s">
        <v>2455</v>
      </c>
      <c r="C399" s="36" t="s">
        <v>1481</v>
      </c>
      <c r="I399" s="433" t="s">
        <v>2455</v>
      </c>
      <c r="J399" s="3929"/>
      <c r="K399" s="3930"/>
      <c r="L399" s="433" t="s">
        <v>2455</v>
      </c>
      <c r="M399" s="3868"/>
      <c r="N399" s="3869"/>
      <c r="O399" s="3869"/>
      <c r="P399" s="3870"/>
      <c r="R399" s="434"/>
    </row>
    <row r="400" spans="1:19" ht="12.75" customHeight="1">
      <c r="A400" s="196"/>
      <c r="B400" s="433" t="s">
        <v>2456</v>
      </c>
      <c r="C400" s="36" t="s">
        <v>3619</v>
      </c>
      <c r="I400" s="433" t="s">
        <v>2456</v>
      </c>
      <c r="J400" s="3929"/>
      <c r="K400" s="3930"/>
      <c r="L400" s="433" t="s">
        <v>2456</v>
      </c>
      <c r="M400" s="3868"/>
      <c r="N400" s="3869"/>
      <c r="O400" s="3869"/>
      <c r="P400" s="3870"/>
      <c r="R400" s="434"/>
    </row>
    <row r="401" spans="1:23" ht="12.75" customHeight="1">
      <c r="B401" s="446" t="s">
        <v>2457</v>
      </c>
      <c r="C401" s="36" t="s">
        <v>4892</v>
      </c>
      <c r="I401" s="446" t="s">
        <v>2457</v>
      </c>
      <c r="J401" s="3929"/>
      <c r="K401" s="3930"/>
      <c r="L401" s="446" t="s">
        <v>2457</v>
      </c>
      <c r="M401" s="3868"/>
      <c r="N401" s="3869"/>
      <c r="O401" s="3869"/>
      <c r="P401" s="3870"/>
      <c r="R401" s="434"/>
    </row>
    <row r="402" spans="1:23" ht="12.75" customHeight="1">
      <c r="B402" s="446" t="s">
        <v>2458</v>
      </c>
      <c r="C402" s="36" t="s">
        <v>4893</v>
      </c>
      <c r="I402" s="446" t="s">
        <v>2458</v>
      </c>
      <c r="J402" s="3929"/>
      <c r="K402" s="3930"/>
      <c r="L402" s="446" t="s">
        <v>2458</v>
      </c>
      <c r="M402" s="3868"/>
      <c r="N402" s="3869"/>
      <c r="O402" s="3869"/>
      <c r="P402" s="3870"/>
      <c r="R402" s="434"/>
    </row>
    <row r="403" spans="1:23" ht="12.75" customHeight="1" thickBot="1">
      <c r="B403" s="446" t="s">
        <v>3622</v>
      </c>
      <c r="C403" s="36" t="s">
        <v>4894</v>
      </c>
      <c r="I403" s="446" t="s">
        <v>3622</v>
      </c>
      <c r="J403" s="3929"/>
      <c r="K403" s="3930"/>
      <c r="L403" s="446" t="s">
        <v>3622</v>
      </c>
      <c r="M403" s="3952"/>
      <c r="N403" s="3953"/>
      <c r="O403" s="3953"/>
      <c r="P403" s="3954"/>
      <c r="R403" s="434"/>
    </row>
    <row r="404" spans="1:23" ht="12.75" customHeight="1" thickBot="1">
      <c r="B404" s="1454" t="s">
        <v>4895</v>
      </c>
      <c r="H404" s="1487" t="s">
        <v>2628</v>
      </c>
      <c r="J404" s="4007">
        <f>SUM(J394:K403)</f>
        <v>0</v>
      </c>
      <c r="K404" s="4008"/>
      <c r="M404" s="4007">
        <f>SUM($M394:$M403)</f>
        <v>0</v>
      </c>
      <c r="N404" s="4009"/>
      <c r="O404" s="4009"/>
      <c r="P404" s="4008"/>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49" t="s">
        <v>5037</v>
      </c>
      <c r="D407" s="3849"/>
      <c r="E407" s="3849"/>
      <c r="F407" s="497" t="s">
        <v>4937</v>
      </c>
      <c r="H407" s="27"/>
      <c r="I407" s="2503"/>
      <c r="J407" s="3940">
        <f>'Part IV-A-Uses of Funds'!$G$132</f>
        <v>49998466.819839999</v>
      </c>
      <c r="K407" s="3941"/>
      <c r="L407" s="632"/>
      <c r="M407" s="573"/>
      <c r="N407" s="573"/>
      <c r="O407" s="1358"/>
      <c r="P407" s="573"/>
    </row>
    <row r="408" spans="1:23" ht="12.75" customHeight="1">
      <c r="C408" s="3849"/>
      <c r="D408" s="3849"/>
      <c r="E408" s="3849"/>
      <c r="F408" s="501" t="s">
        <v>4936</v>
      </c>
      <c r="I408" s="2504"/>
      <c r="J408" s="3947">
        <f>IF($J407=0,0,$J404/$J407)</f>
        <v>0</v>
      </c>
      <c r="K408" s="3948"/>
      <c r="M408" s="3949">
        <f>IF($J407=0,0,$M404/$J407)</f>
        <v>0</v>
      </c>
      <c r="N408" s="3950"/>
      <c r="O408" s="3950"/>
      <c r="P408" s="3951"/>
    </row>
    <row r="409" spans="1:23" s="43" customFormat="1" ht="12.75" customHeight="1">
      <c r="C409" s="3849"/>
      <c r="D409" s="3849"/>
      <c r="E409" s="3849"/>
      <c r="F409" s="1266" t="s">
        <v>4935</v>
      </c>
      <c r="I409" s="2505"/>
      <c r="J409" s="3944">
        <f>IF(L386="", IF($J408&gt;=0.1, 3,IF($J408&gt;=0.05, 2,IF($J408&gt;=0.02,1,0))),0)</f>
        <v>0</v>
      </c>
      <c r="K409" s="3946"/>
      <c r="L409" s="586"/>
      <c r="M409" s="3944">
        <f>IF(R386="", IF($M408&gt;=0.1, 3,IF($M408&gt;=0.05, 2,IF($M408&gt;=0.02,1,0))),0)</f>
        <v>0</v>
      </c>
      <c r="N409" s="3945"/>
      <c r="O409" s="3945"/>
      <c r="P409" s="3946"/>
    </row>
    <row r="410" spans="1:23" ht="3" customHeight="1" thickBot="1"/>
    <row r="411" spans="1:23" s="105" customFormat="1" ht="12.75" customHeight="1" thickBot="1">
      <c r="A411" s="142" t="s">
        <v>1985</v>
      </c>
      <c r="B411" s="199" t="s">
        <v>3623</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599" t="s">
        <v>4066</v>
      </c>
      <c r="D412" s="3599"/>
      <c r="E412" s="3599"/>
      <c r="F412" s="3599"/>
      <c r="G412" s="3599"/>
      <c r="H412" s="3599"/>
      <c r="I412" s="3599"/>
      <c r="J412" s="3599"/>
      <c r="K412" s="3599"/>
      <c r="L412" s="3599"/>
      <c r="M412" s="3599"/>
      <c r="N412" s="447" t="s">
        <v>2435</v>
      </c>
      <c r="O412" s="1265"/>
      <c r="P412" s="1398"/>
      <c r="V412" s="1285"/>
      <c r="W412" s="1285"/>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c r="B414" s="433" t="s">
        <v>2437</v>
      </c>
      <c r="C414" s="495" t="s">
        <v>4896</v>
      </c>
      <c r="N414" s="433" t="s">
        <v>2437</v>
      </c>
      <c r="O414" s="239"/>
      <c r="P414" s="619"/>
    </row>
    <row r="415" spans="1:23" ht="12" customHeight="1" thickBot="1">
      <c r="B415" s="1488" t="s">
        <v>3754</v>
      </c>
    </row>
    <row r="416" spans="1:23" s="43" customFormat="1" ht="21.75" customHeight="1" thickTop="1" thickBot="1">
      <c r="A416" s="3931"/>
      <c r="B416" s="3932"/>
      <c r="C416" s="3932"/>
      <c r="D416" s="3932"/>
      <c r="E416" s="3932"/>
      <c r="F416" s="3932"/>
      <c r="G416" s="3932"/>
      <c r="H416" s="3932"/>
      <c r="I416" s="3932"/>
      <c r="J416" s="3932"/>
      <c r="K416" s="3932"/>
      <c r="L416" s="3932"/>
      <c r="M416" s="3932"/>
      <c r="N416" s="3932"/>
      <c r="O416" s="3932"/>
      <c r="P416" s="3933"/>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0"/>
      <c r="B418" s="3601"/>
      <c r="C418" s="3601"/>
      <c r="D418" s="3601"/>
      <c r="E418" s="3601"/>
      <c r="F418" s="3601"/>
      <c r="G418" s="3601"/>
      <c r="H418" s="3601"/>
      <c r="I418" s="3601"/>
      <c r="J418" s="3601"/>
      <c r="K418" s="3601"/>
      <c r="L418" s="3601"/>
      <c r="M418" s="3601"/>
      <c r="N418" s="3601"/>
      <c r="O418" s="3601"/>
      <c r="P418" s="3602"/>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4102</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7" t="s">
        <v>5026</v>
      </c>
      <c r="E422" s="3488"/>
      <c r="F422" s="3488"/>
      <c r="G422" s="3488"/>
      <c r="H422" s="3488"/>
      <c r="I422" s="348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3675</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0" t="s">
        <v>4898</v>
      </c>
      <c r="C425" s="3810"/>
      <c r="D425" s="3810"/>
      <c r="E425" s="3810"/>
      <c r="F425" s="3810"/>
      <c r="G425" s="3810"/>
      <c r="H425" s="3810"/>
      <c r="I425" s="3810"/>
      <c r="J425" s="3810"/>
      <c r="K425" s="3810"/>
      <c r="L425" s="3810"/>
      <c r="M425" s="3938" t="s">
        <v>5027</v>
      </c>
      <c r="N425" s="3938"/>
      <c r="Q425" s="192"/>
    </row>
    <row r="426" spans="1:19" s="472" customFormat="1" ht="12" customHeight="1">
      <c r="B426" s="3810"/>
      <c r="C426" s="3810"/>
      <c r="D426" s="3810"/>
      <c r="E426" s="3810"/>
      <c r="F426" s="3810"/>
      <c r="G426" s="3810"/>
      <c r="H426" s="3810"/>
      <c r="I426" s="3810"/>
      <c r="J426" s="3810"/>
      <c r="K426" s="3810"/>
      <c r="L426" s="3810"/>
      <c r="M426" s="3938"/>
      <c r="N426" s="3938"/>
      <c r="O426" s="3942">
        <f>'Part VI-Revenues &amp; Expenses'!$O$111</f>
        <v>0</v>
      </c>
      <c r="P426" s="3943"/>
      <c r="Q426" s="192"/>
    </row>
    <row r="427" spans="1:19" s="472" customFormat="1" ht="12" customHeight="1">
      <c r="B427" s="3810"/>
      <c r="C427" s="3810"/>
      <c r="D427" s="3810"/>
      <c r="E427" s="3810"/>
      <c r="F427" s="3810"/>
      <c r="G427" s="3810"/>
      <c r="H427" s="3810"/>
      <c r="I427" s="3810"/>
      <c r="J427" s="3810"/>
      <c r="K427" s="3810"/>
      <c r="L427" s="3810"/>
      <c r="M427" s="1185" t="s">
        <v>2830</v>
      </c>
      <c r="N427" s="473"/>
      <c r="O427" s="3936">
        <f>'Part VI-Revenues &amp; Expenses'!$O$67</f>
        <v>244</v>
      </c>
      <c r="P427" s="3937"/>
      <c r="Q427" s="192"/>
    </row>
    <row r="428" spans="1:19" s="472" customFormat="1" ht="12" customHeight="1">
      <c r="B428" s="3939"/>
      <c r="C428" s="3939"/>
      <c r="D428" s="3939"/>
      <c r="E428" s="3939"/>
      <c r="F428" s="3939"/>
      <c r="G428" s="3939"/>
      <c r="H428" s="3939"/>
      <c r="I428" s="3939"/>
      <c r="J428" s="3939"/>
      <c r="K428" s="3939"/>
      <c r="L428" s="3939"/>
      <c r="M428" s="2506" t="s">
        <v>2831</v>
      </c>
      <c r="N428" s="473"/>
      <c r="O428" s="3934">
        <f>IF(O427=0,0,O426/O427)</f>
        <v>0</v>
      </c>
      <c r="P428" s="3935"/>
      <c r="Q428" s="192"/>
    </row>
    <row r="429" spans="1:19" s="43" customFormat="1" ht="66.75" customHeight="1">
      <c r="A429" s="608"/>
      <c r="B429" s="3824" t="s">
        <v>4201</v>
      </c>
      <c r="C429" s="3825"/>
      <c r="D429" s="3825"/>
      <c r="E429" s="3825"/>
      <c r="F429" s="3825"/>
      <c r="G429" s="3825"/>
      <c r="H429" s="3825"/>
      <c r="I429" s="3825"/>
      <c r="J429" s="3825"/>
      <c r="K429" s="3825"/>
      <c r="L429" s="3825"/>
      <c r="M429" s="3825"/>
      <c r="N429" s="3825"/>
      <c r="O429" s="3825"/>
      <c r="P429" s="3826"/>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4200</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599" t="s">
        <v>4897</v>
      </c>
      <c r="C432" s="3599"/>
      <c r="D432" s="3599"/>
      <c r="E432" s="3599"/>
      <c r="F432" s="3599"/>
      <c r="G432" s="3599"/>
      <c r="H432" s="3599"/>
      <c r="I432" s="3599"/>
      <c r="J432" s="3599"/>
      <c r="K432" s="3599"/>
      <c r="L432" s="3599"/>
      <c r="M432" s="2613" t="s">
        <v>4899</v>
      </c>
      <c r="O432" s="4005">
        <f>'Part VI-Revenues &amp; Expenses'!$O$113</f>
        <v>0</v>
      </c>
      <c r="P432" s="4006"/>
      <c r="Q432" s="192"/>
    </row>
    <row r="433" spans="1:18" s="472" customFormat="1" ht="11.25" customHeight="1">
      <c r="A433" s="609"/>
      <c r="B433" s="3599"/>
      <c r="C433" s="3599"/>
      <c r="D433" s="3599"/>
      <c r="E433" s="3599"/>
      <c r="F433" s="3599"/>
      <c r="G433" s="3599"/>
      <c r="H433" s="3599"/>
      <c r="I433" s="3599"/>
      <c r="J433" s="3599"/>
      <c r="K433" s="3599"/>
      <c r="L433" s="3599"/>
      <c r="M433" s="1534" t="s">
        <v>2830</v>
      </c>
      <c r="N433" s="473"/>
      <c r="O433" s="3936">
        <f>'Part VI-Revenues &amp; Expenses'!$O$67</f>
        <v>244</v>
      </c>
      <c r="P433" s="3937"/>
      <c r="Q433" s="192"/>
    </row>
    <row r="434" spans="1:18" s="472" customFormat="1" ht="11.25" customHeight="1">
      <c r="A434" s="609"/>
      <c r="B434" s="3599"/>
      <c r="C434" s="3599"/>
      <c r="D434" s="3599"/>
      <c r="E434" s="3599"/>
      <c r="F434" s="3599"/>
      <c r="G434" s="3599"/>
      <c r="H434" s="3599"/>
      <c r="I434" s="3599"/>
      <c r="J434" s="3599"/>
      <c r="K434" s="3599"/>
      <c r="L434" s="3599"/>
      <c r="M434" s="2506" t="s">
        <v>2831</v>
      </c>
      <c r="N434" s="473"/>
      <c r="O434" s="3934">
        <f>IF(O433=0,0,L420/O433)</f>
        <v>0</v>
      </c>
      <c r="P434" s="3935"/>
      <c r="Q434" s="192"/>
    </row>
    <row r="435" spans="1:18" s="43" customFormat="1" ht="11.25" customHeight="1" thickBot="1">
      <c r="A435" s="42"/>
      <c r="B435" s="1488" t="s">
        <v>3754</v>
      </c>
      <c r="C435" s="42"/>
      <c r="D435" s="48"/>
      <c r="E435" s="48"/>
      <c r="F435" s="48"/>
      <c r="G435" s="48"/>
      <c r="H435" s="36"/>
      <c r="I435" s="36"/>
      <c r="J435" s="36"/>
      <c r="K435" s="36"/>
      <c r="M435" s="46"/>
      <c r="N435" s="62"/>
      <c r="O435" s="3"/>
      <c r="P435" s="1505"/>
    </row>
    <row r="436" spans="1:18" s="43" customFormat="1" ht="21.75" customHeight="1" thickTop="1" thickBot="1">
      <c r="A436" s="3931"/>
      <c r="B436" s="3932"/>
      <c r="C436" s="3932"/>
      <c r="D436" s="3932"/>
      <c r="E436" s="3932"/>
      <c r="F436" s="3932"/>
      <c r="G436" s="3932"/>
      <c r="H436" s="3932"/>
      <c r="I436" s="3932"/>
      <c r="J436" s="3932"/>
      <c r="K436" s="3932"/>
      <c r="L436" s="3932"/>
      <c r="M436" s="3932"/>
      <c r="N436" s="3932"/>
      <c r="O436" s="3932"/>
      <c r="P436" s="3933"/>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0"/>
      <c r="B438" s="3601"/>
      <c r="C438" s="3601"/>
      <c r="D438" s="3601"/>
      <c r="E438" s="3601"/>
      <c r="F438" s="3601"/>
      <c r="G438" s="3601"/>
      <c r="H438" s="3601"/>
      <c r="I438" s="3601"/>
      <c r="J438" s="3601"/>
      <c r="K438" s="3601"/>
      <c r="L438" s="3601"/>
      <c r="M438" s="3601"/>
      <c r="N438" s="3601"/>
      <c r="O438" s="3601"/>
      <c r="P438" s="3602"/>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0"/>
      <c r="B446" s="3601"/>
      <c r="C446" s="3601"/>
      <c r="D446" s="3601"/>
      <c r="E446" s="3601"/>
      <c r="F446" s="3601"/>
      <c r="G446" s="3601"/>
      <c r="H446" s="3601"/>
      <c r="I446" s="3601"/>
      <c r="J446" s="3601"/>
      <c r="K446" s="3601"/>
      <c r="L446" s="3601"/>
      <c r="M446" s="3601"/>
      <c r="N446" s="3601"/>
      <c r="O446" s="3601"/>
      <c r="P446" s="3602"/>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3"/>
      <c r="O449" s="1503"/>
      <c r="P449" s="525">
        <f>P228</f>
        <v>0</v>
      </c>
    </row>
    <row r="450" spans="1:19" s="42" customFormat="1" ht="11.25" customHeight="1">
      <c r="A450" s="54"/>
      <c r="B450" s="68"/>
      <c r="C450" s="54"/>
      <c r="D450" s="35"/>
      <c r="E450" s="35"/>
      <c r="F450" s="70"/>
      <c r="G450" s="70"/>
      <c r="H450" s="184" t="s">
        <v>4191</v>
      </c>
      <c r="J450" s="69"/>
      <c r="K450" s="69"/>
      <c r="L450" s="43"/>
      <c r="M450" s="35"/>
      <c r="N450" s="1503"/>
      <c r="O450" s="525"/>
      <c r="P450" s="525">
        <f>P342</f>
        <v>0</v>
      </c>
    </row>
    <row r="451" spans="1:19" s="43" customFormat="1" ht="11.25" customHeight="1">
      <c r="A451" s="42"/>
      <c r="D451" s="39"/>
      <c r="E451" s="36"/>
      <c r="F451" s="1011"/>
      <c r="H451" s="184" t="s">
        <v>4198</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4" t="s">
        <v>3688</v>
      </c>
      <c r="B453" s="4004"/>
      <c r="C453" s="4004"/>
      <c r="D453" s="4004"/>
      <c r="E453" s="4004"/>
      <c r="F453" s="4004"/>
      <c r="G453" s="4004"/>
      <c r="H453" s="4004"/>
      <c r="I453" s="4004"/>
      <c r="J453" s="4004"/>
      <c r="K453" s="4004"/>
      <c r="L453" s="4004"/>
      <c r="M453" s="4004"/>
      <c r="N453" s="4004"/>
      <c r="O453" s="4004"/>
      <c r="P453" s="4004"/>
    </row>
    <row r="454" spans="1:19" s="43" customFormat="1" ht="84" customHeight="1">
      <c r="A454" s="3644"/>
      <c r="B454" s="3645"/>
      <c r="C454" s="3645"/>
      <c r="D454" s="3645"/>
      <c r="E454" s="3645"/>
      <c r="F454" s="3645"/>
      <c r="G454" s="3645"/>
      <c r="H454" s="3645"/>
      <c r="I454" s="3645"/>
      <c r="J454" s="3645"/>
      <c r="K454" s="3645"/>
      <c r="L454" s="3645"/>
      <c r="M454" s="3645"/>
      <c r="N454" s="3645"/>
      <c r="O454" s="3645"/>
      <c r="P454" s="3646"/>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3768</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3766</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3767</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3806</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3980</v>
      </c>
      <c r="K499" s="515"/>
      <c r="L499" s="2424"/>
      <c r="M499" s="515"/>
      <c r="N499" s="516"/>
      <c r="O499" s="1475"/>
      <c r="P499" s="1475"/>
      <c r="Q499" s="1365"/>
    </row>
    <row r="500" spans="1:17" s="548" customFormat="1">
      <c r="C500" s="1482"/>
      <c r="D500" s="515"/>
      <c r="E500" s="515"/>
      <c r="F500" s="515"/>
      <c r="G500" s="1483" t="s">
        <v>2140</v>
      </c>
      <c r="H500" s="1481"/>
      <c r="I500" s="1484"/>
      <c r="J500" s="1481" t="s">
        <v>3975</v>
      </c>
      <c r="K500" s="515"/>
      <c r="L500" s="2424"/>
      <c r="M500" s="515"/>
      <c r="N500" s="516"/>
      <c r="O500" s="1475"/>
      <c r="P500" s="1475"/>
      <c r="Q500" s="1365"/>
    </row>
    <row r="501" spans="1:17" s="548" customFormat="1">
      <c r="C501" s="1482"/>
      <c r="D501" s="515"/>
      <c r="E501" s="515"/>
      <c r="F501" s="515"/>
      <c r="G501" s="1483" t="s">
        <v>2058</v>
      </c>
      <c r="H501" s="1481"/>
      <c r="I501" s="1484"/>
      <c r="J501" s="1481" t="s">
        <v>3770</v>
      </c>
      <c r="K501" s="1481"/>
      <c r="L501" s="2424"/>
      <c r="M501" s="515"/>
      <c r="N501" s="516"/>
      <c r="O501" s="1475"/>
      <c r="P501" s="1475"/>
      <c r="Q501" s="1365"/>
    </row>
    <row r="502" spans="1:17" s="548" customFormat="1">
      <c r="C502" s="1482"/>
      <c r="D502" s="515"/>
      <c r="E502" s="515"/>
      <c r="F502" s="515"/>
      <c r="G502" s="1483" t="s">
        <v>601</v>
      </c>
      <c r="H502" s="1484"/>
      <c r="I502" s="1481"/>
      <c r="J502" s="1481" t="s">
        <v>3969</v>
      </c>
      <c r="K502" s="515"/>
      <c r="L502" s="2424"/>
      <c r="M502" s="515"/>
      <c r="N502" s="516"/>
      <c r="O502" s="1475"/>
      <c r="P502" s="1475"/>
      <c r="Q502" s="1365"/>
    </row>
    <row r="503" spans="1:17" s="548" customFormat="1">
      <c r="C503" s="1482"/>
      <c r="D503" s="515"/>
      <c r="E503" s="515"/>
      <c r="F503" s="515"/>
      <c r="G503" s="1483" t="s">
        <v>335</v>
      </c>
      <c r="H503" s="1484"/>
      <c r="I503" s="1481"/>
      <c r="J503" s="1481" t="s">
        <v>3771</v>
      </c>
      <c r="K503" s="1481"/>
      <c r="L503" s="2424"/>
      <c r="M503" s="515"/>
      <c r="N503" s="516"/>
      <c r="O503" s="1475"/>
      <c r="P503" s="1475"/>
      <c r="Q503" s="1365"/>
    </row>
    <row r="504" spans="1:17" s="548" customFormat="1">
      <c r="C504" s="515"/>
      <c r="D504" s="515"/>
      <c r="E504" s="515"/>
      <c r="F504" s="515"/>
      <c r="G504" s="1483" t="s">
        <v>873</v>
      </c>
      <c r="H504" s="1484"/>
      <c r="I504" s="1481"/>
      <c r="J504" s="1481" t="s">
        <v>3970</v>
      </c>
      <c r="K504" s="515"/>
      <c r="L504" s="2424"/>
      <c r="M504" s="515"/>
      <c r="N504" s="516"/>
      <c r="O504" s="1475"/>
      <c r="P504" s="1475"/>
      <c r="Q504" s="1365"/>
    </row>
    <row r="505" spans="1:17" s="548" customFormat="1">
      <c r="C505" s="515"/>
      <c r="D505" s="515"/>
      <c r="E505" s="515"/>
      <c r="F505" s="515"/>
      <c r="G505" s="1483" t="s">
        <v>1924</v>
      </c>
      <c r="H505" s="1484"/>
      <c r="I505" s="1481"/>
      <c r="J505" s="1481" t="s">
        <v>3772</v>
      </c>
      <c r="K505" s="515"/>
      <c r="L505" s="2425"/>
      <c r="M505" s="515"/>
      <c r="N505" s="516"/>
      <c r="O505" s="1475"/>
      <c r="P505" s="1475"/>
      <c r="Q505" s="1365"/>
    </row>
    <row r="506" spans="1:17" s="548" customFormat="1">
      <c r="C506" s="515"/>
      <c r="D506" s="515"/>
      <c r="E506" s="515"/>
      <c r="F506" s="515"/>
      <c r="G506" s="1483" t="s">
        <v>1928</v>
      </c>
      <c r="H506" s="1484"/>
      <c r="I506" s="1481"/>
      <c r="J506" s="1481" t="s">
        <v>3971</v>
      </c>
      <c r="K506" s="515"/>
      <c r="L506" s="2424"/>
      <c r="M506" s="515"/>
      <c r="N506" s="516"/>
      <c r="O506" s="1475"/>
      <c r="P506" s="1475"/>
      <c r="Q506" s="1365"/>
    </row>
    <row r="507" spans="1:17" s="548" customFormat="1">
      <c r="C507" s="515"/>
      <c r="D507" s="515"/>
      <c r="E507" s="515"/>
      <c r="F507" s="515"/>
      <c r="G507" s="1483" t="s">
        <v>455</v>
      </c>
      <c r="H507" s="1484"/>
      <c r="I507" s="1481"/>
      <c r="J507" s="1481" t="s">
        <v>3976</v>
      </c>
      <c r="K507" s="515"/>
      <c r="L507" s="2424"/>
      <c r="M507" s="515"/>
      <c r="N507" s="516"/>
      <c r="O507" s="1475"/>
      <c r="P507" s="1475"/>
      <c r="Q507" s="1365"/>
    </row>
    <row r="508" spans="1:17" s="548" customFormat="1">
      <c r="C508" s="515"/>
      <c r="D508" s="515"/>
      <c r="E508" s="515"/>
      <c r="F508" s="515"/>
      <c r="G508" s="1483" t="s">
        <v>3618</v>
      </c>
      <c r="H508" s="1484"/>
      <c r="I508" s="1481"/>
      <c r="J508" s="1481" t="s">
        <v>3979</v>
      </c>
      <c r="K508" s="1481"/>
      <c r="L508" s="2425"/>
      <c r="M508" s="515"/>
      <c r="N508" s="516"/>
      <c r="O508" s="1475"/>
      <c r="P508" s="1475"/>
      <c r="Q508" s="1365"/>
    </row>
    <row r="509" spans="1:17" s="548" customFormat="1">
      <c r="C509" s="515"/>
      <c r="D509" s="1485"/>
      <c r="E509" s="515"/>
      <c r="F509" s="515"/>
      <c r="G509" s="1483" t="s">
        <v>420</v>
      </c>
      <c r="H509" s="1484"/>
      <c r="I509" s="1481"/>
      <c r="J509" s="1481" t="s">
        <v>3773</v>
      </c>
      <c r="K509" s="515"/>
      <c r="L509" s="2424"/>
      <c r="M509" s="515"/>
      <c r="N509" s="516"/>
      <c r="O509" s="1475"/>
      <c r="P509" s="1475"/>
      <c r="Q509" s="1365"/>
    </row>
    <row r="510" spans="1:17" s="548" customFormat="1">
      <c r="C510" s="515"/>
      <c r="D510" s="1485"/>
      <c r="E510" s="515"/>
      <c r="F510" s="515"/>
      <c r="G510" s="1483" t="s">
        <v>234</v>
      </c>
      <c r="H510" s="1484"/>
      <c r="I510" s="1481"/>
      <c r="J510" s="1481" t="s">
        <v>3774</v>
      </c>
      <c r="K510" s="515"/>
      <c r="L510" s="2424"/>
      <c r="M510" s="515"/>
      <c r="N510" s="516"/>
      <c r="O510" s="1475"/>
      <c r="P510" s="1475"/>
      <c r="Q510" s="1365"/>
    </row>
    <row r="511" spans="1:17" s="548" customFormat="1">
      <c r="C511" s="515"/>
      <c r="D511" s="1486"/>
      <c r="E511" s="515"/>
      <c r="F511" s="515"/>
      <c r="G511" s="1483" t="s">
        <v>1221</v>
      </c>
      <c r="H511" s="1484"/>
      <c r="I511" s="1481"/>
      <c r="J511" s="1481" t="s">
        <v>3974</v>
      </c>
      <c r="K511" s="515"/>
      <c r="L511" s="2424"/>
      <c r="M511" s="515"/>
      <c r="N511" s="516"/>
      <c r="O511" s="1475"/>
      <c r="P511" s="1475"/>
      <c r="Q511" s="1365"/>
    </row>
    <row r="512" spans="1:17" s="548" customFormat="1">
      <c r="C512" s="515"/>
      <c r="D512" s="1486"/>
      <c r="E512" s="1486"/>
      <c r="F512" s="515"/>
      <c r="G512" s="1483" t="s">
        <v>1223</v>
      </c>
      <c r="H512" s="1484"/>
      <c r="I512" s="1481"/>
      <c r="J512" s="1481" t="s">
        <v>3977</v>
      </c>
      <c r="K512" s="515"/>
      <c r="L512" s="2425"/>
      <c r="M512" s="515"/>
      <c r="N512" s="516"/>
      <c r="O512" s="1475"/>
      <c r="P512" s="1475"/>
      <c r="Q512" s="1365"/>
    </row>
    <row r="513" spans="3:17" s="548" customFormat="1">
      <c r="C513" s="515"/>
      <c r="D513" s="515"/>
      <c r="E513" s="515"/>
      <c r="F513" s="515"/>
      <c r="G513" s="1483" t="s">
        <v>1637</v>
      </c>
      <c r="H513" s="1484"/>
      <c r="I513" s="1481"/>
      <c r="J513" s="1481" t="s">
        <v>3978</v>
      </c>
      <c r="K513" s="515"/>
      <c r="L513" s="2424"/>
      <c r="M513" s="515"/>
      <c r="N513" s="516"/>
      <c r="O513" s="1475"/>
      <c r="P513" s="1475"/>
      <c r="Q513" s="1365"/>
    </row>
    <row r="514" spans="3:17" s="548" customFormat="1">
      <c r="C514" s="515"/>
      <c r="D514" s="515"/>
      <c r="E514" s="515"/>
      <c r="F514" s="515"/>
      <c r="G514" s="1483" t="s">
        <v>985</v>
      </c>
      <c r="H514" s="1484"/>
      <c r="I514" s="1481"/>
      <c r="J514" s="1481" t="s">
        <v>3775</v>
      </c>
      <c r="K514" s="515"/>
      <c r="L514" s="2424"/>
      <c r="M514" s="515"/>
      <c r="N514" s="516"/>
      <c r="O514" s="1475"/>
      <c r="P514" s="1475"/>
      <c r="Q514" s="1365"/>
    </row>
    <row r="515" spans="3:17" s="548" customFormat="1">
      <c r="C515" s="1485"/>
      <c r="D515" s="515"/>
      <c r="E515" s="515"/>
      <c r="F515" s="515"/>
      <c r="G515" s="1483" t="s">
        <v>574</v>
      </c>
      <c r="H515" s="1481"/>
      <c r="I515" s="1481"/>
      <c r="J515" s="1481" t="s">
        <v>3776</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4061</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4607</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4203</v>
      </c>
    </row>
    <row r="2" spans="1:6" s="33" customFormat="1" ht="13.5" customHeight="1">
      <c r="A2" s="985" t="str">
        <f>'Part I-Project Information'!$F$34</f>
        <v>Somersby</v>
      </c>
    </row>
    <row r="3" spans="1:6" s="33" customFormat="1" ht="13.5" customHeight="1">
      <c r="A3" s="985" t="str">
        <f>CONCATENATE('Part I-Project Information'!$F$38,", ", 'Part I-Project Information'!$J$39," County")</f>
        <v>College Park, Fulton County</v>
      </c>
    </row>
    <row r="4" spans="1:6" ht="6.75" customHeight="1"/>
    <row r="5" spans="1:6" ht="113.25" customHeight="1">
      <c r="A5" s="2880" t="s">
        <v>4204</v>
      </c>
      <c r="B5" s="4170" t="s">
        <v>4205</v>
      </c>
      <c r="C5" s="4170"/>
      <c r="D5" s="4170"/>
      <c r="E5" s="4170"/>
      <c r="F5" s="4170"/>
    </row>
    <row r="6" spans="1:6" ht="6.6" customHeight="1">
      <c r="A6" s="2880"/>
      <c r="B6" s="4170"/>
      <c r="C6" s="4170"/>
      <c r="D6" s="4170"/>
      <c r="E6" s="4170"/>
      <c r="F6" s="4170"/>
    </row>
    <row r="7" spans="1:6" ht="134.25" customHeight="1">
      <c r="A7" s="2880"/>
      <c r="B7" s="4170"/>
      <c r="C7" s="4170"/>
      <c r="D7" s="4170"/>
      <c r="E7" s="4170"/>
      <c r="F7" s="4170"/>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4206</v>
      </c>
    </row>
    <row r="3" spans="1:7" ht="3" customHeight="1"/>
    <row r="4" spans="1:7">
      <c r="A4" s="1539" t="s">
        <v>4207</v>
      </c>
      <c r="B4" s="1540">
        <f>+'Part IV-A-Uses of Funds'!$G$132</f>
        <v>49998466.819839999</v>
      </c>
    </row>
    <row r="5" spans="1:7">
      <c r="A5" s="1539" t="s">
        <v>4238</v>
      </c>
      <c r="B5" s="1540">
        <f>+B18+B26+B38</f>
        <v>14436526.196712429</v>
      </c>
    </row>
    <row r="6" spans="1:7">
      <c r="A6" s="1539" t="s">
        <v>4208</v>
      </c>
      <c r="B6" s="1541">
        <f>+B5-B4</f>
        <v>-35561940.623127572</v>
      </c>
    </row>
    <row r="7" spans="1:7">
      <c r="A7" s="1539" t="s">
        <v>4209</v>
      </c>
      <c r="B7" s="1542">
        <f>+B6/B4</f>
        <v>-0.7112606222760447</v>
      </c>
    </row>
    <row r="8" spans="1:7" ht="9" customHeight="1"/>
    <row r="9" spans="1:7">
      <c r="A9" s="1539" t="s">
        <v>4210</v>
      </c>
      <c r="B9" s="1540">
        <f>+B18+B26+B33</f>
        <v>14436526.196712429</v>
      </c>
    </row>
    <row r="10" spans="1:7">
      <c r="A10" s="1539" t="s">
        <v>4208</v>
      </c>
      <c r="B10" s="1541">
        <f>+B9-B4</f>
        <v>-35561940.623127572</v>
      </c>
    </row>
    <row r="11" spans="1:7">
      <c r="A11" s="1539" t="s">
        <v>4209</v>
      </c>
      <c r="B11" s="1542">
        <f>+B10/B4</f>
        <v>-0.7112606222760447</v>
      </c>
    </row>
    <row r="12" spans="1:7" ht="24" customHeight="1"/>
    <row r="13" spans="1:7">
      <c r="A13" s="1538" t="s">
        <v>4211</v>
      </c>
      <c r="D13" s="1617" t="s">
        <v>4472</v>
      </c>
      <c r="E13" s="1618"/>
    </row>
    <row r="14" spans="1:7">
      <c r="A14" s="1539" t="s">
        <v>4212</v>
      </c>
      <c r="B14" s="1543">
        <f>+SUM('Part III-Sources of Funds'!L49:M50)</f>
        <v>27363498.600000001</v>
      </c>
      <c r="D14" s="1618"/>
      <c r="E14" s="1618"/>
    </row>
    <row r="15" spans="1:7">
      <c r="A15" s="1539" t="s">
        <v>4213</v>
      </c>
      <c r="B15" s="1544">
        <f>+'Part IV-A-Uses of Funds'!J167</f>
        <v>2893486.2726281518</v>
      </c>
      <c r="D15" s="1618" t="s">
        <v>2045</v>
      </c>
      <c r="G15" s="1619">
        <f>'Part IV-A-Uses of Funds'!J155</f>
        <v>56047501.665792003</v>
      </c>
    </row>
    <row r="16" spans="1:7" ht="12.75" customHeight="1">
      <c r="D16" s="1618" t="s">
        <v>4473</v>
      </c>
      <c r="G16" s="1623">
        <v>3.2800000000000003E-2</v>
      </c>
    </row>
    <row r="17" spans="1:7" ht="12.75" customHeight="1">
      <c r="A17" s="1539" t="s">
        <v>4214</v>
      </c>
      <c r="B17" s="1622">
        <v>1.45</v>
      </c>
      <c r="D17" s="1618" t="s">
        <v>4474</v>
      </c>
      <c r="G17" s="1624">
        <v>1.45</v>
      </c>
    </row>
    <row r="18" spans="1:7" ht="12.75" customHeight="1">
      <c r="A18" s="1539" t="s">
        <v>4215</v>
      </c>
      <c r="B18" s="1545">
        <f>+'Part IV-A-Uses of Funds'!J174*B17*10</f>
        <v>0</v>
      </c>
      <c r="D18" s="1618" t="s">
        <v>4475</v>
      </c>
      <c r="G18" s="1624">
        <v>3.28</v>
      </c>
    </row>
    <row r="19" spans="1:7" ht="12.75" customHeight="1">
      <c r="D19" s="1618" t="s">
        <v>4476</v>
      </c>
      <c r="G19" s="1620">
        <f>+G15*G16*G17*10</f>
        <v>26656191.792250678</v>
      </c>
    </row>
    <row r="20" spans="1:7">
      <c r="A20" s="1539" t="s">
        <v>4216</v>
      </c>
      <c r="B20" s="1543">
        <f>+B18-B14</f>
        <v>-27363498.600000001</v>
      </c>
      <c r="D20" s="1618" t="s">
        <v>4477</v>
      </c>
      <c r="G20" s="1621">
        <f>+B14-G19</f>
        <v>707306.80774932355</v>
      </c>
    </row>
    <row r="21" spans="1:7">
      <c r="A21" s="1539" t="s">
        <v>4217</v>
      </c>
      <c r="B21" s="1542">
        <f>+B20/B14</f>
        <v>-1</v>
      </c>
      <c r="D21" s="1618" t="s">
        <v>4478</v>
      </c>
      <c r="G21" s="1618" t="str">
        <f>+IF(G20&gt;(B28+B35),"No","Yes")</f>
        <v>No</v>
      </c>
    </row>
    <row r="22" spans="1:7" ht="24" customHeight="1"/>
    <row r="23" spans="1:7">
      <c r="A23" s="1538" t="s">
        <v>4218</v>
      </c>
    </row>
    <row r="24" spans="1:7">
      <c r="A24" s="1539" t="s">
        <v>4219</v>
      </c>
      <c r="B24" s="1546">
        <f>+SUM('Part III-Sources of Funds'!I38:J41)</f>
        <v>21063604.093558483</v>
      </c>
    </row>
    <row r="25" spans="1:7">
      <c r="A25" s="1539" t="s">
        <v>4220</v>
      </c>
      <c r="B25" s="1547">
        <f>IF('Part III-Sources of Funds'!E5="Yes","N/A",MAX(B46:P46))</f>
        <v>-44280.570328423288</v>
      </c>
    </row>
    <row r="26" spans="1:7">
      <c r="A26" s="1539" t="s">
        <v>4221</v>
      </c>
      <c r="B26" s="1537">
        <f>IFERROR(PV('Part III-Sources of Funds'!K38,'Part III-Sources of Funds'!L38,B25+B45),B24)</f>
        <v>14436526.196712429</v>
      </c>
    </row>
    <row r="27" spans="1:7" ht="9" customHeight="1">
      <c r="B27" s="1537"/>
    </row>
    <row r="28" spans="1:7">
      <c r="A28" s="1539" t="s">
        <v>4222</v>
      </c>
      <c r="B28" s="1548">
        <f>+B26-B24</f>
        <v>-6627077.8968460541</v>
      </c>
      <c r="C28" s="1549"/>
    </row>
    <row r="29" spans="1:7">
      <c r="A29" s="1539" t="s">
        <v>4217</v>
      </c>
      <c r="B29" s="1550">
        <f>+B28/B24</f>
        <v>-0.3146222207467666</v>
      </c>
    </row>
    <row r="30" spans="1:7" ht="24" customHeight="1"/>
    <row r="31" spans="1:7">
      <c r="A31" s="1538" t="s">
        <v>4084</v>
      </c>
    </row>
    <row r="32" spans="1:7">
      <c r="A32" s="1539" t="s">
        <v>4223</v>
      </c>
      <c r="B32" s="1551">
        <f>+'Part III-Sources of Funds'!I43</f>
        <v>1573027</v>
      </c>
    </row>
    <row r="33" spans="1:11">
      <c r="A33" s="1539" t="s">
        <v>4224</v>
      </c>
      <c r="B33" s="1537"/>
    </row>
    <row r="34" spans="1:11" ht="9" customHeight="1">
      <c r="B34" s="1537"/>
    </row>
    <row r="35" spans="1:11">
      <c r="A35" s="1539" t="s">
        <v>4225</v>
      </c>
      <c r="B35" s="1551">
        <f>+B33-B32</f>
        <v>-1573027</v>
      </c>
    </row>
    <row r="36" spans="1:11">
      <c r="A36" s="1539" t="s">
        <v>4226</v>
      </c>
      <c r="B36" s="1536">
        <f>+B35/B32</f>
        <v>-1</v>
      </c>
    </row>
    <row r="37" spans="1:11" ht="24" customHeight="1">
      <c r="B37" s="1537"/>
    </row>
    <row r="38" spans="1:11">
      <c r="A38" s="1538" t="s">
        <v>4227</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4228</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1324349.9216</v>
      </c>
      <c r="C44" s="1540">
        <f>+'Part VII-Pro Forma'!C24</f>
        <v>1337774.990032</v>
      </c>
      <c r="D44" s="1540">
        <f>+'Part VII-Pro Forma'!D24</f>
        <v>1351077.0863326401</v>
      </c>
      <c r="E44" s="1540">
        <f>+'Part VII-Pro Forma'!E24</f>
        <v>1364241.5392542928</v>
      </c>
      <c r="F44" s="1540">
        <f>+'Part VII-Pro Forma'!F24</f>
        <v>1377253.1469702288</v>
      </c>
      <c r="G44" s="1540">
        <f>+'Part VII-Pro Forma'!G24</f>
        <v>1390097.1569484088</v>
      </c>
      <c r="H44" s="1540">
        <f>+'Part VII-Pro Forma'!H24</f>
        <v>1402757.2451373157</v>
      </c>
      <c r="I44" s="1540">
        <f>+'Part VII-Pro Forma'!I24</f>
        <v>1415216.494441499</v>
      </c>
      <c r="J44" s="1540">
        <f>+'Part VII-Pro Forma'!J24</f>
        <v>1427456.3724638086</v>
      </c>
      <c r="K44" s="1540">
        <f>+'Part VII-Pro Forma'!K24</f>
        <v>1439458.7084905694</v>
      </c>
    </row>
    <row r="45" spans="1:11">
      <c r="A45" s="1539" t="s">
        <v>4229</v>
      </c>
      <c r="B45" s="1540">
        <f>SUM('Part VII-Pro Forma'!B25:B28)</f>
        <v>-1059344.3643382434</v>
      </c>
      <c r="C45" s="1540">
        <f>SUM('Part VII-Pro Forma'!C25:C28)</f>
        <v>-1059344.3643382434</v>
      </c>
      <c r="D45" s="1540">
        <f>SUM('Part VII-Pro Forma'!D25:D28)</f>
        <v>-1059344.3643382434</v>
      </c>
      <c r="E45" s="1540">
        <f>SUM('Part VII-Pro Forma'!E25:E28)</f>
        <v>-1059344.3643382434</v>
      </c>
      <c r="F45" s="1540">
        <f>SUM('Part VII-Pro Forma'!F25:F28)</f>
        <v>-1059344.3643382434</v>
      </c>
      <c r="G45" s="1540">
        <f>SUM('Part VII-Pro Forma'!G25:G28)</f>
        <v>-1059344.3643382434</v>
      </c>
      <c r="H45" s="1540">
        <f>SUM('Part VII-Pro Forma'!H25:H28)</f>
        <v>-1059344.3643382434</v>
      </c>
      <c r="I45" s="1540">
        <f>SUM('Part VII-Pro Forma'!I25:I28)</f>
        <v>-1059344.3643382434</v>
      </c>
      <c r="J45" s="1540">
        <f>SUM('Part VII-Pro Forma'!J25:J28)</f>
        <v>-1059344.3643382434</v>
      </c>
      <c r="K45" s="1540">
        <f>SUM('Part VII-Pro Forma'!K25:K28)</f>
        <v>-1059344.3643382434</v>
      </c>
    </row>
    <row r="46" spans="1:11">
      <c r="A46" s="1539" t="s">
        <v>4230</v>
      </c>
      <c r="B46" s="1541">
        <f t="shared" ref="B46:K46" si="0">-B44/B48-B45</f>
        <v>-44280.570328423288</v>
      </c>
      <c r="C46" s="1541">
        <f t="shared" si="0"/>
        <v>-55468.12735509011</v>
      </c>
      <c r="D46" s="1541">
        <f t="shared" si="0"/>
        <v>-66553.207605623407</v>
      </c>
      <c r="E46" s="1541">
        <f t="shared" si="0"/>
        <v>-77523.585040334146</v>
      </c>
      <c r="F46" s="1541">
        <f t="shared" si="0"/>
        <v>-88366.591470280662</v>
      </c>
      <c r="G46" s="1541">
        <f t="shared" si="0"/>
        <v>-99069.933118764078</v>
      </c>
      <c r="H46" s="1541">
        <f t="shared" si="0"/>
        <v>-109620.00660951971</v>
      </c>
      <c r="I46" s="1541">
        <f t="shared" si="0"/>
        <v>-120002.71436300594</v>
      </c>
      <c r="J46" s="1541">
        <f t="shared" si="0"/>
        <v>-130202.61271493044</v>
      </c>
      <c r="K46" s="1541">
        <f t="shared" si="0"/>
        <v>-140204.55940389773</v>
      </c>
    </row>
    <row r="48" spans="1:11">
      <c r="A48" s="1539" t="s">
        <v>4231</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1324349.9216</v>
      </c>
      <c r="C51" s="1541">
        <f t="shared" ref="C51:K51" si="2">+C44</f>
        <v>1337774.990032</v>
      </c>
      <c r="D51" s="1541">
        <f t="shared" si="2"/>
        <v>1351077.0863326401</v>
      </c>
      <c r="E51" s="1541">
        <f t="shared" si="2"/>
        <v>1364241.5392542928</v>
      </c>
      <c r="F51" s="1541">
        <f t="shared" si="2"/>
        <v>1377253.1469702288</v>
      </c>
      <c r="G51" s="1541">
        <f t="shared" si="2"/>
        <v>1390097.1569484088</v>
      </c>
      <c r="H51" s="1541">
        <f t="shared" si="2"/>
        <v>1402757.2451373157</v>
      </c>
      <c r="I51" s="1541">
        <f t="shared" si="2"/>
        <v>1415216.494441499</v>
      </c>
      <c r="J51" s="1541">
        <f t="shared" si="2"/>
        <v>1427456.3724638086</v>
      </c>
      <c r="K51" s="1541">
        <f t="shared" si="2"/>
        <v>1439458.7084905694</v>
      </c>
    </row>
    <row r="52" spans="1:17">
      <c r="A52" s="1539" t="s">
        <v>4232</v>
      </c>
      <c r="B52" s="1541">
        <f>IF($B$25="N/A",B45,B45+$B$25)</f>
        <v>-1103624.9346666667</v>
      </c>
      <c r="C52" s="1541">
        <f t="shared" ref="C52:K52" si="3">IF($B$25="N/A",C45,C45+$B$25)</f>
        <v>-1103624.9346666667</v>
      </c>
      <c r="D52" s="1541">
        <f t="shared" si="3"/>
        <v>-1103624.9346666667</v>
      </c>
      <c r="E52" s="1541">
        <f t="shared" si="3"/>
        <v>-1103624.9346666667</v>
      </c>
      <c r="F52" s="1541">
        <f t="shared" si="3"/>
        <v>-1103624.9346666667</v>
      </c>
      <c r="G52" s="1541">
        <f t="shared" si="3"/>
        <v>-1103624.9346666667</v>
      </c>
      <c r="H52" s="1541">
        <f t="shared" si="3"/>
        <v>-1103624.9346666667</v>
      </c>
      <c r="I52" s="1541">
        <f t="shared" si="3"/>
        <v>-1103624.9346666667</v>
      </c>
      <c r="J52" s="1541">
        <f t="shared" si="3"/>
        <v>-1103624.9346666667</v>
      </c>
      <c r="K52" s="1541">
        <f t="shared" si="3"/>
        <v>-1103624.9346666667</v>
      </c>
    </row>
    <row r="53" spans="1:17">
      <c r="A53" s="1539" t="s">
        <v>4233</v>
      </c>
      <c r="B53" s="1540">
        <f>+'Part VII-Pro Forma'!B30</f>
        <v>-5000</v>
      </c>
      <c r="C53" s="1540">
        <f>+'Part VII-Pro Forma'!C30</f>
        <v>-5150</v>
      </c>
      <c r="D53" s="1540">
        <f>+'Part VII-Pro Forma'!D30</f>
        <v>-5304.5</v>
      </c>
      <c r="E53" s="1540">
        <f>+'Part VII-Pro Forma'!E30</f>
        <v>-5463.6350000000002</v>
      </c>
      <c r="F53" s="1540">
        <f>+'Part VII-Pro Forma'!F30</f>
        <v>-5627.5440500000004</v>
      </c>
      <c r="G53" s="1540">
        <f>+'Part VII-Pro Forma'!G30</f>
        <v>-5796.3703715000001</v>
      </c>
      <c r="H53" s="1540">
        <f>+'Part VII-Pro Forma'!H30</f>
        <v>-5970.2614826449999</v>
      </c>
      <c r="I53" s="1540">
        <f>+'Part VII-Pro Forma'!I30</f>
        <v>-6149.3693271243501</v>
      </c>
      <c r="J53" s="1540">
        <f>+'Part VII-Pro Forma'!J30</f>
        <v>-6333.8504069380806</v>
      </c>
      <c r="K53" s="1540">
        <f>+'Part VII-Pro Forma'!K30</f>
        <v>-6523.865919146223</v>
      </c>
    </row>
    <row r="54" spans="1:17">
      <c r="A54" s="1539" t="s">
        <v>4234</v>
      </c>
      <c r="B54" s="1541">
        <f>+SUM(B51:B53)</f>
        <v>215724.98693333333</v>
      </c>
      <c r="C54" s="1541">
        <f t="shared" ref="C54:K54" si="4">+SUM(C51:C53)</f>
        <v>229000.05536533333</v>
      </c>
      <c r="D54" s="1541">
        <f t="shared" si="4"/>
        <v>242147.65166597348</v>
      </c>
      <c r="E54" s="1541">
        <f t="shared" si="4"/>
        <v>255152.96958762617</v>
      </c>
      <c r="F54" s="1541">
        <f t="shared" si="4"/>
        <v>268000.66825356206</v>
      </c>
      <c r="G54" s="1541">
        <f t="shared" si="4"/>
        <v>280675.85191024217</v>
      </c>
      <c r="H54" s="1541">
        <f t="shared" si="4"/>
        <v>293162.04898800404</v>
      </c>
      <c r="I54" s="1541">
        <f t="shared" si="4"/>
        <v>305442.19044770801</v>
      </c>
      <c r="J54" s="1541">
        <f t="shared" si="4"/>
        <v>317497.5873902039</v>
      </c>
      <c r="K54" s="1541">
        <f t="shared" si="4"/>
        <v>329309.90790475649</v>
      </c>
    </row>
    <row r="55" spans="1:17">
      <c r="A55" s="1539" t="s">
        <v>4084</v>
      </c>
      <c r="B55" s="1541">
        <f>-B54</f>
        <v>-215724.98693333333</v>
      </c>
      <c r="C55" s="1541">
        <f t="shared" ref="C55:K55" si="5">-C54</f>
        <v>-229000.05536533333</v>
      </c>
      <c r="D55" s="1541">
        <f t="shared" si="5"/>
        <v>-242147.65166597348</v>
      </c>
      <c r="E55" s="1541">
        <f t="shared" si="5"/>
        <v>-255152.96958762617</v>
      </c>
      <c r="F55" s="1541">
        <f t="shared" si="5"/>
        <v>-268000.66825356206</v>
      </c>
      <c r="G55" s="1541">
        <f t="shared" si="5"/>
        <v>-280675.85191024217</v>
      </c>
      <c r="H55" s="1541">
        <f t="shared" si="5"/>
        <v>-293162.04898800404</v>
      </c>
      <c r="I55" s="1541">
        <f t="shared" si="5"/>
        <v>-305442.19044770801</v>
      </c>
      <c r="J55" s="1541">
        <f t="shared" si="5"/>
        <v>-317497.5873902039</v>
      </c>
      <c r="K55" s="1541">
        <f t="shared" si="5"/>
        <v>-329309.90790475649</v>
      </c>
    </row>
    <row r="56" spans="1:17">
      <c r="A56" s="1539" t="s">
        <v>4235</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4236</v>
      </c>
      <c r="B58" s="1540">
        <f>IF($B$26="","",-FV('Part III-Sources of Funds'!$K$38/12,12,B52/12,B26))</f>
        <v>13842884.691655379</v>
      </c>
      <c r="C58" s="1540">
        <f>IF($B$26="","",-FV('Part III-Sources of Funds'!$K$38/12,12,C52/12,B58))</f>
        <v>13227515.919215027</v>
      </c>
      <c r="D58" s="1540">
        <f>IF($B$26="","",-FV('Part III-Sources of Funds'!$K$38/12,12,D52/12,C58))</f>
        <v>12589624.661833428</v>
      </c>
      <c r="E58" s="1540">
        <f>IF($B$26="","",-FV('Part III-Sources of Funds'!$K$38/12,12,E52/12,D58))</f>
        <v>11928386.597005691</v>
      </c>
      <c r="F58" s="1540">
        <f>IF($B$26="","",-FV('Part III-Sources of Funds'!$K$38/12,12,F52/12,E58))</f>
        <v>11242947.232039496</v>
      </c>
      <c r="G58" s="1540">
        <f>IF($B$26="","",-FV('Part III-Sources of Funds'!$K$38/12,12,G52/12,F58))</f>
        <v>10532420.799826831</v>
      </c>
      <c r="H58" s="1540">
        <f>IF($B$26="","",-FV('Part III-Sources of Funds'!$K$38/12,12,H52/12,G58))</f>
        <v>9795889.1142009869</v>
      </c>
      <c r="I58" s="1540">
        <f>IF($B$26="","",-FV('Part III-Sources of Funds'!$K$38/12,12,I52/12,H58))</f>
        <v>9032400.3833996542</v>
      </c>
      <c r="J58" s="1540">
        <f>IF($B$26="","",-FV('Part III-Sources of Funds'!$K$38/12,12,J52/12,I58))</f>
        <v>8240967.9801007835</v>
      </c>
      <c r="K58" s="1540">
        <f>IF($B$26="","",-FV('Part III-Sources of Funds'!$K$38/12,12,K52/12,J58))</f>
        <v>7420569.166441788</v>
      </c>
    </row>
    <row r="59" spans="1:17">
      <c r="A59" s="1539" t="s">
        <v>4085</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4228</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1451205.6696951904</v>
      </c>
      <c r="C64" s="1540">
        <f>+'Part VII-Pro Forma'!C56</f>
        <v>1462675.7365349466</v>
      </c>
      <c r="D64" s="1540">
        <f>+'Part VII-Pro Forma'!D56</f>
        <v>1473848.6773148749</v>
      </c>
      <c r="E64" s="1540">
        <f>+'Part VII-Pro Forma'!E56</f>
        <v>1484703.5218918775</v>
      </c>
      <c r="F64" s="1540">
        <f>+'Part VII-Pro Forma'!F56</f>
        <v>1495215.5344913425</v>
      </c>
      <c r="G64" s="1540">
        <f>+'Part VII-Pro Forma'!G56</f>
        <v>1505363.1856076438</v>
      </c>
      <c r="H64" s="1540">
        <f>+'Part VII-Pro Forma'!H56</f>
        <v>1515120.122959068</v>
      </c>
      <c r="I64" s="1540">
        <f>+'Part VII-Pro Forma'!I56</f>
        <v>1524463.1414666977</v>
      </c>
      <c r="J64" s="1540">
        <f>+'Part VII-Pro Forma'!J56</f>
        <v>1533363.1522259326</v>
      </c>
      <c r="K64" s="1540">
        <f>+'Part VII-Pro Forma'!K56</f>
        <v>1541793.1504382498</v>
      </c>
    </row>
    <row r="65" spans="1:11">
      <c r="A65" s="1539" t="s">
        <v>4229</v>
      </c>
      <c r="B65" s="1540">
        <f>SUM('Part VII-Pro Forma'!B57:B60)</f>
        <v>-1059344.3643382434</v>
      </c>
      <c r="C65" s="1540">
        <f>SUM('Part VII-Pro Forma'!C57:C60)</f>
        <v>-1059344.3643382434</v>
      </c>
      <c r="D65" s="1540">
        <f>SUM('Part VII-Pro Forma'!D57:D60)</f>
        <v>-1059344.3643382434</v>
      </c>
      <c r="E65" s="1540">
        <f>SUM('Part VII-Pro Forma'!E57:E60)</f>
        <v>-1059344.3643382434</v>
      </c>
      <c r="F65" s="1540">
        <f>SUM('Part VII-Pro Forma'!F57:F60)</f>
        <v>-1059344.3643382434</v>
      </c>
      <c r="G65" s="1540">
        <f>SUM('Part VII-Pro Forma'!G57:G60)</f>
        <v>-1059344.3643382434</v>
      </c>
      <c r="H65" s="1540">
        <f>SUM('Part VII-Pro Forma'!H57:H60)</f>
        <v>-1059344.3643382434</v>
      </c>
      <c r="I65" s="1540">
        <f>SUM('Part VII-Pro Forma'!I57:I60)</f>
        <v>-1059344.3643382434</v>
      </c>
      <c r="J65" s="1540">
        <f>SUM('Part VII-Pro Forma'!J57:J60)</f>
        <v>-1059344.3643382434</v>
      </c>
      <c r="K65" s="1540">
        <f>SUM('Part VII-Pro Forma'!K57:K60)</f>
        <v>-1059344.3643382434</v>
      </c>
    </row>
    <row r="66" spans="1:11">
      <c r="A66" s="1539" t="s">
        <v>4230</v>
      </c>
      <c r="B66" s="1541">
        <f t="shared" ref="B66:K66" si="7">-B64/B68-B65</f>
        <v>-149993.69374108198</v>
      </c>
      <c r="C66" s="1541">
        <f t="shared" si="7"/>
        <v>-159552.08277421212</v>
      </c>
      <c r="D66" s="1541">
        <f t="shared" si="7"/>
        <v>-168862.86675748578</v>
      </c>
      <c r="E66" s="1541">
        <f t="shared" si="7"/>
        <v>-177908.57057165471</v>
      </c>
      <c r="F66" s="1541">
        <f t="shared" si="7"/>
        <v>-186668.5810712087</v>
      </c>
      <c r="G66" s="1541">
        <f t="shared" si="7"/>
        <v>-195124.95700145978</v>
      </c>
      <c r="H66" s="1541">
        <f t="shared" si="7"/>
        <v>-203255.73812764673</v>
      </c>
      <c r="I66" s="1541">
        <f t="shared" si="7"/>
        <v>-211041.58688400476</v>
      </c>
      <c r="J66" s="1541">
        <f t="shared" si="7"/>
        <v>-218458.26251670043</v>
      </c>
      <c r="K66" s="1541">
        <f t="shared" si="7"/>
        <v>-225483.26102696476</v>
      </c>
    </row>
    <row r="68" spans="1:11">
      <c r="A68" s="1539" t="s">
        <v>4231</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1451205.6696951904</v>
      </c>
      <c r="C71" s="1541">
        <f t="shared" si="9"/>
        <v>1462675.7365349466</v>
      </c>
      <c r="D71" s="1541">
        <f t="shared" si="9"/>
        <v>1473848.6773148749</v>
      </c>
      <c r="E71" s="1541">
        <f t="shared" si="9"/>
        <v>1484703.5218918775</v>
      </c>
      <c r="F71" s="1541">
        <f t="shared" si="9"/>
        <v>1495215.5344913425</v>
      </c>
      <c r="G71" s="1541">
        <f t="shared" si="9"/>
        <v>1505363.1856076438</v>
      </c>
      <c r="H71" s="1541">
        <f>+H64</f>
        <v>1515120.122959068</v>
      </c>
      <c r="I71" s="1541">
        <f>+I64</f>
        <v>1524463.1414666977</v>
      </c>
      <c r="J71" s="1541">
        <f>+J64</f>
        <v>1533363.1522259326</v>
      </c>
      <c r="K71" s="1541">
        <f>+K64</f>
        <v>1541793.1504382498</v>
      </c>
    </row>
    <row r="72" spans="1:11">
      <c r="A72" s="1539" t="s">
        <v>4232</v>
      </c>
      <c r="B72" s="1541">
        <f t="shared" ref="B72:G72" si="10">IF($B$25="N/A",B65,B65+$B$25)</f>
        <v>-1103624.9346666667</v>
      </c>
      <c r="C72" s="1541">
        <f t="shared" si="10"/>
        <v>-1103624.9346666667</v>
      </c>
      <c r="D72" s="1541">
        <f t="shared" si="10"/>
        <v>-1103624.9346666667</v>
      </c>
      <c r="E72" s="1541">
        <f t="shared" si="10"/>
        <v>-1103624.9346666667</v>
      </c>
      <c r="F72" s="1541">
        <f t="shared" si="10"/>
        <v>-1103624.9346666667</v>
      </c>
      <c r="G72" s="1541">
        <f t="shared" si="10"/>
        <v>-1103624.9346666667</v>
      </c>
      <c r="H72" s="1541">
        <f>IF($B$25="N/A",H65,H65+$B$25)</f>
        <v>-1103624.9346666667</v>
      </c>
      <c r="I72" s="1541">
        <f>IF($B$25="N/A",I65,I65+$B$25)</f>
        <v>-1103624.9346666667</v>
      </c>
      <c r="J72" s="1541">
        <f>IF($B$25="N/A",J65,J65+$B$25)</f>
        <v>-1103624.9346666667</v>
      </c>
      <c r="K72" s="1541">
        <f>IF($B$25="N/A",K65,K65+$B$25)</f>
        <v>-1103624.9346666667</v>
      </c>
    </row>
    <row r="73" spans="1:11">
      <c r="A73" s="1539" t="s">
        <v>4233</v>
      </c>
      <c r="B73" s="1540">
        <f>+'Part VII-Pro Forma'!B62</f>
        <v>-6719.5818967206096</v>
      </c>
      <c r="C73" s="1540">
        <f>+'Part VII-Pro Forma'!C62</f>
        <v>-6921.1693536222283</v>
      </c>
      <c r="D73" s="1540">
        <f>+'Part VII-Pro Forma'!D62</f>
        <v>-7128.8044342308949</v>
      </c>
      <c r="E73" s="1540">
        <f>+'Part VII-Pro Forma'!E62</f>
        <v>-7342.6685672578224</v>
      </c>
      <c r="F73" s="1540">
        <f>+'Part VII-Pro Forma'!F62</f>
        <v>-7562.9486242755574</v>
      </c>
      <c r="G73" s="1540">
        <f>+'Part VII-Pro Forma'!G62</f>
        <v>0</v>
      </c>
      <c r="H73" s="1540">
        <f>+'Part VII-Pro Forma'!H62</f>
        <v>0</v>
      </c>
      <c r="I73" s="1540">
        <f>+'Part VII-Pro Forma'!I62</f>
        <v>0</v>
      </c>
      <c r="J73" s="1540">
        <f>+'Part VII-Pro Forma'!J62</f>
        <v>0</v>
      </c>
      <c r="K73" s="1540">
        <f>+'Part VII-Pro Forma'!K62</f>
        <v>0</v>
      </c>
    </row>
    <row r="74" spans="1:11">
      <c r="A74" s="1539" t="s">
        <v>4234</v>
      </c>
      <c r="B74" s="1541">
        <f t="shared" ref="B74:G74" si="11">+SUM(B71:B73)</f>
        <v>340861.15313180309</v>
      </c>
      <c r="C74" s="1541">
        <f t="shared" si="11"/>
        <v>352129.63251465769</v>
      </c>
      <c r="D74" s="1541">
        <f t="shared" si="11"/>
        <v>363094.93821397738</v>
      </c>
      <c r="E74" s="1541">
        <f t="shared" si="11"/>
        <v>373735.91865795304</v>
      </c>
      <c r="F74" s="1541">
        <f t="shared" si="11"/>
        <v>384027.65120040026</v>
      </c>
      <c r="G74" s="1541">
        <f t="shared" si="11"/>
        <v>401738.25094097713</v>
      </c>
      <c r="H74" s="1541">
        <f>+SUM(H71:H73)</f>
        <v>411495.18829240138</v>
      </c>
      <c r="I74" s="1541">
        <f>+SUM(I71:I73)</f>
        <v>420838.20680003101</v>
      </c>
      <c r="J74" s="1541">
        <f>+SUM(J71:J73)</f>
        <v>429738.2175592659</v>
      </c>
      <c r="K74" s="1541">
        <f>+SUM(K71:K73)</f>
        <v>438168.21577158314</v>
      </c>
    </row>
    <row r="75" spans="1:11">
      <c r="A75" s="1539" t="s">
        <v>4084</v>
      </c>
      <c r="B75" s="1541">
        <f t="shared" ref="B75:G75" si="12">-B74</f>
        <v>-340861.15313180309</v>
      </c>
      <c r="C75" s="1541">
        <f t="shared" si="12"/>
        <v>-352129.63251465769</v>
      </c>
      <c r="D75" s="1541">
        <f t="shared" si="12"/>
        <v>-363094.93821397738</v>
      </c>
      <c r="E75" s="1541">
        <f t="shared" si="12"/>
        <v>-373735.91865795304</v>
      </c>
      <c r="F75" s="1541">
        <f t="shared" si="12"/>
        <v>-384027.65120040026</v>
      </c>
      <c r="G75" s="1541">
        <f t="shared" si="12"/>
        <v>-401738.25094097713</v>
      </c>
      <c r="H75" s="1541">
        <f>-H74</f>
        <v>-411495.18829240138</v>
      </c>
      <c r="I75" s="1541">
        <f>-I74</f>
        <v>-420838.20680003101</v>
      </c>
      <c r="J75" s="1541">
        <f>-J74</f>
        <v>-429738.2175592659</v>
      </c>
      <c r="K75" s="1541">
        <f>-K74</f>
        <v>-438168.21577158314</v>
      </c>
    </row>
    <row r="76" spans="1:11">
      <c r="A76" s="1539" t="s">
        <v>4235</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4236</v>
      </c>
      <c r="B78" s="1540">
        <f>IF($B$26="","",-FV('Part III-Sources of Funds'!$K$38/12,12,B72/12,K58))</f>
        <v>6570143.7723744679</v>
      </c>
      <c r="C78" s="1540">
        <f>IF($B$26="","",-FV('Part III-Sources of Funds'!$K$38/12,12,C72/12,B78))</f>
        <v>5688592.8256477583</v>
      </c>
      <c r="D78" s="1540">
        <f>IF($B$26="","",-FV('Part III-Sources of Funds'!$K$38/12,12,D72/12,C78))</f>
        <v>4774777.131647869</v>
      </c>
      <c r="E78" s="1540">
        <f>IF($B$26="","",-FV('Part III-Sources of Funds'!$K$38/12,12,E72/12,D78))</f>
        <v>3827515.8012605999</v>
      </c>
      <c r="F78" s="1540">
        <f>IF($B$26="","",-FV('Part III-Sources of Funds'!$K$38/12,12,F72/12,E78))</f>
        <v>2845584.7248534495</v>
      </c>
      <c r="G78" s="1540">
        <f>IF($B$26="","",-FV('Part III-Sources of Funds'!$K$38/12,12,G72/12,F78))</f>
        <v>1827714.9904054953</v>
      </c>
      <c r="H78" s="1540">
        <f>IF($B$26="","",-FV('Part III-Sources of Funds'!$K$38/12,12,H72/12,G78))</f>
        <v>772591.24374086177</v>
      </c>
      <c r="I78" s="1540">
        <f>IF($B$26="","",-FV('Part III-Sources of Funds'!$K$38/12,12,I72/12,H78))</f>
        <v>-321150.01125323493</v>
      </c>
      <c r="J78" s="1540">
        <f>IF($B$26="","",-FV('Part III-Sources of Funds'!$K$38/12,12,J72/12,I78))</f>
        <v>-1454922.17462043</v>
      </c>
      <c r="K78" s="1540">
        <f>IF($B$26="","",-FV('Part III-Sources of Funds'!$K$38/12,12,K72/12,J78))</f>
        <v>-2630190.3768180944</v>
      </c>
    </row>
    <row r="79" spans="1:11">
      <c r="A79" s="1539" t="s">
        <v>4085</v>
      </c>
    </row>
    <row r="82" spans="1:2">
      <c r="A82" s="1539" t="s">
        <v>4237</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7" t="s">
        <v>2914</v>
      </c>
      <c r="B1" s="4177"/>
      <c r="C1" s="4177"/>
      <c r="D1" s="4177"/>
      <c r="E1" s="4177"/>
      <c r="F1" s="4177"/>
      <c r="G1" s="4177"/>
      <c r="H1" s="4177"/>
      <c r="I1" s="4177"/>
      <c r="J1" s="4177"/>
    </row>
    <row r="2" spans="1:16" ht="15.75">
      <c r="A2" s="4177" t="str">
        <f>Overview!C8</f>
        <v>Somersby</v>
      </c>
      <c r="B2" s="4177"/>
      <c r="C2" s="4177"/>
      <c r="D2" s="4177"/>
      <c r="E2" s="4177"/>
      <c r="F2" s="4177"/>
      <c r="G2" s="4177"/>
      <c r="H2" s="4177"/>
      <c r="I2" s="4177"/>
      <c r="J2" s="4177"/>
    </row>
    <row r="3" spans="1:16" ht="15.75">
      <c r="A3" s="4177" t="str">
        <f>'Subsidy Layering Memo'!F14</f>
        <v>College Park, Fulton</v>
      </c>
      <c r="B3" s="4177"/>
      <c r="C3" s="4177"/>
      <c r="D3" s="4177"/>
      <c r="E3" s="4177"/>
      <c r="F3" s="4177"/>
      <c r="G3" s="4177"/>
      <c r="H3" s="4177"/>
      <c r="I3" s="4177"/>
      <c r="J3" s="4177"/>
    </row>
    <row r="4" spans="1:16" ht="15.75">
      <c r="A4" s="4178" t="s">
        <v>2915</v>
      </c>
      <c r="B4" s="4177"/>
      <c r="C4" s="4177"/>
      <c r="D4" s="4177"/>
      <c r="E4" s="4177"/>
      <c r="F4" s="4177"/>
      <c r="G4" s="4177"/>
      <c r="H4" s="4177"/>
      <c r="I4" s="4177"/>
      <c r="J4" s="4177"/>
    </row>
    <row r="5" spans="1:16" ht="5.25" customHeight="1"/>
    <row r="6" spans="1:16" ht="5.25" customHeight="1"/>
    <row r="7" spans="1:16" ht="15.75">
      <c r="A7" s="4179" t="s">
        <v>2916</v>
      </c>
      <c r="B7" s="4179"/>
      <c r="C7" s="4180"/>
      <c r="M7" s="4171"/>
      <c r="N7" s="4171"/>
      <c r="O7" s="4171"/>
      <c r="P7" s="4171"/>
    </row>
    <row r="8" spans="1:16" ht="57" customHeight="1">
      <c r="A8" s="4172" t="s">
        <v>5066</v>
      </c>
      <c r="B8" s="4172"/>
      <c r="C8" s="4172"/>
      <c r="D8" s="4172"/>
      <c r="E8" s="4172"/>
      <c r="F8" s="4172"/>
      <c r="G8" s="4172"/>
      <c r="H8" s="4172"/>
      <c r="I8" s="4172"/>
      <c r="J8" s="4172"/>
      <c r="K8" s="745"/>
    </row>
    <row r="9" spans="1:16" ht="45.75" customHeight="1">
      <c r="A9" s="4172"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72"/>
      <c r="C9" s="4172"/>
      <c r="D9" s="4172"/>
      <c r="E9" s="4172"/>
      <c r="F9" s="4172"/>
      <c r="G9" s="4172"/>
      <c r="H9" s="4172"/>
      <c r="I9" s="4172"/>
      <c r="J9" s="4172"/>
      <c r="K9" s="745"/>
    </row>
    <row r="10" spans="1:16" ht="15.75">
      <c r="A10" s="746" t="s">
        <v>2917</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2947</v>
      </c>
      <c r="B12" s="4172"/>
      <c r="C12" s="4172"/>
      <c r="D12" s="4172"/>
      <c r="E12" s="4172"/>
      <c r="F12" s="4172"/>
      <c r="G12" s="4172"/>
      <c r="H12" s="4172"/>
      <c r="I12" s="4172"/>
      <c r="J12" s="4172"/>
    </row>
    <row r="13" spans="1:16" ht="48.75" customHeight="1">
      <c r="A13" s="4172" t="s">
        <v>2948</v>
      </c>
      <c r="B13" s="4172"/>
      <c r="C13" s="4172"/>
      <c r="D13" s="4172"/>
      <c r="E13" s="4172"/>
      <c r="F13" s="4172"/>
      <c r="G13" s="4172"/>
      <c r="H13" s="4172"/>
      <c r="I13" s="4172"/>
      <c r="J13" s="4172"/>
    </row>
    <row r="14" spans="1:16" ht="15.75">
      <c r="A14" s="746" t="s">
        <v>2918</v>
      </c>
      <c r="B14" s="747"/>
    </row>
    <row r="15" spans="1:16">
      <c r="A15" s="744" t="s">
        <v>2919</v>
      </c>
      <c r="D15" s="2665" t="s">
        <v>2920</v>
      </c>
    </row>
    <row r="16" spans="1:16">
      <c r="A16" s="744" t="s">
        <v>2921</v>
      </c>
      <c r="D16" s="2663">
        <f>Overview!C25</f>
        <v>21063604.093558483</v>
      </c>
    </row>
    <row r="17" spans="1:11">
      <c r="A17" s="748" t="s">
        <v>2922</v>
      </c>
      <c r="D17" s="2664">
        <f>Overview!C13</f>
        <v>244</v>
      </c>
    </row>
    <row r="18" spans="1:11" ht="14.25" customHeight="1"/>
    <row r="19" spans="1:11" ht="15.75">
      <c r="A19" s="746" t="s">
        <v>2923</v>
      </c>
      <c r="B19" s="747"/>
      <c r="C19" s="747"/>
    </row>
    <row r="20" spans="1:11" ht="48.75" customHeight="1">
      <c r="A20" s="4175" t="s">
        <v>2950</v>
      </c>
      <c r="B20" s="4175"/>
      <c r="C20" s="4175"/>
      <c r="D20" s="4175"/>
      <c r="E20" s="4175"/>
      <c r="F20" s="4175"/>
      <c r="G20" s="4175"/>
      <c r="H20" s="4175"/>
      <c r="I20" s="4175"/>
      <c r="J20" s="4175"/>
    </row>
    <row r="21" spans="1:11" ht="72.75" customHeight="1">
      <c r="A21" s="4172" t="s">
        <v>5065</v>
      </c>
      <c r="B21" s="4172"/>
      <c r="C21" s="4172"/>
      <c r="D21" s="4172"/>
      <c r="E21" s="4172"/>
      <c r="F21" s="4172"/>
      <c r="G21" s="4172"/>
      <c r="H21" s="4172"/>
      <c r="I21" s="4172"/>
      <c r="J21" s="4172"/>
    </row>
    <row r="22" spans="1:11" ht="15.75">
      <c r="A22" s="746" t="s">
        <v>2924</v>
      </c>
      <c r="B22" s="747"/>
      <c r="C22" s="747"/>
      <c r="D22" s="747"/>
      <c r="E22" s="747"/>
      <c r="F22" s="747"/>
    </row>
    <row r="23" spans="1:11" ht="102.75" customHeight="1">
      <c r="A23" s="4176" t="s">
        <v>2943</v>
      </c>
      <c r="B23" s="4176"/>
      <c r="C23" s="4176"/>
      <c r="D23" s="4176"/>
      <c r="E23" s="4176"/>
      <c r="F23" s="4176"/>
      <c r="G23" s="4176"/>
      <c r="H23" s="4176"/>
      <c r="I23" s="4176"/>
      <c r="J23" s="4176"/>
      <c r="K23" s="2179"/>
    </row>
    <row r="24" spans="1:11" ht="15" customHeight="1">
      <c r="A24" s="4173"/>
      <c r="B24" s="4173"/>
      <c r="C24" s="4173"/>
      <c r="D24" s="4173"/>
      <c r="E24" s="4173"/>
      <c r="F24" s="4173"/>
      <c r="G24" s="4173"/>
      <c r="H24" s="4173"/>
      <c r="I24" s="4173"/>
      <c r="J24" s="4173"/>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Somersby</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2"/>
      <c r="J7" s="4182"/>
      <c r="K7" s="4182"/>
      <c r="L7" s="744"/>
      <c r="M7" s="744"/>
    </row>
    <row r="8" spans="1:14" ht="15.75">
      <c r="A8" s="747" t="s">
        <v>2988</v>
      </c>
      <c r="B8" s="747"/>
      <c r="C8" s="4182" t="str">
        <f>'Part I-Project Information'!F34</f>
        <v>Somersby</v>
      </c>
      <c r="D8" s="4182"/>
      <c r="E8" s="2180" t="str">
        <f>'Part I-Project Information'!O6</f>
        <v>2019-5</v>
      </c>
      <c r="F8" s="783" t="s">
        <v>2989</v>
      </c>
      <c r="G8" s="782"/>
      <c r="H8" s="4182" t="str">
        <f>CONCATENATE('Part I-Project Information'!F38,", ",'Part I-Project Information'!J39)</f>
        <v>College Park, Fulton</v>
      </c>
      <c r="I8" s="4182"/>
      <c r="J8" s="4182"/>
      <c r="K8" s="4182"/>
      <c r="L8" s="744"/>
      <c r="M8" s="784"/>
    </row>
    <row r="9" spans="1:14" ht="15.75">
      <c r="A9" s="747" t="s">
        <v>2991</v>
      </c>
      <c r="B9" s="747"/>
      <c r="C9" s="4182" t="s">
        <v>1771</v>
      </c>
      <c r="D9" s="4182"/>
      <c r="E9" s="782"/>
      <c r="F9" s="783" t="s">
        <v>2992</v>
      </c>
      <c r="G9" s="782"/>
      <c r="H9" s="4182" t="str">
        <f>'Part II-Development Team'!H5</f>
        <v>Somersby Family I, LP</v>
      </c>
      <c r="I9" s="4182"/>
      <c r="J9" s="4182"/>
      <c r="K9" s="4182"/>
      <c r="L9" s="4182"/>
      <c r="M9" s="784"/>
    </row>
    <row r="10" spans="1:14" ht="15.75">
      <c r="A10" s="747" t="s">
        <v>2994</v>
      </c>
      <c r="B10" s="744"/>
      <c r="C10" s="2180" t="str">
        <f>'Part II-Development Team'!H14</f>
        <v>Somersby Family I GP, LLC</v>
      </c>
      <c r="D10" s="782"/>
      <c r="E10" s="782"/>
      <c r="F10" s="783" t="s">
        <v>3560</v>
      </c>
      <c r="G10" s="782"/>
      <c r="H10" s="4182" t="str">
        <f>'Part II-Development Team'!H33</f>
        <v>Truist Community Capital</v>
      </c>
      <c r="I10" s="4182"/>
      <c r="J10" s="4182"/>
      <c r="K10" s="4182" t="str">
        <f>'Part II-Development Team'!H39</f>
        <v>Truist Community Capital</v>
      </c>
      <c r="L10" s="4182"/>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2" t="str">
        <f>'Part II-Development Team'!H54</f>
        <v>Prestwick Development Company, LLC</v>
      </c>
      <c r="I11" s="4182"/>
      <c r="J11" s="4182"/>
      <c r="K11" s="4182">
        <f>'Part II-Development Team'!H60</f>
        <v>0</v>
      </c>
      <c r="L11" s="4182"/>
      <c r="M11" s="4182">
        <f>'Part II-Development Team'!H66</f>
        <v>0</v>
      </c>
      <c r="N11" s="4182"/>
    </row>
    <row r="12" spans="1:14" ht="15.75">
      <c r="A12" s="747" t="s">
        <v>2996</v>
      </c>
      <c r="B12" s="744"/>
      <c r="C12" s="2180" t="str">
        <f>'Part II-Development Team'!H86</f>
        <v>Prestwick Construction Company, LLC</v>
      </c>
      <c r="D12" s="782"/>
      <c r="E12" s="782"/>
      <c r="F12" s="783" t="s">
        <v>2997</v>
      </c>
      <c r="G12" s="782"/>
      <c r="H12" s="4182" t="str">
        <f>'Part II-Development Team'!H92</f>
        <v>Elmington Property Management</v>
      </c>
      <c r="I12" s="4182"/>
      <c r="J12" s="4182"/>
      <c r="K12" s="4182"/>
      <c r="L12" s="744"/>
      <c r="M12" s="744"/>
    </row>
    <row r="13" spans="1:14" ht="15.75">
      <c r="A13" s="747" t="s">
        <v>2998</v>
      </c>
      <c r="B13" s="783"/>
      <c r="C13" s="743">
        <f>'Part VI-Revenues &amp; Expenses'!$O$67</f>
        <v>244</v>
      </c>
      <c r="E13" s="1557">
        <f>'Part VI-Revenues &amp; Expenses'!$O$63</f>
        <v>244</v>
      </c>
      <c r="F13" s="783" t="s">
        <v>4244</v>
      </c>
      <c r="G13" s="782"/>
      <c r="H13" s="2181">
        <f>'Part I-Project Information'!H76</f>
        <v>9</v>
      </c>
      <c r="I13" s="1558"/>
      <c r="J13" s="1558"/>
      <c r="K13" s="2181">
        <f>'Part I-Project Information'!P75</f>
        <v>228752</v>
      </c>
      <c r="L13" s="744"/>
      <c r="M13" s="744"/>
    </row>
    <row r="14" spans="1:14" ht="15.75">
      <c r="A14" s="747" t="s">
        <v>3306</v>
      </c>
      <c r="B14" s="744"/>
      <c r="C14" s="2181" t="str">
        <f>'Part I-Project Information'!H82</f>
        <v>Family</v>
      </c>
      <c r="D14" s="4182" t="str">
        <f>IF('Part I-Project Information'!N74=0,"",'Part I-Project Information'!N74)</f>
        <v/>
      </c>
      <c r="E14" s="4182"/>
      <c r="F14" s="783" t="s">
        <v>2999</v>
      </c>
      <c r="G14" s="782"/>
      <c r="H14" s="4187" t="s">
        <v>3499</v>
      </c>
      <c r="I14" s="4187"/>
      <c r="J14" s="4187"/>
      <c r="K14" s="4187" t="s">
        <v>3499</v>
      </c>
      <c r="L14" s="4187"/>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3533</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49998466.819839999</v>
      </c>
      <c r="D18" s="1609">
        <f>IF(C18=0,"",$C$29/C18)</f>
        <v>0.42128499998724339</v>
      </c>
      <c r="E18" s="782" t="s">
        <v>3310</v>
      </c>
      <c r="F18" s="783" t="s">
        <v>3311</v>
      </c>
      <c r="G18" s="782"/>
      <c r="H18" s="4181">
        <f>'Part IV-A-Uses of Funds'!B44</f>
        <v>35090980.7808</v>
      </c>
      <c r="I18" s="4181"/>
      <c r="J18" s="1608">
        <f>IF(H18=0,"",$C$29/H18)</f>
        <v>0.60025692143331077</v>
      </c>
      <c r="K18" s="4182" t="s">
        <v>3312</v>
      </c>
      <c r="L18" s="4182"/>
      <c r="M18" s="744"/>
    </row>
    <row r="19" spans="1:13" ht="15.75">
      <c r="A19" s="747" t="s">
        <v>3001</v>
      </c>
      <c r="B19" s="744"/>
      <c r="C19" s="2182">
        <f>C18/C13</f>
        <v>204911.74926163934</v>
      </c>
      <c r="D19" s="782"/>
      <c r="E19" s="744"/>
      <c r="F19" s="747" t="s">
        <v>3001</v>
      </c>
      <c r="G19" s="744"/>
      <c r="H19" s="4183">
        <f>H18/C13</f>
        <v>143815.49500327869</v>
      </c>
      <c r="I19" s="4183"/>
      <c r="J19" s="744"/>
      <c r="K19" s="744"/>
      <c r="L19" s="744"/>
      <c r="M19" s="744"/>
    </row>
    <row r="20" spans="1:13" ht="15.75">
      <c r="A20" s="747" t="s">
        <v>3002</v>
      </c>
      <c r="B20" s="744"/>
      <c r="C20" s="2184">
        <f>C18/K13</f>
        <v>218.57062154577883</v>
      </c>
      <c r="D20" s="787"/>
      <c r="E20" s="788"/>
      <c r="F20" s="747" t="s">
        <v>3002</v>
      </c>
      <c r="G20" s="744"/>
      <c r="H20" s="4184">
        <f>H18/K13</f>
        <v>153.40185345177309</v>
      </c>
      <c r="I20" s="4183"/>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Bellwether Enterprise Freddie TEL</v>
      </c>
      <c r="C25" s="794">
        <f>'Part III-Sources of Funds'!I38</f>
        <v>21063604.093558483</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21063604.093558483</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27361836.007679999</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21063604.093558483</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0.42128499998724339</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0.60025692143331077</v>
      </c>
      <c r="D40" s="744"/>
      <c r="E40" s="744"/>
      <c r="F40" s="747"/>
      <c r="G40" s="747" t="s">
        <v>3022</v>
      </c>
      <c r="H40" s="744"/>
      <c r="I40" s="744"/>
      <c r="K40" s="796">
        <f>C30/C18</f>
        <v>0.54725350091780189</v>
      </c>
      <c r="L40" s="744"/>
      <c r="M40" s="744"/>
    </row>
    <row r="46" spans="1:13" ht="15.75">
      <c r="A46" s="807" t="s">
        <v>3023</v>
      </c>
      <c r="B46" s="777"/>
      <c r="C46" s="777"/>
      <c r="D46" s="777"/>
      <c r="E46" s="777"/>
      <c r="F46" s="777"/>
      <c r="G46" s="777"/>
      <c r="H46" s="777"/>
      <c r="I46" s="777"/>
      <c r="J46" s="777"/>
      <c r="K46" s="777"/>
      <c r="L46" s="777"/>
      <c r="M46" s="744"/>
    </row>
    <row r="47" spans="1:13" ht="15.75">
      <c r="A47" s="807" t="str">
        <f>C8</f>
        <v>Somersby</v>
      </c>
      <c r="B47" s="777"/>
      <c r="C47" s="777"/>
      <c r="D47" s="777"/>
      <c r="E47" s="777"/>
      <c r="F47" s="777"/>
      <c r="G47" s="777"/>
      <c r="H47" s="777"/>
      <c r="I47" s="777"/>
      <c r="J47" s="777"/>
      <c r="K47" s="777"/>
      <c r="L47" s="777"/>
      <c r="M47" s="744"/>
    </row>
    <row r="50" spans="1:14" s="744" customFormat="1" ht="15.75">
      <c r="A50" s="747" t="s">
        <v>3024</v>
      </c>
      <c r="C50" s="808" t="s">
        <v>3025</v>
      </c>
      <c r="E50" s="809" t="s">
        <v>3500</v>
      </c>
      <c r="F50" s="810">
        <v>0.1</v>
      </c>
      <c r="G50" s="809" t="s">
        <v>3501</v>
      </c>
      <c r="H50" s="810">
        <v>0.05</v>
      </c>
      <c r="I50" s="809" t="s">
        <v>3502</v>
      </c>
      <c r="J50" s="810">
        <v>0.03</v>
      </c>
      <c r="K50" s="4185" t="s">
        <v>3026</v>
      </c>
      <c r="L50" s="4186"/>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2773056</v>
      </c>
      <c r="D52" s="813"/>
      <c r="E52" s="813">
        <f>$C$52</f>
        <v>2773056</v>
      </c>
      <c r="F52" s="813"/>
      <c r="G52" s="813">
        <f>$C$52</f>
        <v>2773056</v>
      </c>
      <c r="H52" s="813"/>
      <c r="I52" s="813">
        <f>$C$52</f>
        <v>2773056</v>
      </c>
      <c r="J52" s="813"/>
      <c r="K52" s="813">
        <f>$C$52</f>
        <v>2773056</v>
      </c>
      <c r="L52" s="814"/>
      <c r="M52" s="27"/>
      <c r="N52" s="27"/>
    </row>
    <row r="53" spans="1:14" s="744" customFormat="1" ht="18.75" customHeight="1">
      <c r="B53" s="812" t="s">
        <v>3030</v>
      </c>
      <c r="C53" s="813">
        <f>'Part VII-Pro Forma'!B15</f>
        <v>55461.120000000003</v>
      </c>
      <c r="D53" s="813"/>
      <c r="E53" s="813">
        <f>$C$53</f>
        <v>55461.120000000003</v>
      </c>
      <c r="F53" s="813"/>
      <c r="G53" s="813">
        <f>$C$53</f>
        <v>55461.120000000003</v>
      </c>
      <c r="H53" s="813"/>
      <c r="I53" s="813">
        <f>$C$53</f>
        <v>55461.120000000003</v>
      </c>
      <c r="J53" s="813"/>
      <c r="K53" s="813">
        <f>$C$53</f>
        <v>55461.120000000003</v>
      </c>
      <c r="L53" s="814"/>
      <c r="M53" s="27"/>
      <c r="N53" s="27"/>
    </row>
    <row r="54" spans="1:14" s="744" customFormat="1" ht="18.75" customHeight="1">
      <c r="B54" s="812" t="s">
        <v>3028</v>
      </c>
      <c r="C54" s="813">
        <f>'Part VII-Pro Forma'!B16</f>
        <v>-197996.19840000002</v>
      </c>
      <c r="D54" s="813"/>
      <c r="E54" s="813">
        <f>-($C$52+E53)*F50</f>
        <v>-282851.712</v>
      </c>
      <c r="F54" s="815"/>
      <c r="G54" s="813">
        <f>-($C$52+G53)*0.07</f>
        <v>-197996.19840000002</v>
      </c>
      <c r="H54" s="813"/>
      <c r="I54" s="813">
        <f>-($C$52+I53)*0.07</f>
        <v>-197996.19840000002</v>
      </c>
      <c r="J54" s="813"/>
      <c r="K54" s="813">
        <f>-($C$52+K53)*L54</f>
        <v>-282851.712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2630520.9216</v>
      </c>
      <c r="D56" s="813"/>
      <c r="E56" s="819">
        <f>SUM(E52:E55)</f>
        <v>2545665.4080000003</v>
      </c>
      <c r="F56" s="813"/>
      <c r="G56" s="819">
        <f>SUM(G52:G55)</f>
        <v>2630520.9216</v>
      </c>
      <c r="H56" s="813"/>
      <c r="I56" s="819">
        <f>SUM(I52:I55)</f>
        <v>2630520.9216</v>
      </c>
      <c r="J56" s="813"/>
      <c r="K56" s="819">
        <f>SUM(K52:K55)</f>
        <v>2545665.4080000003</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249250</v>
      </c>
      <c r="D58" s="813"/>
      <c r="E58" s="813">
        <f>$C$58</f>
        <v>249250</v>
      </c>
      <c r="F58" s="813"/>
      <c r="G58" s="813">
        <f>$C$58</f>
        <v>249250</v>
      </c>
      <c r="H58" s="813"/>
      <c r="I58" s="813">
        <f>$C$58</f>
        <v>249250</v>
      </c>
      <c r="J58" s="813"/>
      <c r="K58" s="813">
        <f>$C$58</f>
        <v>249250</v>
      </c>
      <c r="L58" s="814"/>
      <c r="M58" s="27"/>
      <c r="N58" s="27"/>
    </row>
    <row r="59" spans="1:14" s="744" customFormat="1" ht="18.75" customHeight="1">
      <c r="B59" s="812" t="s">
        <v>3033</v>
      </c>
      <c r="C59" s="813">
        <f>+'Part VI-Revenues &amp; Expenses'!F239</f>
        <v>147000</v>
      </c>
      <c r="D59" s="813"/>
      <c r="E59" s="813">
        <f>$C$59</f>
        <v>147000</v>
      </c>
      <c r="F59" s="813"/>
      <c r="G59" s="813">
        <f>$C$59</f>
        <v>147000</v>
      </c>
      <c r="H59" s="813"/>
      <c r="I59" s="813">
        <f>$C$59</f>
        <v>147000</v>
      </c>
      <c r="J59" s="813"/>
      <c r="K59" s="813">
        <f>$C$59*(1+$L$59)</f>
        <v>152880</v>
      </c>
      <c r="L59" s="821">
        <v>0.04</v>
      </c>
      <c r="M59" s="27"/>
      <c r="N59" s="27"/>
    </row>
    <row r="60" spans="1:14" s="744" customFormat="1" ht="18.75" customHeight="1">
      <c r="B60" s="812" t="s">
        <v>1375</v>
      </c>
      <c r="C60" s="813">
        <f>+'Part VI-Revenues &amp; Expenses'!K236</f>
        <v>223000</v>
      </c>
      <c r="D60" s="813"/>
      <c r="E60" s="813">
        <f>$C$60</f>
        <v>223000</v>
      </c>
      <c r="F60" s="813"/>
      <c r="G60" s="813">
        <f>$C$60</f>
        <v>223000</v>
      </c>
      <c r="H60" s="813"/>
      <c r="I60" s="813">
        <f>$C$60*(1+$J$50)</f>
        <v>229690</v>
      </c>
      <c r="J60" s="815"/>
      <c r="K60" s="813">
        <f>$C$60*(1+$J$50)</f>
        <v>229690</v>
      </c>
      <c r="L60" s="816">
        <v>0.03</v>
      </c>
      <c r="M60" s="27"/>
      <c r="N60" s="27"/>
    </row>
    <row r="61" spans="1:14" s="744" customFormat="1" ht="18.75" customHeight="1">
      <c r="B61" s="812" t="s">
        <v>1376</v>
      </c>
      <c r="C61" s="813">
        <f>+'Part VI-Revenues &amp; Expenses'!P218</f>
        <v>494395</v>
      </c>
      <c r="D61" s="813"/>
      <c r="E61" s="813">
        <f>$C$61</f>
        <v>494395</v>
      </c>
      <c r="F61" s="813"/>
      <c r="G61" s="813">
        <f>$C$61*(1+H50)</f>
        <v>519114.75</v>
      </c>
      <c r="H61" s="815"/>
      <c r="I61" s="813">
        <f>$C$61</f>
        <v>494395</v>
      </c>
      <c r="J61" s="813"/>
      <c r="K61" s="813">
        <f>$C$61*(1+$L$61)</f>
        <v>519114.75</v>
      </c>
      <c r="L61" s="816">
        <v>0.05</v>
      </c>
      <c r="M61" s="27"/>
      <c r="N61" s="27"/>
    </row>
    <row r="62" spans="1:14" s="744" customFormat="1" ht="18.75" customHeight="1">
      <c r="B62" s="818" t="s">
        <v>3034</v>
      </c>
      <c r="C62" s="819">
        <f>SUM(C58:C61)</f>
        <v>1113645</v>
      </c>
      <c r="D62" s="813"/>
      <c r="E62" s="819">
        <f>SUM(E58:E61)</f>
        <v>1113645</v>
      </c>
      <c r="F62" s="813"/>
      <c r="G62" s="819">
        <f>SUM(G58:G61)</f>
        <v>1138364.75</v>
      </c>
      <c r="H62" s="813"/>
      <c r="I62" s="819">
        <f>SUM(I58:I61)</f>
        <v>1120335</v>
      </c>
      <c r="J62" s="813"/>
      <c r="K62" s="819">
        <f>SUM(K58:K61)</f>
        <v>1150934.75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1516875.9216</v>
      </c>
      <c r="D64" s="825"/>
      <c r="E64" s="825">
        <f>E56-E62</f>
        <v>1432020.4080000003</v>
      </c>
      <c r="F64" s="825"/>
      <c r="G64" s="825">
        <f>G56-G62</f>
        <v>1492156.1716</v>
      </c>
      <c r="H64" s="825"/>
      <c r="I64" s="825">
        <f>I56-I62</f>
        <v>1510185.9216</v>
      </c>
      <c r="J64" s="825"/>
      <c r="K64" s="825">
        <f>K56-K62</f>
        <v>1394730.6580000003</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61000</v>
      </c>
      <c r="D66" s="820"/>
      <c r="E66" s="820">
        <f>$C$66</f>
        <v>61000</v>
      </c>
      <c r="F66" s="820"/>
      <c r="G66" s="820">
        <f>$C$66</f>
        <v>61000</v>
      </c>
      <c r="H66" s="820"/>
      <c r="I66" s="820">
        <f>$C$66</f>
        <v>61000</v>
      </c>
      <c r="J66" s="820"/>
      <c r="K66" s="820">
        <f>$C$66</f>
        <v>61000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131526</v>
      </c>
      <c r="D68" s="820"/>
      <c r="E68" s="820">
        <f>$C$68</f>
        <v>131526</v>
      </c>
      <c r="F68" s="820"/>
      <c r="G68" s="820">
        <f>$C$68</f>
        <v>131526</v>
      </c>
      <c r="H68" s="820"/>
      <c r="I68" s="820">
        <f>$C$68</f>
        <v>131526</v>
      </c>
      <c r="J68" s="820"/>
      <c r="K68" s="820">
        <f>$C$68</f>
        <v>131526</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1324349.9216</v>
      </c>
      <c r="D70" s="829"/>
      <c r="E70" s="828">
        <f>E64-E66-E68</f>
        <v>1239494.4080000003</v>
      </c>
      <c r="F70" s="829"/>
      <c r="G70" s="828">
        <f>G64-G66-G68</f>
        <v>1299630.1716</v>
      </c>
      <c r="H70" s="829"/>
      <c r="I70" s="828">
        <f>I64-I66-I68</f>
        <v>1317659.9216</v>
      </c>
      <c r="J70" s="829"/>
      <c r="K70" s="828">
        <f>K64-K66-K68</f>
        <v>1202204.6580000003</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1.2501599726990587</v>
      </c>
      <c r="D72" s="831"/>
      <c r="E72" s="1610">
        <f>-E70/E75</f>
        <v>1.1700580564038721</v>
      </c>
      <c r="F72" s="831"/>
      <c r="G72" s="1610">
        <f>-G70/G75</f>
        <v>1.2268250205983393</v>
      </c>
      <c r="H72" s="831"/>
      <c r="I72" s="1610">
        <f>-I70/I75</f>
        <v>1.2438447458236326</v>
      </c>
      <c r="J72" s="831"/>
      <c r="K72" s="1610">
        <f>-K70/K75</f>
        <v>1.1348572744340786</v>
      </c>
      <c r="L72" s="832"/>
      <c r="M72" s="273"/>
      <c r="N72" s="273"/>
    </row>
    <row r="73" spans="1:14" s="744" customFormat="1" ht="18.75" customHeight="1">
      <c r="A73" s="27"/>
      <c r="B73" s="812" t="s">
        <v>3040</v>
      </c>
      <c r="C73" s="1611">
        <f>C76/C62</f>
        <v>0.23796232844556087</v>
      </c>
      <c r="D73" s="833"/>
      <c r="E73" s="1611">
        <f>E76/E62</f>
        <v>0.16176613163239353</v>
      </c>
      <c r="F73" s="833"/>
      <c r="G73" s="1611">
        <f>G76/G62</f>
        <v>0.21107980307872026</v>
      </c>
      <c r="H73" s="833"/>
      <c r="I73" s="1611">
        <f>I76/I62</f>
        <v>0.23056992530069723</v>
      </c>
      <c r="J73" s="833"/>
      <c r="K73" s="1611">
        <f>K76/K62</f>
        <v>0.12412544991082848</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-1059344.3643382434</v>
      </c>
      <c r="D75" s="813"/>
      <c r="E75" s="813">
        <f>$C$75</f>
        <v>-1059344.3643382434</v>
      </c>
      <c r="F75" s="813"/>
      <c r="G75" s="813">
        <f>$C$75</f>
        <v>-1059344.3643382434</v>
      </c>
      <c r="H75" s="813"/>
      <c r="I75" s="813">
        <f>$C$75</f>
        <v>-1059344.3643382434</v>
      </c>
      <c r="J75" s="813"/>
      <c r="K75" s="813">
        <f>$C$75</f>
        <v>-1059344.3643382434</v>
      </c>
      <c r="L75" s="33"/>
      <c r="M75" s="27"/>
      <c r="N75" s="27"/>
    </row>
    <row r="76" spans="1:14" s="744" customFormat="1" ht="18.75" customHeight="1">
      <c r="A76" s="27"/>
      <c r="B76" s="812" t="s">
        <v>1164</v>
      </c>
      <c r="C76" s="813">
        <f>C70+C75</f>
        <v>265005.55726175662</v>
      </c>
      <c r="D76" s="813"/>
      <c r="E76" s="813">
        <f>E70+E75</f>
        <v>180150.04366175691</v>
      </c>
      <c r="F76" s="813"/>
      <c r="G76" s="813">
        <f>G70+G75</f>
        <v>240285.80726175662</v>
      </c>
      <c r="H76" s="813"/>
      <c r="I76" s="813">
        <f>I70+I75</f>
        <v>258315.55726175662</v>
      </c>
      <c r="J76" s="813"/>
      <c r="K76" s="813">
        <f>K70+K75</f>
        <v>142860.29366175691</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Somersby</v>
      </c>
    </row>
    <row r="13" spans="1:10" ht="15">
      <c r="A13" s="754"/>
      <c r="D13" s="753" t="s">
        <v>2938</v>
      </c>
      <c r="F13" s="2660" t="str">
        <f>Overview!E8</f>
        <v>2019-5</v>
      </c>
    </row>
    <row r="14" spans="1:10" ht="15">
      <c r="A14" s="754"/>
      <c r="D14" s="753" t="s">
        <v>2939</v>
      </c>
      <c r="F14" s="2660" t="str">
        <f>Overview!H8</f>
        <v>College Park, Fulton</v>
      </c>
    </row>
    <row r="15" spans="1:10" ht="15">
      <c r="A15" s="754"/>
      <c r="D15" s="753" t="s">
        <v>3303</v>
      </c>
      <c r="F15" s="4188">
        <f>Overview!$C$25</f>
        <v>21063604.093558483</v>
      </c>
      <c r="G15" s="4188"/>
      <c r="H15" s="4188"/>
    </row>
    <row r="16" spans="1:10" ht="15">
      <c r="A16" s="754"/>
      <c r="D16" s="756" t="s">
        <v>2940</v>
      </c>
      <c r="F16" s="757">
        <f>Overview!C13</f>
        <v>244</v>
      </c>
      <c r="G16" s="758" t="s">
        <v>3304</v>
      </c>
      <c r="H16" s="1559">
        <f>Overview!E13</f>
        <v>244</v>
      </c>
    </row>
    <row r="17" spans="1:18" ht="15">
      <c r="A17" s="754"/>
      <c r="D17" s="756" t="s">
        <v>2904</v>
      </c>
      <c r="F17" s="757" t="str">
        <f>Overview!C14</f>
        <v>Family</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5" t="s">
        <v>3498</v>
      </c>
      <c r="B22" s="4195"/>
      <c r="C22" s="4195"/>
      <c r="D22" s="4195"/>
      <c r="E22" s="4195"/>
      <c r="F22" s="4195"/>
      <c r="G22" s="4195"/>
      <c r="H22" s="4195"/>
      <c r="I22" s="4195"/>
      <c r="J22" s="4195"/>
      <c r="K22" s="4202" t="s">
        <v>5067</v>
      </c>
      <c r="L22" s="4202"/>
      <c r="M22" s="4202"/>
      <c r="N22" s="4202"/>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03"/>
      <c r="B24" s="4203"/>
      <c r="C24" s="4203"/>
      <c r="D24" s="4203"/>
      <c r="E24" s="4203"/>
      <c r="F24" s="4203"/>
      <c r="G24" s="4203"/>
      <c r="H24" s="4203"/>
      <c r="I24" s="4203"/>
      <c r="J24" s="4203"/>
    </row>
    <row r="25" spans="1:18" ht="10.5" hidden="1" customHeight="1">
      <c r="A25" s="4204"/>
      <c r="B25" s="4204"/>
      <c r="C25" s="4204"/>
      <c r="D25" s="4204"/>
      <c r="E25" s="4204"/>
      <c r="F25" s="4204"/>
      <c r="G25" s="4204"/>
      <c r="H25" s="4204"/>
      <c r="I25" s="4204"/>
      <c r="J25" s="4204"/>
    </row>
    <row r="26" spans="1:18" ht="15">
      <c r="A26" s="759" t="s">
        <v>2942</v>
      </c>
    </row>
    <row r="27" spans="1:18" ht="14.25" customHeight="1">
      <c r="A27" s="4205" t="s">
        <v>2943</v>
      </c>
      <c r="B27" s="4205"/>
      <c r="C27" s="4205"/>
      <c r="D27" s="4205"/>
      <c r="E27" s="4205"/>
      <c r="F27" s="4205"/>
      <c r="G27" s="4205"/>
      <c r="H27" s="4205"/>
      <c r="I27" s="4205"/>
      <c r="J27" s="4205"/>
    </row>
    <row r="28" spans="1:18" ht="14.25" customHeight="1">
      <c r="A28" s="4205"/>
      <c r="B28" s="4205"/>
      <c r="C28" s="4205"/>
      <c r="D28" s="4205"/>
      <c r="E28" s="4205"/>
      <c r="F28" s="4205"/>
      <c r="G28" s="4205"/>
      <c r="H28" s="4205"/>
      <c r="I28" s="4205"/>
      <c r="J28" s="4205"/>
    </row>
    <row r="29" spans="1:18" ht="6.75" customHeight="1">
      <c r="A29" s="4205"/>
      <c r="B29" s="4205"/>
      <c r="C29" s="4205"/>
      <c r="D29" s="4205"/>
      <c r="E29" s="4205"/>
      <c r="F29" s="4205"/>
      <c r="G29" s="4205"/>
      <c r="H29" s="4205"/>
      <c r="I29" s="4205"/>
      <c r="J29" s="4205"/>
    </row>
    <row r="30" spans="1:18" ht="14.25" customHeight="1">
      <c r="A30" s="4205"/>
      <c r="B30" s="4205"/>
      <c r="C30" s="4205"/>
      <c r="D30" s="4205"/>
      <c r="E30" s="4205"/>
      <c r="F30" s="4205"/>
      <c r="G30" s="4205"/>
      <c r="H30" s="4205"/>
      <c r="I30" s="4205"/>
      <c r="J30" s="4205"/>
    </row>
    <row r="31" spans="1:18" ht="14.25" customHeight="1">
      <c r="A31" s="4205"/>
      <c r="B31" s="4205"/>
      <c r="C31" s="4205"/>
      <c r="D31" s="4205"/>
      <c r="E31" s="4205"/>
      <c r="F31" s="4205"/>
      <c r="G31" s="4205"/>
      <c r="H31" s="4205"/>
      <c r="I31" s="4205"/>
      <c r="J31" s="4205"/>
    </row>
    <row r="32" spans="1:18" ht="54.75" customHeight="1">
      <c r="A32" s="4205"/>
      <c r="B32" s="4205"/>
      <c r="C32" s="4205"/>
      <c r="D32" s="4205"/>
      <c r="E32" s="4205"/>
      <c r="F32" s="4205"/>
      <c r="G32" s="4205"/>
      <c r="H32" s="4205"/>
      <c r="I32" s="4205"/>
      <c r="J32" s="4205"/>
    </row>
    <row r="33" spans="1:10" ht="0.75" hidden="1" customHeight="1">
      <c r="A33" s="4205"/>
      <c r="B33" s="4205"/>
      <c r="C33" s="4205"/>
      <c r="D33" s="4205"/>
      <c r="E33" s="4205"/>
      <c r="F33" s="4205"/>
      <c r="G33" s="4205"/>
      <c r="H33" s="4205"/>
      <c r="I33" s="4205"/>
      <c r="J33" s="4205"/>
    </row>
    <row r="34" spans="1:10" ht="3.75" hidden="1" customHeight="1">
      <c r="A34" s="4205"/>
      <c r="B34" s="4205"/>
      <c r="C34" s="4205"/>
      <c r="D34" s="4205"/>
      <c r="E34" s="4205"/>
      <c r="F34" s="4205"/>
      <c r="G34" s="4205"/>
      <c r="H34" s="4205"/>
      <c r="I34" s="4205"/>
      <c r="J34" s="4205"/>
    </row>
    <row r="35" spans="1:10" ht="5.25" customHeight="1">
      <c r="A35" s="2656"/>
      <c r="B35" s="2656"/>
      <c r="C35" s="2656"/>
      <c r="D35" s="2656"/>
      <c r="E35" s="2656"/>
      <c r="F35" s="2656"/>
      <c r="G35" s="2656"/>
      <c r="H35" s="2656"/>
      <c r="I35" s="2656"/>
      <c r="J35" s="2656"/>
    </row>
    <row r="36" spans="1:10" ht="19.5" customHeight="1">
      <c r="A36" s="4203" t="s">
        <v>2944</v>
      </c>
      <c r="B36" s="4203"/>
      <c r="C36" s="4203"/>
      <c r="D36" s="2654"/>
      <c r="E36" s="2654"/>
      <c r="F36" s="2654"/>
      <c r="G36" s="2654"/>
      <c r="H36" s="2654"/>
      <c r="I36" s="2654"/>
      <c r="J36" s="2654"/>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2654"/>
      <c r="B39" s="2654"/>
      <c r="C39" s="2654"/>
      <c r="D39" s="2654"/>
      <c r="E39" s="2654"/>
      <c r="F39" s="2654"/>
      <c r="G39" s="2654"/>
      <c r="H39" s="2654"/>
      <c r="I39" s="2654"/>
      <c r="J39" s="2654"/>
    </row>
    <row r="40" spans="1:10" ht="15">
      <c r="A40" s="759" t="s">
        <v>2945</v>
      </c>
    </row>
    <row r="41" spans="1:10" ht="135" customHeight="1">
      <c r="A41" s="4204" t="s">
        <v>5064</v>
      </c>
      <c r="B41" s="4204"/>
      <c r="C41" s="4204"/>
      <c r="D41" s="4204"/>
      <c r="E41" s="4204"/>
      <c r="F41" s="4204"/>
      <c r="G41" s="4204"/>
      <c r="H41" s="4204"/>
      <c r="I41" s="4204"/>
      <c r="J41" s="4204"/>
    </row>
    <row r="42" spans="1:10" ht="6" customHeight="1">
      <c r="A42" s="2655"/>
      <c r="B42" s="2655"/>
      <c r="C42" s="2655"/>
      <c r="D42" s="2655"/>
      <c r="E42" s="2655"/>
      <c r="F42" s="2655"/>
      <c r="G42" s="2655"/>
      <c r="H42" s="2655"/>
      <c r="I42" s="2655"/>
      <c r="J42" s="2655"/>
    </row>
    <row r="43" spans="1:10" ht="15">
      <c r="A43" s="759" t="s">
        <v>2946</v>
      </c>
    </row>
    <row r="44" spans="1:10" ht="33" customHeight="1">
      <c r="A44" s="4172" t="s">
        <v>4245</v>
      </c>
      <c r="B44" s="4174"/>
      <c r="C44" s="4174"/>
      <c r="D44" s="4174"/>
      <c r="E44" s="4174"/>
      <c r="F44" s="4174"/>
      <c r="G44" s="4174"/>
      <c r="H44" s="4174"/>
      <c r="I44" s="4174"/>
      <c r="J44" s="4172"/>
    </row>
    <row r="45" spans="1:10" ht="3" customHeight="1"/>
    <row r="46" spans="1:10" ht="72.75" customHeight="1">
      <c r="A46" s="4172" t="s">
        <v>4246</v>
      </c>
      <c r="B46" s="4172"/>
      <c r="C46" s="4172"/>
      <c r="D46" s="4172"/>
      <c r="E46" s="4172"/>
      <c r="F46" s="4172"/>
      <c r="G46" s="4172"/>
      <c r="H46" s="4172"/>
      <c r="I46" s="4172"/>
      <c r="J46" s="4172"/>
    </row>
    <row r="47" spans="1:10" ht="3" customHeight="1">
      <c r="A47" s="2654"/>
      <c r="B47" s="2654"/>
      <c r="C47" s="2654"/>
      <c r="D47" s="2654"/>
      <c r="E47" s="2654"/>
      <c r="F47" s="2654"/>
      <c r="G47" s="2654"/>
      <c r="H47" s="2654"/>
      <c r="I47" s="2654"/>
      <c r="J47" s="2654"/>
    </row>
    <row r="48" spans="1:10" ht="56.25" customHeight="1">
      <c r="A48" s="4172" t="s">
        <v>4247</v>
      </c>
      <c r="B48" s="4172"/>
      <c r="C48" s="4172"/>
      <c r="D48" s="4172"/>
      <c r="E48" s="4172"/>
      <c r="F48" s="4172"/>
      <c r="G48" s="4172"/>
      <c r="H48" s="4172"/>
      <c r="I48" s="4172"/>
      <c r="J48" s="4172"/>
    </row>
    <row r="49" spans="1:17" ht="3" customHeight="1">
      <c r="A49" s="2654"/>
      <c r="B49" s="2654"/>
      <c r="C49" s="2654"/>
      <c r="D49" s="2654"/>
      <c r="E49" s="2654"/>
      <c r="F49" s="2654"/>
      <c r="G49" s="2654"/>
      <c r="H49" s="2654"/>
      <c r="I49" s="2654"/>
      <c r="J49" s="2654"/>
    </row>
    <row r="50" spans="1:17" ht="49.5" customHeight="1">
      <c r="A50" s="4172" t="s">
        <v>4248</v>
      </c>
      <c r="B50" s="4172"/>
      <c r="C50" s="4172"/>
      <c r="D50" s="4172"/>
      <c r="E50" s="4172"/>
      <c r="F50" s="4172"/>
      <c r="G50" s="4172"/>
      <c r="H50" s="4172"/>
      <c r="I50" s="4172"/>
      <c r="J50" s="2654"/>
    </row>
    <row r="51" spans="1:17" ht="3" customHeight="1">
      <c r="A51" s="2654"/>
      <c r="B51" s="2654"/>
      <c r="C51" s="2654"/>
      <c r="D51" s="2654"/>
      <c r="E51" s="2654"/>
      <c r="F51" s="2654"/>
      <c r="G51" s="2654"/>
      <c r="H51" s="2654"/>
      <c r="I51" s="2654"/>
      <c r="J51" s="2654"/>
    </row>
    <row r="52" spans="1:17" ht="54.75" customHeight="1">
      <c r="A52" s="4194" t="s">
        <v>3313</v>
      </c>
      <c r="B52" s="4192"/>
      <c r="C52" s="4192"/>
      <c r="D52" s="4192"/>
      <c r="E52" s="4192"/>
      <c r="F52" s="4192"/>
      <c r="G52" s="4192"/>
      <c r="H52" s="4192"/>
      <c r="I52" s="4192"/>
      <c r="J52" s="2654"/>
    </row>
    <row r="53" spans="1:17" ht="3" customHeight="1">
      <c r="A53" s="2654"/>
      <c r="B53" s="2654"/>
      <c r="C53" s="2654"/>
      <c r="D53" s="2654"/>
      <c r="E53" s="2654"/>
      <c r="F53" s="2654"/>
      <c r="G53" s="2654"/>
      <c r="H53" s="2654"/>
      <c r="I53" s="2654"/>
      <c r="J53" s="2654"/>
    </row>
    <row r="54" spans="1:17" ht="62.25" customHeight="1">
      <c r="A54" s="4192" t="s">
        <v>4249</v>
      </c>
      <c r="B54" s="4192"/>
      <c r="C54" s="4192"/>
      <c r="D54" s="4192"/>
      <c r="E54" s="4192"/>
      <c r="F54" s="4192"/>
      <c r="G54" s="4192"/>
      <c r="H54" s="4192"/>
      <c r="I54" s="4192"/>
      <c r="J54" s="4192"/>
    </row>
    <row r="55" spans="1:17" ht="3" customHeight="1"/>
    <row r="56" spans="1:17" ht="73.5" customHeight="1">
      <c r="A56" s="4172" t="s">
        <v>4250</v>
      </c>
      <c r="B56" s="4172"/>
      <c r="C56" s="4172"/>
      <c r="D56" s="4172"/>
      <c r="E56" s="4172"/>
      <c r="F56" s="4172"/>
      <c r="G56" s="4172"/>
      <c r="H56" s="4172"/>
      <c r="I56" s="4172"/>
      <c r="J56" s="4172"/>
    </row>
    <row r="57" spans="1:17" ht="6" customHeight="1">
      <c r="A57" s="2654" t="s">
        <v>243</v>
      </c>
      <c r="B57" s="2654"/>
      <c r="C57" s="2654"/>
      <c r="D57" s="2654"/>
      <c r="E57" s="2654"/>
      <c r="F57" s="2654"/>
      <c r="G57" s="2654"/>
      <c r="H57" s="2654"/>
      <c r="I57" s="2654"/>
      <c r="J57" s="2654"/>
    </row>
    <row r="58" spans="1:17" ht="15">
      <c r="A58" s="759" t="s">
        <v>2949</v>
      </c>
      <c r="L58" s="760" t="s">
        <v>3490</v>
      </c>
    </row>
    <row r="59" spans="1:17" ht="73.5" customHeight="1">
      <c r="A59" s="4195" t="s">
        <v>2950</v>
      </c>
      <c r="B59" s="4195"/>
      <c r="C59" s="4195"/>
      <c r="D59" s="4195"/>
      <c r="E59" s="4195"/>
      <c r="F59" s="4195"/>
      <c r="G59" s="4195"/>
      <c r="H59" s="4195"/>
      <c r="I59" s="4195"/>
      <c r="J59" s="4195"/>
      <c r="L59" s="761">
        <f>'Closing term sheet'!C133</f>
        <v>963486.5</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192" t="s">
        <v>3390</v>
      </c>
      <c r="B61" s="4192"/>
      <c r="C61" s="4192"/>
      <c r="D61" s="4192"/>
      <c r="E61" s="4192"/>
      <c r="F61" s="4192"/>
      <c r="G61" s="4192"/>
      <c r="H61" s="4192"/>
      <c r="I61" s="4192"/>
      <c r="J61" s="766"/>
      <c r="L61" s="767">
        <f>'Part III-Sources of Funds'!I49</f>
        <v>16624260.60768</v>
      </c>
      <c r="M61" s="768">
        <f>'Part IV-A-Uses of Funds'!$J$175</f>
        <v>1731867</v>
      </c>
      <c r="N61" s="769">
        <f>'Part IV-A-Uses of Funds'!N168</f>
        <v>0.96</v>
      </c>
      <c r="O61" s="767">
        <f>'Part III-Sources of Funds'!I50</f>
        <v>10737575.4</v>
      </c>
      <c r="P61" s="768">
        <f>M61</f>
        <v>1731867</v>
      </c>
      <c r="Q61" s="769">
        <f>'Part IV-A-Uses of Funds'!Q168</f>
        <v>0.62</v>
      </c>
    </row>
    <row r="62" spans="1:17" ht="18.75" customHeight="1">
      <c r="A62" s="770" t="s">
        <v>2951</v>
      </c>
    </row>
    <row r="63" spans="1:17" ht="159.75" customHeight="1">
      <c r="A63" s="4192" t="s">
        <v>4251</v>
      </c>
      <c r="B63" s="4192"/>
      <c r="C63" s="4192"/>
      <c r="D63" s="4192"/>
      <c r="E63" s="4192"/>
      <c r="F63" s="4192"/>
      <c r="G63" s="4192"/>
      <c r="H63" s="4192"/>
      <c r="I63" s="4192"/>
      <c r="J63" s="4192"/>
      <c r="L63" s="771">
        <f>'Part VII-Pro Forma'!K71</f>
        <v>12264279.034853749</v>
      </c>
      <c r="M63" s="4196" t="s">
        <v>3497</v>
      </c>
      <c r="N63" s="4197"/>
    </row>
    <row r="64" spans="1:17" ht="6" customHeight="1">
      <c r="A64" s="759"/>
    </row>
    <row r="65" spans="1:10" ht="15">
      <c r="A65" s="759" t="s">
        <v>2952</v>
      </c>
    </row>
    <row r="66" spans="1:10" ht="66.75" customHeight="1">
      <c r="A66" s="4192" t="s">
        <v>2953</v>
      </c>
      <c r="B66" s="4192"/>
      <c r="C66" s="4192"/>
      <c r="D66" s="4192"/>
      <c r="E66" s="4192"/>
      <c r="F66" s="4192"/>
      <c r="G66" s="4192"/>
      <c r="H66" s="4192"/>
      <c r="I66" s="4192"/>
      <c r="J66" s="4192"/>
    </row>
    <row r="67" spans="1:10" ht="36" customHeight="1">
      <c r="A67" s="4192" t="s">
        <v>2954</v>
      </c>
      <c r="B67" s="4192"/>
      <c r="C67" s="4192"/>
      <c r="D67" s="4192"/>
      <c r="E67" s="4192"/>
      <c r="F67" s="4192"/>
      <c r="G67" s="4192"/>
      <c r="H67" s="4192"/>
      <c r="I67" s="4192"/>
      <c r="J67" s="4192"/>
    </row>
    <row r="68" spans="1:10" ht="6" customHeight="1">
      <c r="A68" s="759"/>
    </row>
    <row r="69" spans="1:10" ht="15">
      <c r="A69" s="759" t="s">
        <v>2955</v>
      </c>
    </row>
    <row r="70" spans="1:10" ht="105.75" customHeight="1">
      <c r="A70" s="4172" t="s">
        <v>2956</v>
      </c>
      <c r="B70" s="4172"/>
      <c r="C70" s="4172"/>
      <c r="D70" s="4172"/>
      <c r="E70" s="4172"/>
      <c r="F70" s="4172"/>
      <c r="G70" s="4172"/>
      <c r="H70" s="4172"/>
      <c r="I70" s="4172"/>
      <c r="J70" s="4172"/>
    </row>
    <row r="71" spans="1:10" ht="6" customHeight="1">
      <c r="A71" s="759"/>
    </row>
    <row r="72" spans="1:10" ht="15">
      <c r="A72" s="759" t="s">
        <v>2957</v>
      </c>
    </row>
    <row r="73" spans="1:10" ht="66" customHeight="1">
      <c r="A73" s="4172" t="s">
        <v>2958</v>
      </c>
      <c r="B73" s="4172"/>
      <c r="C73" s="4172"/>
      <c r="D73" s="4172"/>
      <c r="E73" s="4172"/>
      <c r="F73" s="4172"/>
      <c r="G73" s="4172"/>
      <c r="H73" s="4172"/>
      <c r="I73" s="4172"/>
      <c r="J73" s="4172"/>
    </row>
    <row r="74" spans="1:10" s="2656" customFormat="1" ht="6" customHeight="1">
      <c r="A74" s="4172"/>
      <c r="B74" s="4172"/>
      <c r="C74" s="4172"/>
      <c r="D74" s="4172"/>
      <c r="E74" s="4172"/>
      <c r="F74" s="4172"/>
      <c r="G74" s="4172"/>
      <c r="H74" s="4172"/>
      <c r="I74" s="4172"/>
      <c r="J74" s="4172"/>
    </row>
    <row r="75" spans="1:10" ht="16.5" customHeight="1">
      <c r="A75" s="2658" t="s">
        <v>2959</v>
      </c>
      <c r="B75" s="758"/>
      <c r="C75" s="758"/>
      <c r="D75" s="2660"/>
      <c r="E75" s="758"/>
      <c r="F75" s="758"/>
      <c r="G75" s="758"/>
      <c r="H75" s="758"/>
      <c r="I75" s="758"/>
      <c r="J75" s="772"/>
    </row>
    <row r="76" spans="1:10" s="2656" customFormat="1" ht="63" customHeight="1">
      <c r="A76" s="4172" t="s">
        <v>4462</v>
      </c>
      <c r="B76" s="4172"/>
      <c r="C76" s="4172"/>
      <c r="D76" s="4172"/>
      <c r="E76" s="4172"/>
      <c r="F76" s="4172"/>
      <c r="G76" s="4172"/>
      <c r="H76" s="4172"/>
      <c r="I76" s="4172"/>
      <c r="J76" s="4172"/>
    </row>
    <row r="77" spans="1:10" s="2656" customFormat="1" ht="6" customHeight="1">
      <c r="A77" s="2654"/>
      <c r="B77" s="2654"/>
      <c r="C77" s="2654"/>
      <c r="D77" s="2654"/>
      <c r="E77" s="2654"/>
      <c r="F77" s="2654"/>
      <c r="G77" s="2654"/>
      <c r="H77" s="2654"/>
      <c r="I77" s="2654"/>
      <c r="J77" s="2654"/>
    </row>
    <row r="78" spans="1:10" ht="16.5" customHeight="1">
      <c r="A78" s="4199" t="s">
        <v>2960</v>
      </c>
      <c r="B78" s="4200"/>
      <c r="C78" s="4200"/>
      <c r="D78" s="758"/>
      <c r="E78" s="758"/>
      <c r="F78" s="758"/>
      <c r="G78" s="758"/>
      <c r="H78" s="758"/>
      <c r="I78" s="758"/>
      <c r="J78" s="772"/>
    </row>
    <row r="79" spans="1:10" ht="41.25" customHeight="1">
      <c r="A79" s="4192" t="s">
        <v>4252</v>
      </c>
      <c r="B79" s="4201"/>
      <c r="C79" s="4201"/>
      <c r="D79" s="4201"/>
      <c r="E79" s="4201"/>
      <c r="F79" s="4201"/>
      <c r="G79" s="4201"/>
      <c r="H79" s="4201"/>
      <c r="I79" s="4201"/>
      <c r="J79" s="4201"/>
    </row>
    <row r="80" spans="1:10" ht="6" customHeight="1">
      <c r="A80" s="773"/>
      <c r="B80" s="758"/>
      <c r="C80" s="758"/>
      <c r="D80" s="758"/>
      <c r="E80" s="758"/>
      <c r="F80" s="758"/>
      <c r="G80" s="758"/>
      <c r="H80" s="758"/>
      <c r="I80" s="758"/>
      <c r="J80" s="772"/>
    </row>
    <row r="81" spans="1:15" ht="15">
      <c r="A81" s="759" t="s">
        <v>2961</v>
      </c>
    </row>
    <row r="82" spans="1:15" ht="139.5" customHeight="1">
      <c r="A82" s="4192" t="s">
        <v>2962</v>
      </c>
      <c r="B82" s="4192"/>
      <c r="C82" s="4192"/>
      <c r="D82" s="4192"/>
      <c r="E82" s="4192"/>
      <c r="F82" s="4192"/>
      <c r="G82" s="4192"/>
      <c r="H82" s="4192"/>
      <c r="I82" s="4192"/>
      <c r="J82" s="4192"/>
      <c r="L82" s="4202" t="s">
        <v>2963</v>
      </c>
      <c r="M82" s="4202"/>
      <c r="N82" s="4202"/>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2" t="s">
        <v>2965</v>
      </c>
      <c r="B85" s="4192"/>
      <c r="C85" s="4192"/>
      <c r="D85" s="4192"/>
      <c r="E85" s="4192"/>
      <c r="F85" s="4192"/>
      <c r="G85" s="4192"/>
      <c r="H85" s="4192"/>
      <c r="I85" s="4192"/>
      <c r="J85" s="4192"/>
      <c r="L85" s="4202" t="s">
        <v>2966</v>
      </c>
      <c r="M85" s="4202"/>
      <c r="N85" s="774" t="e">
        <f>'After-Tax Analysis'!G66</f>
        <v>#VALUE!</v>
      </c>
      <c r="O85" s="775" t="s">
        <v>2967</v>
      </c>
    </row>
    <row r="86" spans="1:15" ht="6" customHeight="1">
      <c r="A86" s="759"/>
    </row>
    <row r="87" spans="1:15" ht="15">
      <c r="A87" s="759" t="s">
        <v>2968</v>
      </c>
    </row>
    <row r="88" spans="1:15" ht="118.5" customHeight="1">
      <c r="A88" s="4172" t="s">
        <v>2969</v>
      </c>
      <c r="B88" s="4172"/>
      <c r="C88" s="4172"/>
      <c r="D88" s="4172"/>
      <c r="E88" s="4172"/>
      <c r="F88" s="4172"/>
      <c r="G88" s="4172"/>
      <c r="H88" s="4172"/>
      <c r="I88" s="4172"/>
      <c r="J88" s="4172"/>
    </row>
    <row r="89" spans="1:15" ht="20.25" customHeight="1">
      <c r="A89" s="4174" t="s">
        <v>2970</v>
      </c>
      <c r="B89" s="4174"/>
      <c r="C89" s="4174"/>
      <c r="D89" s="4172"/>
      <c r="E89" s="2654"/>
      <c r="F89" s="2654"/>
      <c r="G89" s="2654"/>
      <c r="H89" s="2654"/>
      <c r="I89" s="2654"/>
      <c r="J89" s="2654"/>
    </row>
    <row r="90" spans="1:15" ht="109.5" customHeight="1">
      <c r="A90" s="4190" t="s">
        <v>2971</v>
      </c>
      <c r="B90" s="4191"/>
      <c r="C90" s="4191"/>
      <c r="D90" s="4191"/>
      <c r="E90" s="4191"/>
      <c r="F90" s="4191"/>
      <c r="G90" s="4191"/>
      <c r="H90" s="4191"/>
      <c r="I90" s="4191"/>
      <c r="J90" s="4191"/>
    </row>
    <row r="91" spans="1:15" ht="11.25" customHeight="1">
      <c r="A91" s="759"/>
    </row>
    <row r="92" spans="1:15" ht="15">
      <c r="A92" s="759" t="s">
        <v>2972</v>
      </c>
    </row>
    <row r="93" spans="1:15" ht="122.25" customHeight="1">
      <c r="A93" s="4195" t="s">
        <v>2973</v>
      </c>
      <c r="B93" s="4195"/>
      <c r="C93" s="4195"/>
      <c r="D93" s="4195"/>
      <c r="E93" s="4195"/>
      <c r="F93" s="4195"/>
      <c r="G93" s="4195"/>
      <c r="H93" s="4195"/>
      <c r="I93" s="4195"/>
      <c r="J93" s="4195"/>
      <c r="L93" s="1564">
        <f>'Part VII-Pro Forma'!K71</f>
        <v>12264279.034853749</v>
      </c>
      <c r="M93" s="4198" t="s">
        <v>2974</v>
      </c>
      <c r="N93" s="4198"/>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4" t="s">
        <v>2975</v>
      </c>
      <c r="B97" s="4174"/>
      <c r="C97" s="4174"/>
      <c r="D97" s="2654"/>
      <c r="E97" s="2654"/>
      <c r="F97" s="2654"/>
      <c r="G97" s="2654"/>
      <c r="H97" s="2654"/>
      <c r="I97" s="2654"/>
      <c r="J97" s="772"/>
    </row>
    <row r="98" spans="1:10" ht="37.5" customHeight="1">
      <c r="A98" s="4192" t="s">
        <v>2976</v>
      </c>
      <c r="B98" s="4192"/>
      <c r="C98" s="4192"/>
      <c r="D98" s="4192"/>
      <c r="E98" s="4192"/>
      <c r="F98" s="4192"/>
      <c r="G98" s="4192"/>
      <c r="H98" s="4192"/>
      <c r="I98" s="4192"/>
      <c r="J98" s="4192"/>
    </row>
    <row r="99" spans="1:10" ht="6" customHeight="1">
      <c r="A99" s="759"/>
    </row>
    <row r="100" spans="1:10" ht="15">
      <c r="A100" s="759" t="s">
        <v>2977</v>
      </c>
    </row>
    <row r="101" spans="1:10" ht="43.5" customHeight="1">
      <c r="A101" s="4172" t="s">
        <v>2978</v>
      </c>
      <c r="B101" s="4172"/>
      <c r="C101" s="4172"/>
      <c r="D101" s="4172"/>
      <c r="E101" s="4172"/>
      <c r="F101" s="4172"/>
      <c r="G101" s="4172"/>
      <c r="H101" s="4172"/>
      <c r="I101" s="4172"/>
      <c r="J101" s="4172"/>
    </row>
    <row r="102" spans="1:10" ht="6" customHeight="1">
      <c r="A102" s="2654"/>
      <c r="B102" s="2654"/>
      <c r="C102" s="2654"/>
      <c r="D102" s="2654"/>
      <c r="E102" s="2654"/>
      <c r="F102" s="2654"/>
      <c r="G102" s="2654"/>
      <c r="H102" s="2654"/>
      <c r="I102" s="2654"/>
      <c r="J102" s="2654"/>
    </row>
    <row r="103" spans="1:10" ht="15">
      <c r="A103" s="759" t="s">
        <v>2979</v>
      </c>
    </row>
    <row r="105" spans="1:10">
      <c r="A105" s="4193" t="s">
        <v>2980</v>
      </c>
      <c r="B105" s="4193"/>
      <c r="C105" s="4193"/>
      <c r="D105" s="4193"/>
      <c r="E105" s="4193"/>
      <c r="F105" s="4193"/>
      <c r="G105" s="4193"/>
      <c r="H105" s="4193"/>
      <c r="I105" s="4193"/>
      <c r="J105" s="4193"/>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189" t="s">
        <v>5068</v>
      </c>
      <c r="B116" s="4189"/>
      <c r="C116" s="4189"/>
      <c r="D116" s="4189"/>
      <c r="E116" s="4189"/>
      <c r="H116" s="4189" t="s">
        <v>2984</v>
      </c>
      <c r="I116" s="4189"/>
      <c r="J116" s="4189"/>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Somersby</v>
      </c>
    </row>
    <row r="2" spans="1:15" ht="13.5" customHeight="1"/>
    <row r="3" spans="1:15" ht="13.5" customHeight="1">
      <c r="A3" s="754" t="s">
        <v>3047</v>
      </c>
      <c r="C3" s="753" t="s">
        <v>3048</v>
      </c>
      <c r="E3" s="839">
        <f>SUM('Part IV-A-Uses of Funds'!J149,'Part IV-A-Uses of Funds'!M149,'Part IV-A-Uses of Funds'!P149)</f>
        <v>43113462.819839999</v>
      </c>
      <c r="F3" s="2185" t="s">
        <v>3049</v>
      </c>
      <c r="H3" s="1612">
        <v>27.5</v>
      </c>
      <c r="I3" s="753" t="s">
        <v>2469</v>
      </c>
      <c r="K3" s="758" t="s">
        <v>3070</v>
      </c>
      <c r="M3" s="2185"/>
      <c r="O3" s="840"/>
    </row>
    <row r="4" spans="1:15" ht="13.5" customHeight="1">
      <c r="C4" s="753" t="s">
        <v>3555</v>
      </c>
      <c r="E4" s="839">
        <f>SUM('Part IV-A-Uses of Funds'!G85:H89)</f>
        <v>626010</v>
      </c>
      <c r="F4" s="2185" t="s">
        <v>4464</v>
      </c>
      <c r="H4" s="754">
        <f>'Part III-Sources of Funds'!M38</f>
        <v>35</v>
      </c>
      <c r="I4" s="753" t="s">
        <v>2469</v>
      </c>
      <c r="K4" s="841" t="s">
        <v>3314</v>
      </c>
      <c r="M4" s="2185"/>
    </row>
    <row r="5" spans="1:15" ht="13.5" customHeight="1">
      <c r="C5" s="753" t="s">
        <v>3556</v>
      </c>
      <c r="E5" s="839">
        <f>SUM('Part IV-A-Uses of Funds'!G96:H102)</f>
        <v>394550</v>
      </c>
      <c r="F5" s="2185" t="s">
        <v>4463</v>
      </c>
      <c r="H5" s="1612">
        <v>15</v>
      </c>
      <c r="I5" s="753" t="s">
        <v>2469</v>
      </c>
      <c r="K5" s="840">
        <f>-E6</f>
        <v>-27361836.007679999</v>
      </c>
    </row>
    <row r="6" spans="1:15" ht="13.5" customHeight="1">
      <c r="C6" s="753" t="s">
        <v>3050</v>
      </c>
      <c r="E6" s="842">
        <f>'Part III-Sources of Funds'!$I$49+'Part III-Sources of Funds'!$I$50</f>
        <v>27361836.007679999</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0</v>
      </c>
      <c r="D9" s="847">
        <f>'Part VII-Pro Forma'!C32</f>
        <v>-0.37430624337866902</v>
      </c>
      <c r="E9" s="847">
        <f>'Part VII-Pro Forma'!D32</f>
        <v>0.22199439676478505</v>
      </c>
      <c r="F9" s="847">
        <f>'Part VII-Pro Forma'!E32</f>
        <v>-0.46008395054377615</v>
      </c>
      <c r="G9" s="847">
        <f>'Part VII-Pro Forma'!F32</f>
        <v>0.23858198535162956</v>
      </c>
      <c r="H9" s="847">
        <f>'Part VII-Pro Forma'!G32</f>
        <v>183359.42223866546</v>
      </c>
      <c r="I9" s="847">
        <f>'Part VII-Pro Forma'!H32</f>
        <v>337442.61931642733</v>
      </c>
      <c r="K9" s="840" t="e">
        <f>F24</f>
        <v>#VALUE!</v>
      </c>
      <c r="N9" s="848" t="s">
        <v>3056</v>
      </c>
    </row>
    <row r="10" spans="1:15" ht="13.5" customHeight="1">
      <c r="A10" s="753" t="s">
        <v>3055</v>
      </c>
      <c r="C10" s="1567">
        <f>'Part III-Sources of Funds'!I38-'Part VII-Pro Forma'!B39</f>
        <v>306072.02907659858</v>
      </c>
      <c r="D10" s="849">
        <f>'Part VII-Pro Forma'!B39-'Part VII-Pro Forma'!C39</f>
        <v>317274.2593075484</v>
      </c>
      <c r="E10" s="849">
        <f>'Part VII-Pro Forma'!C39-'Part VII-Pro Forma'!D39</f>
        <v>328886.49094413593</v>
      </c>
      <c r="F10" s="849">
        <f>'Part VII-Pro Forma'!D39-'Part VII-Pro Forma'!E39</f>
        <v>340923.73002972454</v>
      </c>
      <c r="G10" s="849">
        <f>'Part VII-Pro Forma'!E39-'Part VII-Pro Forma'!F39</f>
        <v>353401.53182856739</v>
      </c>
      <c r="H10" s="849">
        <f>'Part VII-Pro Forma'!F39-'Part VII-Pro Forma'!G39</f>
        <v>366336.02092728764</v>
      </c>
      <c r="I10" s="849">
        <f>'Part VII-Pro Forma'!G39-'Part VII-Pro Forma'!H39</f>
        <v>379743.91207205877</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3558</v>
      </c>
      <c r="B13" s="852"/>
      <c r="C13" s="1568">
        <f>'Part VII-Pro Forma'!B22</f>
        <v>-61000</v>
      </c>
      <c r="D13" s="1568">
        <f>'Part VII-Pro Forma'!C22</f>
        <v>-62830</v>
      </c>
      <c r="E13" s="1568">
        <f>'Part VII-Pro Forma'!D22</f>
        <v>-64714.899999999994</v>
      </c>
      <c r="F13" s="1568">
        <f>'Part VII-Pro Forma'!E22</f>
        <v>-66656.346999999994</v>
      </c>
      <c r="G13" s="1568">
        <f>'Part VII-Pro Forma'!F22</f>
        <v>-68656.03740999999</v>
      </c>
      <c r="H13" s="1568">
        <f>'Part VII-Pro Forma'!G22</f>
        <v>-70715.718532299987</v>
      </c>
      <c r="I13" s="1568">
        <f>'Part VII-Pro Forma'!H22</f>
        <v>-72837.190088268995</v>
      </c>
      <c r="K13" s="840" t="e">
        <f>C44</f>
        <v>#VALUE!</v>
      </c>
      <c r="O13" s="845"/>
    </row>
    <row r="14" spans="1:15" ht="13.5" customHeight="1">
      <c r="A14" s="851" t="s">
        <v>3559</v>
      </c>
      <c r="B14" s="852"/>
      <c r="C14" s="1568">
        <f>'Part VII-Pro Forma'!B31</f>
        <v>-260005.55726175662</v>
      </c>
      <c r="D14" s="1568">
        <f>'Part VII-Pro Forma'!C31</f>
        <v>-273281</v>
      </c>
      <c r="E14" s="1568">
        <f>'Part VII-Pro Forma'!D31</f>
        <v>-286428</v>
      </c>
      <c r="F14" s="1568">
        <f>'Part VII-Pro Forma'!E31</f>
        <v>-299434</v>
      </c>
      <c r="G14" s="1568">
        <f>'Part VII-Pro Forma'!F31</f>
        <v>-312281</v>
      </c>
      <c r="H14" s="1568">
        <f>'Part VII-Pro Forma'!G31</f>
        <v>-141597</v>
      </c>
      <c r="I14" s="1568">
        <f>'Part VII-Pro Forma'!H31</f>
        <v>0</v>
      </c>
      <c r="K14" s="840" t="e">
        <f>D44</f>
        <v>#VALUE!</v>
      </c>
      <c r="M14" s="753" t="s">
        <v>3062</v>
      </c>
      <c r="O14" s="845" t="e">
        <f>O6-O8-O12</f>
        <v>#VALUE!</v>
      </c>
    </row>
    <row r="15" spans="1:15" ht="13.5" customHeight="1">
      <c r="A15" s="853" t="s">
        <v>3058</v>
      </c>
      <c r="C15" s="854">
        <f t="shared" ref="C15:I15" si="0">$E$3/$H$3</f>
        <v>1567762.2843578181</v>
      </c>
      <c r="D15" s="854">
        <f t="shared" si="0"/>
        <v>1567762.2843578181</v>
      </c>
      <c r="E15" s="854">
        <f t="shared" si="0"/>
        <v>1567762.2843578181</v>
      </c>
      <c r="F15" s="854">
        <f t="shared" si="0"/>
        <v>1567762.2843578181</v>
      </c>
      <c r="G15" s="854">
        <f t="shared" si="0"/>
        <v>1567762.2843578181</v>
      </c>
      <c r="H15" s="854">
        <f t="shared" si="0"/>
        <v>1567762.2843578181</v>
      </c>
      <c r="I15" s="854">
        <f t="shared" si="0"/>
        <v>1567762.2843578181</v>
      </c>
      <c r="K15" s="840" t="e">
        <f>E44</f>
        <v>#VALUE!</v>
      </c>
      <c r="O15" s="845"/>
    </row>
    <row r="16" spans="1:15" ht="13.5" customHeight="1">
      <c r="A16" s="853" t="s">
        <v>3060</v>
      </c>
      <c r="C16" s="854">
        <f>IF(C$8&lt;=$H$4,($E$4/$H$4),0)+IF(C$8&lt;=$H$5,($E$5/$H$5),0)</f>
        <v>44189.333333333328</v>
      </c>
      <c r="D16" s="854">
        <f t="shared" ref="D16:I16" si="1">IF(D$8&lt;=$H$4,($E$4/$H$4),0)+IF(D$8&lt;=$H$5,($E$5/$H$5),0)</f>
        <v>44189.333333333328</v>
      </c>
      <c r="E16" s="854">
        <f t="shared" si="1"/>
        <v>44189.333333333328</v>
      </c>
      <c r="F16" s="854">
        <f t="shared" si="1"/>
        <v>44189.333333333328</v>
      </c>
      <c r="G16" s="854">
        <f t="shared" si="1"/>
        <v>44189.333333333328</v>
      </c>
      <c r="H16" s="854">
        <f t="shared" si="1"/>
        <v>44189.333333333328</v>
      </c>
      <c r="I16" s="854">
        <f t="shared" si="1"/>
        <v>44189.333333333328</v>
      </c>
      <c r="K16" s="840" t="e">
        <f>F44</f>
        <v>#VALUE!</v>
      </c>
      <c r="M16" s="753" t="s">
        <v>3064</v>
      </c>
      <c r="O16" s="845">
        <f>E3</f>
        <v>43113462.819839999</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31355245.687156361</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11758217.132683638</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1731867</v>
      </c>
      <c r="D21" s="855">
        <f t="shared" ref="D21:I21" si="5">C21</f>
        <v>1731867</v>
      </c>
      <c r="E21" s="855">
        <f t="shared" si="5"/>
        <v>1731867</v>
      </c>
      <c r="F21" s="855">
        <f t="shared" si="5"/>
        <v>1731867</v>
      </c>
      <c r="G21" s="855">
        <f t="shared" si="5"/>
        <v>1731867</v>
      </c>
      <c r="H21" s="855">
        <f t="shared" si="5"/>
        <v>1731867</v>
      </c>
      <c r="I21" s="855">
        <f t="shared" si="5"/>
        <v>1731867</v>
      </c>
      <c r="J21" s="753" t="s">
        <v>243</v>
      </c>
      <c r="K21" s="840" t="e">
        <f>D64</f>
        <v>#VALUE!</v>
      </c>
      <c r="O21" s="845"/>
    </row>
    <row r="22" spans="1:17" ht="13.5" customHeight="1">
      <c r="A22" s="753" t="s">
        <v>3067</v>
      </c>
      <c r="C22" s="855">
        <f>C21</f>
        <v>1731867</v>
      </c>
      <c r="D22" s="855">
        <f t="shared" ref="D22:I22" si="6">D21</f>
        <v>1731867</v>
      </c>
      <c r="E22" s="855">
        <f t="shared" si="6"/>
        <v>1731867</v>
      </c>
      <c r="F22" s="855">
        <f t="shared" si="6"/>
        <v>1731867</v>
      </c>
      <c r="G22" s="855">
        <f t="shared" si="6"/>
        <v>1731867</v>
      </c>
      <c r="H22" s="855">
        <f t="shared" si="6"/>
        <v>1731867</v>
      </c>
      <c r="I22" s="855">
        <f t="shared" si="6"/>
        <v>1731867</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11758217.132683638</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-11758217.132683638</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349722.7607761313</v>
      </c>
      <c r="D29" s="847">
        <f>'Part VII-Pro Forma'!J32</f>
        <v>361778.15771862719</v>
      </c>
      <c r="E29" s="847">
        <f>'Part VII-Pro Forma'!K32</f>
        <v>373590.47823317978</v>
      </c>
      <c r="F29" s="847">
        <f>'Part VII-Pro Forma'!B64</f>
        <v>385141.72346022638</v>
      </c>
      <c r="G29" s="847">
        <f>'Part VII-Pro Forma'!C64</f>
        <v>396410.20284308097</v>
      </c>
      <c r="H29" s="847">
        <f>'Part VII-Pro Forma'!D64</f>
        <v>407375.50854240067</v>
      </c>
      <c r="I29" s="847">
        <f>'Part VII-Pro Forma'!E64</f>
        <v>418016.48898637632</v>
      </c>
      <c r="N29" s="858"/>
      <c r="O29" s="858"/>
    </row>
    <row r="30" spans="1:17" ht="13.5" customHeight="1">
      <c r="A30" s="753" t="s">
        <v>3055</v>
      </c>
      <c r="C30" s="849">
        <f>'Part VII-Pro Forma'!H39-'Part VII-Pro Forma'!I39</f>
        <v>393642.53176843375</v>
      </c>
      <c r="D30" s="849">
        <f>'Part VII-Pro Forma'!I39-'Part VII-Pro Forma'!J39</f>
        <v>408049.84067172557</v>
      </c>
      <c r="E30" s="849">
        <f>'Part VII-Pro Forma'!J39-'Part VII-Pro Forma'!K39</f>
        <v>422984.45679688826</v>
      </c>
      <c r="F30" s="1565">
        <f>'Part VII-Pro Forma'!K39-'Part VII-Pro Forma'!B71</f>
        <v>438465.67957783863</v>
      </c>
      <c r="G30" s="1565">
        <f>'Part VII-Pro Forma'!B71-'Part VII-Pro Forma'!C71</f>
        <v>454513.51480740681</v>
      </c>
      <c r="H30" s="1565">
        <f>'Part VII-Pro Forma'!C71-'Part VII-Pro Forma'!D71</f>
        <v>471148.70049004629</v>
      </c>
      <c r="I30" s="1565">
        <f>'Part VII-Pro Forma'!D71-'Part VII-Pro Forma'!E71</f>
        <v>488392.73364076391</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-2351643.4265367277</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-75022.305790917075</v>
      </c>
      <c r="D33" s="1568">
        <f>'Part VII-Pro Forma'!J22</f>
        <v>-77272.974964644571</v>
      </c>
      <c r="E33" s="1568">
        <f>'Part VII-Pro Forma'!K22</f>
        <v>-79591.164213583907</v>
      </c>
      <c r="F33" s="1568">
        <f>'Part VII-Pro Forma'!B54</f>
        <v>-81978.899139991423</v>
      </c>
      <c r="G33" s="1568">
        <f>'Part VII-Pro Forma'!C54</f>
        <v>-84438.266114191181</v>
      </c>
      <c r="H33" s="1568">
        <f>'Part VII-Pro Forma'!D54</f>
        <v>-86971.4140976169</v>
      </c>
      <c r="I33" s="1568">
        <f>'Part VII-Pro Forma'!E54</f>
        <v>-89580.556520545404</v>
      </c>
      <c r="K33" s="753" t="s">
        <v>243</v>
      </c>
      <c r="M33" s="753" t="s">
        <v>3075</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1567762.2843578181</v>
      </c>
      <c r="D35" s="854">
        <f t="shared" si="8"/>
        <v>1567762.2843578181</v>
      </c>
      <c r="E35" s="854">
        <f t="shared" si="8"/>
        <v>1567762.2843578181</v>
      </c>
      <c r="F35" s="854">
        <f t="shared" si="8"/>
        <v>1567762.2843578181</v>
      </c>
      <c r="G35" s="854">
        <f t="shared" si="8"/>
        <v>1567762.2843578181</v>
      </c>
      <c r="H35" s="854">
        <f t="shared" si="8"/>
        <v>1567762.2843578181</v>
      </c>
      <c r="I35" s="854">
        <f t="shared" si="8"/>
        <v>1567762.2843578181</v>
      </c>
    </row>
    <row r="36" spans="1:15" ht="13.5" customHeight="1">
      <c r="A36" s="853" t="s">
        <v>3060</v>
      </c>
      <c r="C36" s="847">
        <f>IF(C$28&lt;=$H$4,($E$4/$H$4),0)+IF(C$28&lt;=$H$5,($E$5/$H$5),0)</f>
        <v>44189.333333333328</v>
      </c>
      <c r="D36" s="847">
        <f t="shared" ref="D36:I36" si="9">IF(D$28&lt;=$H$4,($E$4/$H$4),0)+IF(D$28&lt;=$H$5,($E$5/$H$5),0)</f>
        <v>44189.333333333328</v>
      </c>
      <c r="E36" s="847">
        <f t="shared" si="9"/>
        <v>44189.333333333328</v>
      </c>
      <c r="F36" s="847">
        <f t="shared" si="9"/>
        <v>44189.333333333328</v>
      </c>
      <c r="G36" s="847">
        <f t="shared" si="9"/>
        <v>44189.333333333328</v>
      </c>
      <c r="H36" s="847">
        <f t="shared" si="9"/>
        <v>44189.333333333328</v>
      </c>
      <c r="I36" s="847">
        <f t="shared" si="9"/>
        <v>44189.333333333328</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1731867</v>
      </c>
      <c r="D41" s="855">
        <f>C41</f>
        <v>1731867</v>
      </c>
      <c r="E41" s="855">
        <f>D41</f>
        <v>1731867</v>
      </c>
      <c r="F41" s="855">
        <v>0</v>
      </c>
      <c r="G41" s="855">
        <v>0</v>
      </c>
      <c r="H41" s="855">
        <v>0</v>
      </c>
      <c r="I41" s="855">
        <v>0</v>
      </c>
    </row>
    <row r="42" spans="1:15" ht="13.5" customHeight="1">
      <c r="A42" s="753" t="s">
        <v>3067</v>
      </c>
      <c r="C42" s="855">
        <f>C22</f>
        <v>1731867</v>
      </c>
      <c r="D42" s="855">
        <f>C42</f>
        <v>1731867</v>
      </c>
      <c r="E42" s="855">
        <f>D42</f>
        <v>1731867</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428308.22152882355</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506267.89806488156</v>
      </c>
      <c r="D50" s="1566">
        <f>'Part VII-Pro Forma'!F71-'Part VII-Pro Forma'!G71</f>
        <v>524797.29315456748</v>
      </c>
      <c r="E50" s="1566">
        <f>'Part VII-Pro Forma'!G71-'Part VII-Pro Forma'!H71</f>
        <v>544004.86373928934</v>
      </c>
      <c r="F50" s="1566">
        <f>'Part VII-Pro Forma'!H71-'Part VII-Pro Forma'!I71</f>
        <v>563915.4310287945</v>
      </c>
      <c r="G50" s="1566">
        <f>'Part VII-Pro Forma'!I71-'Part VII-Pro Forma'!J71</f>
        <v>584554.72468861938</v>
      </c>
      <c r="H50" s="1566">
        <f>'Part VII-Pro Forma'!J71-'Part VII-Pro Forma'!K71</f>
        <v>605949.41608955711</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-92267.973216161772</v>
      </c>
      <c r="D53" s="1568">
        <f>'Part VII-Pro Forma'!G54</f>
        <v>-95036.012412646625</v>
      </c>
      <c r="E53" s="1568">
        <f>'Part VII-Pro Forma'!H54</f>
        <v>-97887.092785026005</v>
      </c>
      <c r="F53" s="1568">
        <f>'Part VII-Pro Forma'!I54</f>
        <v>-100823.7055685768</v>
      </c>
      <c r="G53" s="1568">
        <f>'Part VII-Pro Forma'!J54</f>
        <v>-103848.41673563409</v>
      </c>
      <c r="H53" s="1568">
        <f>'Part VII-Pro Forma'!K54</f>
        <v>-106963.86923770311</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1567762.2843578181</v>
      </c>
      <c r="D55" s="854">
        <f t="shared" si="14"/>
        <v>1567762.2843578181</v>
      </c>
      <c r="E55" s="854">
        <f t="shared" si="14"/>
        <v>1567762.2843578181</v>
      </c>
      <c r="F55" s="854">
        <f t="shared" si="14"/>
        <v>1567762.2843578181</v>
      </c>
      <c r="G55" s="854">
        <f t="shared" si="14"/>
        <v>1567762.2843578181</v>
      </c>
      <c r="H55" s="854">
        <f t="shared" si="14"/>
        <v>1567762.2843578181</v>
      </c>
    </row>
    <row r="56" spans="1:10" ht="13.5" customHeight="1">
      <c r="A56" s="853" t="s">
        <v>3060</v>
      </c>
      <c r="C56" s="847">
        <f t="shared" ref="C56:H56" si="15">IF(C$48&lt;=$H$4,($E$4/$H$4),0)+IF(C$48&lt;=$H$5,($E$5/$H$5),0)</f>
        <v>44189.333333333328</v>
      </c>
      <c r="D56" s="847">
        <f t="shared" si="15"/>
        <v>17886</v>
      </c>
      <c r="E56" s="847">
        <f t="shared" si="15"/>
        <v>17886</v>
      </c>
      <c r="F56" s="847">
        <f t="shared" si="15"/>
        <v>17886</v>
      </c>
      <c r="G56" s="847">
        <f t="shared" si="15"/>
        <v>17886</v>
      </c>
      <c r="H56" s="847">
        <f t="shared" si="15"/>
        <v>17886</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6" t="e">
        <f>IRR(K5:K25)</f>
        <v>#VALUE!</v>
      </c>
      <c r="H66" s="4207"/>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09" t="str">
        <f>Overview!C8</f>
        <v>Somersby</v>
      </c>
      <c r="C1" s="4209"/>
      <c r="D1" s="4209"/>
      <c r="E1" s="4209"/>
      <c r="F1" s="4209"/>
      <c r="G1" s="4209"/>
      <c r="H1" s="1613"/>
    </row>
    <row r="2" spans="1:8" ht="21.95" customHeight="1">
      <c r="A2" s="2186"/>
      <c r="B2" s="2186"/>
      <c r="C2" s="2186"/>
      <c r="D2" s="2186"/>
      <c r="E2" s="2186"/>
      <c r="F2" s="2186"/>
      <c r="G2" s="2186"/>
      <c r="H2" s="2186"/>
    </row>
    <row r="3" spans="1:8" ht="20.25" customHeight="1">
      <c r="C3" s="4208" t="s">
        <v>3077</v>
      </c>
      <c r="D3" s="4208"/>
      <c r="E3" s="4208"/>
      <c r="F3" s="4208"/>
    </row>
    <row r="5" spans="1:8" ht="15.75">
      <c r="D5" s="1571"/>
      <c r="E5" s="1571" t="s">
        <v>3078</v>
      </c>
    </row>
    <row r="6" spans="1:8" ht="15.75">
      <c r="D6" s="1614" t="s">
        <v>2480</v>
      </c>
      <c r="E6" s="1614" t="s">
        <v>3079</v>
      </c>
    </row>
    <row r="7" spans="1:8" ht="15">
      <c r="D7" s="1572"/>
      <c r="E7" s="1572"/>
    </row>
    <row r="8" spans="1:8" ht="21" customHeight="1">
      <c r="D8" s="1573">
        <v>1</v>
      </c>
      <c r="E8" s="1574">
        <f>-'Part VII-Pro Forma'!B25/12</f>
        <v>88278.697028186943</v>
      </c>
    </row>
    <row r="9" spans="1:8" ht="21" customHeight="1">
      <c r="D9" s="1573">
        <v>2</v>
      </c>
      <c r="E9" s="1574">
        <f>-'Part VII-Pro Forma'!C25/12</f>
        <v>88278.697028186943</v>
      </c>
    </row>
    <row r="10" spans="1:8" ht="21" customHeight="1">
      <c r="D10" s="1573">
        <v>3</v>
      </c>
      <c r="E10" s="1574">
        <f>-'Part VII-Pro Forma'!D25/12</f>
        <v>88278.697028186943</v>
      </c>
    </row>
    <row r="11" spans="1:8" ht="21" customHeight="1">
      <c r="D11" s="1575">
        <v>4</v>
      </c>
      <c r="E11" s="1574">
        <f>-'Part VII-Pro Forma'!E25/12</f>
        <v>88278.697028186943</v>
      </c>
    </row>
    <row r="12" spans="1:8" ht="21" customHeight="1">
      <c r="D12" s="1575">
        <v>5</v>
      </c>
      <c r="E12" s="1574">
        <f>-'Part VII-Pro Forma'!F25/12</f>
        <v>88278.697028186943</v>
      </c>
    </row>
    <row r="13" spans="1:8" ht="21" customHeight="1">
      <c r="D13" s="1573">
        <v>6</v>
      </c>
      <c r="E13" s="1574">
        <f>-'Part VII-Pro Forma'!G25/12</f>
        <v>88278.697028186943</v>
      </c>
    </row>
    <row r="14" spans="1:8" ht="21" customHeight="1">
      <c r="D14" s="1573">
        <v>7</v>
      </c>
      <c r="E14" s="1574">
        <f>-'Part VII-Pro Forma'!H25/12</f>
        <v>88278.697028186943</v>
      </c>
    </row>
    <row r="15" spans="1:8" ht="21" customHeight="1">
      <c r="D15" s="1575">
        <v>8</v>
      </c>
      <c r="E15" s="1574">
        <f>-'Part VII-Pro Forma'!I25/12</f>
        <v>88278.697028186943</v>
      </c>
    </row>
    <row r="16" spans="1:8" ht="21" customHeight="1">
      <c r="D16" s="1573">
        <v>9</v>
      </c>
      <c r="E16" s="1574">
        <f>-'Part VII-Pro Forma'!J25/12</f>
        <v>88278.697028186943</v>
      </c>
    </row>
    <row r="17" spans="4:8" ht="21" customHeight="1">
      <c r="D17" s="1573">
        <v>10</v>
      </c>
      <c r="E17" s="1574">
        <f>-'Part VII-Pro Forma'!K25/12</f>
        <v>88278.697028186943</v>
      </c>
    </row>
    <row r="18" spans="4:8" ht="21" customHeight="1">
      <c r="D18" s="1575">
        <v>11</v>
      </c>
      <c r="E18" s="1574">
        <f>-'Part VII-Pro Forma'!B57/12</f>
        <v>88278.697028186943</v>
      </c>
    </row>
    <row r="19" spans="4:8" ht="21" customHeight="1">
      <c r="D19" s="1573">
        <v>12</v>
      </c>
      <c r="E19" s="1574">
        <f>-'Part VII-Pro Forma'!C57/12</f>
        <v>88278.697028186943</v>
      </c>
    </row>
    <row r="20" spans="4:8" ht="21" customHeight="1">
      <c r="D20" s="1573">
        <v>13</v>
      </c>
      <c r="E20" s="1574">
        <f>-'Part VII-Pro Forma'!D57/12</f>
        <v>88278.697028186943</v>
      </c>
    </row>
    <row r="21" spans="4:8" ht="21" customHeight="1">
      <c r="D21" s="1573">
        <v>14</v>
      </c>
      <c r="E21" s="1574">
        <f>-'Part VII-Pro Forma'!E57/12</f>
        <v>88278.697028186943</v>
      </c>
    </row>
    <row r="22" spans="4:8" ht="21" customHeight="1">
      <c r="D22" s="1573">
        <v>15</v>
      </c>
      <c r="E22" s="1574">
        <f>-'Part VII-Pro Forma'!F57/12</f>
        <v>88278.697028186943</v>
      </c>
    </row>
    <row r="23" spans="4:8" ht="21" customHeight="1">
      <c r="D23" s="1573">
        <v>16</v>
      </c>
      <c r="E23" s="1574">
        <f>-'Part VII-Pro Forma'!G57/12</f>
        <v>88278.697028186943</v>
      </c>
    </row>
    <row r="24" spans="4:8" ht="21" customHeight="1">
      <c r="D24" s="1573">
        <v>17</v>
      </c>
      <c r="E24" s="1574">
        <f>-'Part VII-Pro Forma'!H57/12</f>
        <v>88278.697028186943</v>
      </c>
      <c r="H24" s="636" t="s">
        <v>243</v>
      </c>
    </row>
    <row r="25" spans="4:8" ht="21" customHeight="1">
      <c r="D25" s="1573">
        <v>18</v>
      </c>
      <c r="E25" s="1574">
        <f>-'Part VII-Pro Forma'!I57/12</f>
        <v>88278.697028186943</v>
      </c>
    </row>
    <row r="26" spans="4:8" ht="21" customHeight="1">
      <c r="D26" s="1573">
        <v>19</v>
      </c>
      <c r="E26" s="1574">
        <f>-'Part VII-Pro Forma'!J57/12</f>
        <v>88278.697028186943</v>
      </c>
    </row>
    <row r="27" spans="4:8" ht="21" customHeight="1">
      <c r="D27" s="1573">
        <v>20</v>
      </c>
      <c r="E27" s="1574">
        <f>-'Part VII-Pro Forma'!K57/12</f>
        <v>88278.697028186943</v>
      </c>
    </row>
    <row r="28" spans="4:8" ht="21" customHeight="1">
      <c r="D28" s="1573">
        <v>21</v>
      </c>
      <c r="E28" s="1574">
        <f>-'Part VII-Pro Forma'!B89/12</f>
        <v>88278.697028186943</v>
      </c>
    </row>
    <row r="29" spans="4:8" ht="21" customHeight="1">
      <c r="D29" s="1573">
        <v>22</v>
      </c>
      <c r="E29" s="1574">
        <f>-'Part VII-Pro Forma'!C89/12</f>
        <v>88278.697028186943</v>
      </c>
    </row>
    <row r="30" spans="4:8" ht="21" customHeight="1">
      <c r="D30" s="1573">
        <v>23</v>
      </c>
      <c r="E30" s="1574">
        <f>-'Part VII-Pro Forma'!D89/12</f>
        <v>88278.697028186943</v>
      </c>
    </row>
    <row r="31" spans="4:8" ht="21" customHeight="1">
      <c r="D31" s="1573">
        <v>24</v>
      </c>
      <c r="E31" s="1574">
        <f>-'Part VII-Pro Forma'!E89/12</f>
        <v>88278.697028186943</v>
      </c>
    </row>
    <row r="32" spans="4:8" ht="21" customHeight="1">
      <c r="D32" s="1573">
        <v>25</v>
      </c>
      <c r="E32" s="1574">
        <f>-'Part VII-Pro Forma'!F89/12</f>
        <v>88278.697028186943</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0" t="s">
        <v>3080</v>
      </c>
      <c r="B1" s="4210"/>
      <c r="C1" s="4210"/>
      <c r="D1" s="4210"/>
      <c r="E1" s="4210"/>
      <c r="F1" s="4210"/>
      <c r="G1" s="4210"/>
      <c r="H1" s="4210"/>
      <c r="I1" s="4210"/>
      <c r="J1" s="4210"/>
      <c r="K1" s="4210"/>
    </row>
    <row r="2" spans="1:11" ht="15">
      <c r="A2" s="4224" t="str">
        <f>Overview!C8</f>
        <v>Somersby</v>
      </c>
      <c r="B2" s="4224"/>
      <c r="C2" s="4224"/>
      <c r="D2" s="4224"/>
      <c r="E2" s="4224"/>
      <c r="F2" s="4224"/>
      <c r="G2" s="4224"/>
      <c r="H2" s="4224"/>
      <c r="I2" s="4224"/>
      <c r="J2" s="4224"/>
      <c r="K2" s="4224"/>
    </row>
    <row r="3" spans="1:11" ht="9" customHeight="1">
      <c r="A3" s="865"/>
      <c r="B3" s="865"/>
      <c r="C3" s="865"/>
    </row>
    <row r="4" spans="1:11" ht="18">
      <c r="A4" s="866" t="s">
        <v>3552</v>
      </c>
      <c r="B4" s="865"/>
      <c r="C4" s="865"/>
      <c r="K4" s="867"/>
    </row>
    <row r="5" spans="1:11" s="822" customFormat="1" ht="42" customHeight="1">
      <c r="C5" s="4211" t="s">
        <v>4465</v>
      </c>
      <c r="D5" s="4212"/>
      <c r="E5" s="4213"/>
      <c r="F5" s="650"/>
      <c r="G5" s="4211" t="s">
        <v>4466</v>
      </c>
      <c r="H5" s="4212"/>
      <c r="I5" s="4213"/>
      <c r="J5" s="864"/>
      <c r="K5" s="4222" t="s">
        <v>4467</v>
      </c>
    </row>
    <row r="6" spans="1:11" s="869" customFormat="1" ht="15" customHeight="1">
      <c r="A6" s="868" t="s">
        <v>2714</v>
      </c>
      <c r="C6" s="870" t="s">
        <v>3535</v>
      </c>
      <c r="D6" s="870" t="s">
        <v>4468</v>
      </c>
      <c r="E6" s="870" t="s">
        <v>1990</v>
      </c>
      <c r="G6" s="870" t="s">
        <v>3536</v>
      </c>
      <c r="H6" s="870" t="s">
        <v>4469</v>
      </c>
      <c r="I6" s="870" t="s">
        <v>1990</v>
      </c>
      <c r="K6" s="4223"/>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64</v>
      </c>
      <c r="E8" s="874">
        <f>C8*D8</f>
        <v>0</v>
      </c>
      <c r="G8" s="872"/>
      <c r="H8" s="873">
        <f>'Part VI-Revenues &amp; Expenses'!$K$67</f>
        <v>64</v>
      </c>
      <c r="I8" s="874">
        <f>G8*H8</f>
        <v>0</v>
      </c>
      <c r="K8" s="871" t="s">
        <v>3537</v>
      </c>
    </row>
    <row r="9" spans="1:11" s="650" customFormat="1" ht="13.5" customHeight="1">
      <c r="A9" s="650" t="s">
        <v>2713</v>
      </c>
      <c r="C9" s="872"/>
      <c r="D9" s="1576">
        <f>'Part VI-Revenues &amp; Expenses'!$L$63</f>
        <v>120</v>
      </c>
      <c r="E9" s="874">
        <f>C9*D9</f>
        <v>0</v>
      </c>
      <c r="G9" s="872"/>
      <c r="H9" s="873">
        <f>'Part VI-Revenues &amp; Expenses'!$L$67</f>
        <v>120</v>
      </c>
      <c r="I9" s="874">
        <f>G9*H9</f>
        <v>0</v>
      </c>
      <c r="K9" s="1583">
        <f>'Part IV-A-Uses of Funds'!$G$132</f>
        <v>49998466.819839999</v>
      </c>
    </row>
    <row r="10" spans="1:11" s="650" customFormat="1" ht="13.5" customHeight="1">
      <c r="A10" s="650" t="s">
        <v>2716</v>
      </c>
      <c r="C10" s="872"/>
      <c r="D10" s="1576">
        <f>'Part VI-Revenues &amp; Expenses'!$M$63</f>
        <v>60</v>
      </c>
      <c r="E10" s="874">
        <f>C10*D10</f>
        <v>0</v>
      </c>
      <c r="G10" s="872"/>
      <c r="H10" s="873">
        <f>'Part VI-Revenues &amp; Expenses'!$M$67</f>
        <v>60</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4" t="s">
        <v>3542</v>
      </c>
    </row>
    <row r="12" spans="1:11" ht="13.5" customHeight="1" thickBot="1">
      <c r="A12" s="880" t="s">
        <v>3504</v>
      </c>
      <c r="D12" s="911">
        <f>SUM(D7:D11)</f>
        <v>244</v>
      </c>
      <c r="E12" s="881"/>
      <c r="G12" s="880" t="s">
        <v>1793</v>
      </c>
      <c r="H12" s="1582">
        <f>SUM(H7:H11)</f>
        <v>244</v>
      </c>
      <c r="I12" s="881"/>
      <c r="K12" s="4215"/>
    </row>
    <row r="13" spans="1:11" s="650" customFormat="1" ht="13.5" customHeight="1" thickBot="1">
      <c r="A13" s="880" t="s">
        <v>3082</v>
      </c>
      <c r="B13" s="882"/>
      <c r="E13" s="883">
        <f>SUM(E7:E11)</f>
        <v>0</v>
      </c>
      <c r="G13" s="880" t="s">
        <v>3317</v>
      </c>
      <c r="H13" s="882"/>
      <c r="I13" s="884">
        <f>SUM(I7:I11)</f>
        <v>0</v>
      </c>
      <c r="K13" s="1583">
        <f>'Part VIII-Threshold Criteria'!$P$63</f>
        <v>51930500</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4253</v>
      </c>
      <c r="F18" s="1585"/>
      <c r="G18" s="1585"/>
      <c r="H18" s="1585"/>
      <c r="I18" s="1585"/>
      <c r="K18" s="1560">
        <f>Overview!$E$13</f>
        <v>244</v>
      </c>
    </row>
    <row r="19" spans="1:11" s="650" customFormat="1" ht="13.5" customHeight="1">
      <c r="A19" s="650" t="s">
        <v>3083</v>
      </c>
      <c r="E19" s="1579"/>
      <c r="K19" s="739">
        <f>Overview!$C$13</f>
        <v>244</v>
      </c>
    </row>
    <row r="20" spans="1:11" ht="3" customHeight="1">
      <c r="A20" s="886"/>
      <c r="E20" s="1580"/>
    </row>
    <row r="21" spans="1:11" s="650" customFormat="1" ht="13.5" customHeight="1">
      <c r="A21" s="650" t="s">
        <v>3084</v>
      </c>
      <c r="E21" s="1578" t="s">
        <v>3540</v>
      </c>
      <c r="K21" s="887">
        <f>K18/K19</f>
        <v>1</v>
      </c>
    </row>
    <row r="22" spans="1:11" ht="6.75" customHeight="1">
      <c r="E22" s="1580"/>
    </row>
    <row r="23" spans="1:11" s="650" customFormat="1" ht="13.5" customHeight="1">
      <c r="A23" s="650" t="s">
        <v>3503</v>
      </c>
      <c r="C23" s="888"/>
      <c r="E23" s="1578" t="s">
        <v>3087</v>
      </c>
      <c r="K23" s="739">
        <f>K9</f>
        <v>49998466.819839999</v>
      </c>
    </row>
    <row r="24" spans="1:11" s="650" customFormat="1" ht="13.5" customHeight="1">
      <c r="A24" s="889" t="s">
        <v>1760</v>
      </c>
      <c r="E24" s="1579"/>
      <c r="K24" s="875">
        <f>'Part IV-A-Uses of Funds'!$G$122</f>
        <v>1152258</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48846208.819839999</v>
      </c>
    </row>
    <row r="29" spans="1:11" ht="6.75" customHeight="1">
      <c r="A29" s="886"/>
      <c r="E29" s="1580"/>
      <c r="K29" s="894"/>
    </row>
    <row r="30" spans="1:11" s="650" customFormat="1" ht="15" customHeight="1">
      <c r="A30" s="882" t="s">
        <v>3090</v>
      </c>
      <c r="E30" s="1578" t="s">
        <v>3547</v>
      </c>
      <c r="F30" s="895"/>
      <c r="G30" s="895"/>
      <c r="H30" s="895"/>
      <c r="I30" s="895"/>
      <c r="K30" s="896">
        <f>K21*K28</f>
        <v>48846208.819839999</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21063604.093558483</v>
      </c>
    </row>
    <row r="37" spans="1:11" s="650" customFormat="1" ht="9" customHeight="1" thickBot="1">
      <c r="E37" s="901"/>
      <c r="F37" s="901"/>
      <c r="G37" s="901"/>
      <c r="H37" s="901"/>
      <c r="K37" s="902"/>
    </row>
    <row r="38" spans="1:11" s="650" customFormat="1" ht="15.75" customHeight="1">
      <c r="A38" s="4216" t="s">
        <v>3545</v>
      </c>
      <c r="B38" s="4216"/>
      <c r="C38" s="4216"/>
      <c r="D38" s="4217" t="s">
        <v>3085</v>
      </c>
      <c r="E38" s="4217"/>
      <c r="F38" s="4217" t="s">
        <v>3086</v>
      </c>
      <c r="G38" s="4217"/>
      <c r="H38" s="4217"/>
      <c r="I38" s="2187" t="s">
        <v>2830</v>
      </c>
      <c r="K38" s="4218">
        <f>ROUND((D39/F39)*I39,0)</f>
        <v>105</v>
      </c>
    </row>
    <row r="39" spans="1:11" s="650" customFormat="1" ht="15.75" customHeight="1" thickBot="1">
      <c r="A39" s="4216"/>
      <c r="B39" s="4216"/>
      <c r="C39" s="4216"/>
      <c r="D39" s="4220">
        <f>K36</f>
        <v>21063604.093558483</v>
      </c>
      <c r="E39" s="4220"/>
      <c r="F39" s="4221">
        <f>K28</f>
        <v>48846208.819839999</v>
      </c>
      <c r="G39" s="4221"/>
      <c r="H39" s="4221"/>
      <c r="I39" s="903">
        <f>K19</f>
        <v>244</v>
      </c>
      <c r="K39" s="4219"/>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5" t="str">
        <f>CONCATENATE(Overview!E8,"  ",Overview!C8)</f>
        <v>2019-5  Somersby</v>
      </c>
      <c r="B1" s="4225"/>
      <c r="C1" s="4225"/>
      <c r="D1" s="4225"/>
      <c r="E1" s="4225"/>
      <c r="F1" s="4225"/>
      <c r="G1" s="4225"/>
      <c r="H1" s="4225"/>
    </row>
    <row r="3" spans="1:13" ht="12" customHeight="1">
      <c r="A3" s="4226" t="s">
        <v>3506</v>
      </c>
      <c r="B3" s="4226"/>
      <c r="C3" s="4226"/>
      <c r="D3" s="4226"/>
      <c r="E3" s="4226"/>
      <c r="F3" s="4226"/>
      <c r="G3" s="4226"/>
      <c r="H3" s="4226"/>
      <c r="I3" s="2191"/>
      <c r="J3" s="4228" t="s">
        <v>4254</v>
      </c>
      <c r="K3" s="4228"/>
      <c r="L3" s="937"/>
      <c r="M3" s="937"/>
    </row>
    <row r="4" spans="1:13">
      <c r="J4" s="4228"/>
      <c r="K4" s="4228"/>
    </row>
    <row r="5" spans="1:13" ht="12" customHeight="1">
      <c r="A5" s="864">
        <v>1</v>
      </c>
      <c r="C5" s="864" t="s">
        <v>3092</v>
      </c>
      <c r="E5" s="919" t="str">
        <f>Overview!H9</f>
        <v>Somersby Family I, LP</v>
      </c>
      <c r="J5" s="4228"/>
      <c r="K5" s="4228"/>
    </row>
    <row r="6" spans="1:13" ht="3" customHeight="1">
      <c r="H6" s="881"/>
      <c r="J6" s="4228"/>
      <c r="K6" s="4228"/>
    </row>
    <row r="7" spans="1:13" ht="12" customHeight="1">
      <c r="A7" s="864">
        <v>2</v>
      </c>
      <c r="C7" s="864" t="s">
        <v>3093</v>
      </c>
      <c r="E7" s="919" t="str">
        <f>'Part II-Development Team'!H6</f>
        <v>3715 Northside Pkwy Bldg 200 Ste 175</v>
      </c>
      <c r="J7" s="4228"/>
      <c r="K7" s="4228"/>
    </row>
    <row r="8" spans="1:13" ht="12" customHeight="1">
      <c r="E8" s="919" t="str">
        <f>+'Part II-Development Team'!H7&amp;","&amp;" "&amp;'Part II-Development Team'!H8&amp;" "&amp;LEFT('Part II-Development Team'!J8,5)</f>
        <v>Atlanta, GA 30327</v>
      </c>
      <c r="J8" s="4228"/>
      <c r="K8" s="4228"/>
    </row>
    <row r="9" spans="1:13" ht="12" customHeight="1">
      <c r="C9" s="864" t="s">
        <v>3094</v>
      </c>
      <c r="E9" s="4227" t="str">
        <f>'Part II-Development Team'!L7</f>
        <v>85-3897847</v>
      </c>
      <c r="F9" s="4227"/>
      <c r="J9" s="4228"/>
      <c r="K9" s="4228"/>
    </row>
    <row r="10" spans="1:13" ht="12" customHeight="1">
      <c r="C10" s="864" t="s">
        <v>3095</v>
      </c>
      <c r="E10" s="919" t="str">
        <f>'Part II-Development Team'!Q5</f>
        <v>Wiley A. Tucker, III</v>
      </c>
    </row>
    <row r="11" spans="1:13" ht="12" customHeight="1">
      <c r="C11" s="864" t="s">
        <v>4259</v>
      </c>
      <c r="E11" s="919" t="str">
        <f>'Part II-Development Team'!L9</f>
        <v>jody@prestwickcompanies.com</v>
      </c>
    </row>
    <row r="12" spans="1:13" ht="12" customHeight="1">
      <c r="C12" s="864" t="s">
        <v>4255</v>
      </c>
      <c r="E12" s="2192">
        <f>'Part II-Development Team'!H9</f>
        <v>4049493871</v>
      </c>
    </row>
    <row r="13" spans="1:13" ht="12" customHeight="1">
      <c r="C13" s="864" t="s">
        <v>4258</v>
      </c>
      <c r="E13" s="2192">
        <f>'Part II-Development Team'!Q7</f>
        <v>4049493871</v>
      </c>
    </row>
    <row r="14" spans="1:13" ht="3" customHeight="1"/>
    <row r="15" spans="1:13" ht="12" customHeight="1">
      <c r="A15" s="864">
        <v>3</v>
      </c>
      <c r="C15" s="864" t="s">
        <v>3096</v>
      </c>
      <c r="E15" s="919" t="str">
        <f>Overview!C8</f>
        <v>Somersby</v>
      </c>
    </row>
    <row r="16" spans="1:13" ht="12" customHeight="1">
      <c r="C16" s="864" t="s">
        <v>3097</v>
      </c>
      <c r="E16" s="919" t="str">
        <f>'Part I-Project Information'!$F$35</f>
        <v>5391 W. Fayetteville Road</v>
      </c>
    </row>
    <row r="17" spans="1:8" ht="12" customHeight="1">
      <c r="E17" s="919" t="str">
        <f>+'Part I-Project Information'!$F$38&amp;","&amp;" GA "&amp;LEFT('Part I-Project Information'!$J$38,5)</f>
        <v>College Park, GA 30349</v>
      </c>
    </row>
    <row r="18" spans="1:8" ht="3" customHeight="1"/>
    <row r="19" spans="1:8" ht="12" customHeight="1">
      <c r="A19" s="864">
        <v>4</v>
      </c>
      <c r="C19" s="864" t="s">
        <v>3098</v>
      </c>
      <c r="E19" s="919" t="str">
        <f>'Part II-Development Team'!H92</f>
        <v>Elmington Property Management</v>
      </c>
    </row>
    <row r="20" spans="1:8" ht="12" customHeight="1">
      <c r="C20" s="864" t="s">
        <v>3099</v>
      </c>
      <c r="E20" s="919" t="str">
        <f>'Part II-Development Team'!H93</f>
        <v>118 16th Ave S #200</v>
      </c>
    </row>
    <row r="21" spans="1:8" ht="12" customHeight="1">
      <c r="E21" s="919" t="str">
        <f>+'Part II-Development Team'!H94&amp;","&amp;" "&amp;'Part II-Development Team'!H95&amp;" "&amp;LEFT('Part II-Development Team'!L95,5)</f>
        <v>Nashville, TN 37203</v>
      </c>
    </row>
    <row r="22" spans="1:8" ht="12" customHeight="1">
      <c r="C22" s="864" t="s">
        <v>4255</v>
      </c>
      <c r="E22" s="2192">
        <f>'Part II-Development Team'!H96</f>
        <v>6154906700</v>
      </c>
    </row>
    <row r="23" spans="1:8" ht="12" customHeight="1">
      <c r="C23" s="864" t="s">
        <v>4258</v>
      </c>
      <c r="E23" s="2192">
        <f>'Part II-Development Team'!Q94</f>
        <v>6154906721</v>
      </c>
    </row>
    <row r="24" spans="1:8" ht="12" customHeight="1">
      <c r="C24" s="864" t="s">
        <v>4259</v>
      </c>
      <c r="E24" s="2192" t="str">
        <f>'Part II-Development Team'!L96</f>
        <v>bcather@elmingtonpm.com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3101</v>
      </c>
      <c r="E30" s="864" t="s">
        <v>2409</v>
      </c>
      <c r="F30" s="2193">
        <f>'Part III-Sources of Funds'!L20</f>
        <v>35778595</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216</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Somersby Family I GP, LLC</v>
      </c>
    </row>
    <row r="48" spans="1:7" ht="3" customHeight="1">
      <c r="E48" s="919"/>
    </row>
    <row r="49" spans="1:7" ht="12" customHeight="1">
      <c r="A49" s="864">
        <v>15</v>
      </c>
      <c r="C49" s="864" t="s">
        <v>4261</v>
      </c>
      <c r="E49" s="919" t="str">
        <f>'Part II-Development Team'!Q98</f>
        <v>Jeff Adams</v>
      </c>
      <c r="G49" s="919" t="str">
        <f>'Part II-Development Team'!H98</f>
        <v>Arnall Golden Gregory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244</v>
      </c>
    </row>
    <row r="53" spans="1:7" ht="3" customHeight="1">
      <c r="F53" s="909"/>
    </row>
    <row r="54" spans="1:7" ht="12" customHeight="1">
      <c r="A54" s="937">
        <v>17</v>
      </c>
      <c r="B54" s="937"/>
      <c r="C54" s="937" t="s">
        <v>3118</v>
      </c>
      <c r="D54" s="937"/>
      <c r="E54" s="937"/>
      <c r="F54" s="2199">
        <f>'HOME Allocation Limit WS'!K18</f>
        <v>244</v>
      </c>
      <c r="G54" s="937"/>
    </row>
    <row r="55" spans="1:7" ht="3" customHeight="1">
      <c r="F55" s="909"/>
    </row>
    <row r="56" spans="1:7" ht="12" customHeight="1">
      <c r="A56" s="864">
        <v>18</v>
      </c>
      <c r="C56" s="864" t="s">
        <v>3119</v>
      </c>
      <c r="F56" s="2199">
        <f>'Part VI-Revenues &amp; Expenses'!O66</f>
        <v>0</v>
      </c>
      <c r="G56" s="864" t="s">
        <v>4260</v>
      </c>
    </row>
    <row r="57" spans="1:7" ht="3" customHeight="1">
      <c r="F57" s="909"/>
    </row>
    <row r="58" spans="1:7" ht="12" customHeight="1">
      <c r="A58" s="864">
        <v>19</v>
      </c>
      <c r="C58" s="864" t="s">
        <v>3120</v>
      </c>
      <c r="F58" s="2200"/>
      <c r="G58" s="864" t="s">
        <v>3507</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3522</v>
      </c>
      <c r="E62" s="2202" t="s">
        <v>3508</v>
      </c>
      <c r="F62" s="2203" t="s">
        <v>3509</v>
      </c>
      <c r="G62" s="2202" t="s">
        <v>3122</v>
      </c>
    </row>
    <row r="63" spans="1:7" ht="12" customHeight="1">
      <c r="E63" s="2202" t="s">
        <v>3508</v>
      </c>
      <c r="F63" s="2203" t="s">
        <v>3509</v>
      </c>
      <c r="G63" s="2202"/>
    </row>
    <row r="64" spans="1:7" ht="3" customHeight="1"/>
    <row r="65" spans="1:7" ht="12" customHeight="1">
      <c r="A65" s="864">
        <v>22</v>
      </c>
      <c r="C65" s="864" t="s">
        <v>3123</v>
      </c>
      <c r="E65" s="919" t="str">
        <f>Overview!H9</f>
        <v>Somersby Family I,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1152258</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311293</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43" t="s">
        <v>3319</v>
      </c>
      <c r="B1" s="4243"/>
      <c r="C1" s="4243"/>
      <c r="D1" s="4243"/>
      <c r="E1" s="4243"/>
      <c r="F1" s="4243"/>
      <c r="G1" s="4243"/>
      <c r="H1" s="4243"/>
      <c r="I1" s="4243"/>
      <c r="J1" s="4243"/>
    </row>
    <row r="2" spans="1:13" ht="15">
      <c r="A2" s="4243" t="str">
        <f>Overview!E8&amp;"  "&amp;Overview!C8</f>
        <v>2019-5  Somersby</v>
      </c>
      <c r="B2" s="4243"/>
      <c r="C2" s="4243"/>
      <c r="D2" s="4243"/>
      <c r="E2" s="4243"/>
      <c r="F2" s="4243"/>
      <c r="G2" s="4243"/>
      <c r="H2" s="4243"/>
      <c r="I2" s="4243"/>
      <c r="J2" s="4243"/>
    </row>
    <row r="3" spans="1:13" ht="6" customHeight="1">
      <c r="K3" s="4228" t="s">
        <v>4254</v>
      </c>
      <c r="L3" s="4228"/>
      <c r="M3" s="4228"/>
    </row>
    <row r="4" spans="1:13" ht="12" customHeight="1">
      <c r="A4" s="905" t="s">
        <v>3131</v>
      </c>
      <c r="K4" s="4228"/>
      <c r="L4" s="4228"/>
      <c r="M4" s="4228"/>
    </row>
    <row r="5" spans="1:13" ht="12" customHeight="1">
      <c r="A5" s="864" t="s">
        <v>3132</v>
      </c>
      <c r="C5" s="906" t="str">
        <f>'Subsidy Layering Memo'!D6</f>
        <v>(Underwriter)</v>
      </c>
      <c r="I5" s="906"/>
      <c r="K5" s="4228"/>
      <c r="L5" s="4228"/>
      <c r="M5" s="4228"/>
    </row>
    <row r="6" spans="1:13" ht="6" customHeight="1">
      <c r="C6" s="801"/>
      <c r="D6" s="906"/>
      <c r="I6" s="906"/>
      <c r="K6" s="4228"/>
      <c r="L6" s="4228"/>
      <c r="M6" s="4228"/>
    </row>
    <row r="7" spans="1:13" ht="12" customHeight="1">
      <c r="A7" s="905" t="s">
        <v>3133</v>
      </c>
      <c r="C7" s="801"/>
      <c r="D7" s="906"/>
      <c r="I7" s="906"/>
      <c r="K7" s="4228"/>
      <c r="L7" s="4228"/>
      <c r="M7" s="4228"/>
    </row>
    <row r="8" spans="1:13" ht="12" customHeight="1">
      <c r="A8" s="864" t="s">
        <v>3134</v>
      </c>
      <c r="C8" s="906" t="str">
        <f>Overview!$H$9</f>
        <v>Somersby Family I, LP</v>
      </c>
      <c r="I8" s="906"/>
      <c r="K8" s="4228"/>
      <c r="L8" s="4228"/>
      <c r="M8" s="4228"/>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6"/>
      <c r="E13" s="4236"/>
      <c r="F13" s="4236"/>
      <c r="G13" s="4236"/>
      <c r="H13" s="4236"/>
      <c r="I13" s="4236"/>
      <c r="J13" s="4236"/>
    </row>
    <row r="14" spans="1:13" ht="3" customHeight="1">
      <c r="G14" s="801"/>
      <c r="H14" s="906"/>
      <c r="I14" s="906"/>
    </row>
    <row r="15" spans="1:13" ht="12" customHeight="1">
      <c r="A15" s="864" t="s">
        <v>3137</v>
      </c>
      <c r="C15" s="908" t="str">
        <f>'Preview term'!E10</f>
        <v>Wiley A. Tucker, III</v>
      </c>
      <c r="G15" s="801"/>
      <c r="I15" s="906"/>
    </row>
    <row r="16" spans="1:13" ht="12" customHeight="1">
      <c r="A16" s="919" t="s">
        <v>4470</v>
      </c>
      <c r="C16" s="908" t="str">
        <f>'Part II-Development Team'!Q6</f>
        <v>Manager</v>
      </c>
      <c r="G16" s="801"/>
      <c r="I16" s="906"/>
    </row>
    <row r="17" spans="1:9" ht="3" customHeight="1">
      <c r="G17" s="801"/>
      <c r="H17" s="906"/>
      <c r="I17" s="906"/>
    </row>
    <row r="18" spans="1:9" ht="12" customHeight="1">
      <c r="A18" s="864" t="s">
        <v>3138</v>
      </c>
      <c r="C18" s="908" t="str">
        <f>'Preview term'!$E$7</f>
        <v>3715 Northside Pkwy Bldg 200 Ste 175</v>
      </c>
      <c r="G18" s="801"/>
      <c r="I18" s="906"/>
    </row>
    <row r="19" spans="1:9" ht="12" customHeight="1">
      <c r="C19" s="908" t="str">
        <f>'Preview term'!$E$8</f>
        <v>Atlanta, GA 30327</v>
      </c>
      <c r="G19" s="801"/>
      <c r="I19" s="906"/>
    </row>
    <row r="20" spans="1:9" ht="3" customHeight="1">
      <c r="G20" s="801"/>
      <c r="H20" s="906"/>
      <c r="I20" s="906"/>
    </row>
    <row r="21" spans="1:9" ht="12" customHeight="1">
      <c r="A21" s="864" t="s">
        <v>3139</v>
      </c>
      <c r="C21" s="908" t="str">
        <f>CONCATENATE('Preview term'!E49," of  ",'Preview term'!G49)</f>
        <v>Jeff Adams of  Arnall Golden Gregory</v>
      </c>
      <c r="G21" s="801"/>
      <c r="I21" s="906"/>
    </row>
    <row r="22" spans="1:9" ht="3" customHeight="1">
      <c r="C22" s="908"/>
      <c r="G22" s="801"/>
      <c r="I22" s="906"/>
    </row>
    <row r="23" spans="1:9" ht="12" customHeight="1">
      <c r="A23" s="864" t="s">
        <v>3140</v>
      </c>
      <c r="C23" s="908">
        <f>'Preview term'!E12</f>
        <v>4049493871</v>
      </c>
      <c r="G23" s="801"/>
      <c r="I23" s="906"/>
    </row>
    <row r="24" spans="1:9" ht="3" customHeight="1">
      <c r="C24" s="908"/>
      <c r="G24" s="801"/>
      <c r="I24" s="906"/>
    </row>
    <row r="25" spans="1:9" ht="12" customHeight="1">
      <c r="A25" s="864" t="s">
        <v>3141</v>
      </c>
      <c r="C25" s="1590" t="str">
        <f>'Preview term'!E11</f>
        <v>jody@prestwickcompanies.com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Somersby</v>
      </c>
      <c r="I28" s="906"/>
    </row>
    <row r="29" spans="1:9" ht="3" customHeight="1">
      <c r="C29" s="908"/>
      <c r="I29" s="906"/>
    </row>
    <row r="30" spans="1:9" ht="12" customHeight="1">
      <c r="A30" s="864" t="s">
        <v>3144</v>
      </c>
      <c r="C30" s="908" t="str">
        <f>'Preview term'!E16</f>
        <v>5391 W. Fayetteville Road</v>
      </c>
      <c r="I30" s="906"/>
    </row>
    <row r="31" spans="1:9">
      <c r="C31" s="906" t="str">
        <f>'Preview term'!E17</f>
        <v>College Park, GA 30349</v>
      </c>
      <c r="I31" s="906"/>
    </row>
    <row r="32" spans="1:9" ht="3" customHeight="1">
      <c r="C32" s="801"/>
      <c r="D32" s="801"/>
      <c r="I32" s="801"/>
    </row>
    <row r="33" spans="1:10" ht="12" customHeight="1">
      <c r="A33" s="864" t="s">
        <v>3145</v>
      </c>
      <c r="C33" s="801" t="s">
        <v>3146</v>
      </c>
      <c r="D33" s="1589">
        <f>'Preview term'!F54</f>
        <v>244</v>
      </c>
      <c r="I33" s="801"/>
    </row>
    <row r="34" spans="1:10" ht="12" customHeight="1">
      <c r="C34" s="801" t="s">
        <v>3147</v>
      </c>
      <c r="D34" s="910">
        <f>'HOME Allocation Limit WS'!H12-'HOME Allocation Limit WS'!D12</f>
        <v>0</v>
      </c>
      <c r="I34" s="801"/>
    </row>
    <row r="35" spans="1:10" ht="12" customHeight="1">
      <c r="C35" s="801" t="s">
        <v>3148</v>
      </c>
      <c r="D35" s="911">
        <f>SUM(D33:D34)</f>
        <v>244</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4"/>
      <c r="D39" s="4244"/>
      <c r="E39" s="4244"/>
      <c r="F39" s="4244"/>
      <c r="G39" s="4244"/>
      <c r="H39" s="4244"/>
      <c r="I39" s="4244"/>
      <c r="J39" s="4244"/>
    </row>
    <row r="40" spans="1:10" ht="3" customHeight="1">
      <c r="G40" s="801"/>
      <c r="H40" s="801"/>
      <c r="I40" s="801"/>
    </row>
    <row r="41" spans="1:10" ht="25.5" customHeight="1">
      <c r="A41" s="913" t="s">
        <v>3152</v>
      </c>
      <c r="C41" s="4245" t="s">
        <v>3510</v>
      </c>
      <c r="D41" s="4245"/>
      <c r="E41" s="4245"/>
      <c r="F41" s="4245"/>
      <c r="G41" s="4245"/>
      <c r="H41" s="4245"/>
      <c r="I41" s="4245"/>
      <c r="J41" s="4245"/>
    </row>
    <row r="42" spans="1:10" ht="3" customHeight="1">
      <c r="C42" s="648"/>
      <c r="D42" s="648"/>
      <c r="E42" s="648"/>
      <c r="F42" s="648"/>
      <c r="G42" s="648"/>
      <c r="H42" s="649"/>
      <c r="I42" s="650"/>
      <c r="J42" s="649"/>
    </row>
    <row r="43" spans="1:10" ht="12" customHeight="1">
      <c r="A43" s="864" t="s">
        <v>3153</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5" t="s">
        <v>575</v>
      </c>
      <c r="D49" s="4245"/>
      <c r="E49" s="4245"/>
      <c r="F49" s="4245"/>
      <c r="G49" s="4245"/>
      <c r="H49" s="4245"/>
      <c r="I49" s="4245"/>
      <c r="J49" s="4245"/>
    </row>
    <row r="50" spans="1:10" ht="12" customHeight="1">
      <c r="C50" s="4240" t="s">
        <v>1808</v>
      </c>
      <c r="D50" s="4240"/>
      <c r="E50" s="4240"/>
      <c r="F50" s="4240"/>
      <c r="G50" s="4240"/>
      <c r="H50" s="4240"/>
      <c r="I50" s="4240"/>
      <c r="J50" s="4240"/>
    </row>
    <row r="51" spans="1:10" ht="3" customHeight="1">
      <c r="D51" s="916"/>
      <c r="E51" s="916"/>
      <c r="F51" s="916"/>
      <c r="G51" s="917"/>
      <c r="H51" s="801"/>
      <c r="I51" s="916"/>
      <c r="J51" s="916"/>
    </row>
    <row r="52" spans="1:10" ht="12" customHeight="1">
      <c r="A52" s="913" t="s">
        <v>3157</v>
      </c>
      <c r="B52" s="913"/>
      <c r="C52" s="918" t="s">
        <v>3158</v>
      </c>
      <c r="D52" s="918" t="s">
        <v>3511</v>
      </c>
      <c r="E52" s="4241"/>
      <c r="F52" s="4241"/>
      <c r="G52" s="4241"/>
      <c r="H52" s="4241"/>
      <c r="I52" s="4241"/>
      <c r="J52" s="4241"/>
    </row>
    <row r="53" spans="1:10" ht="12" customHeight="1">
      <c r="A53" s="913"/>
      <c r="B53" s="913"/>
      <c r="C53" s="913"/>
      <c r="D53" s="918" t="s">
        <v>3512</v>
      </c>
      <c r="E53" s="4242"/>
      <c r="F53" s="4242"/>
      <c r="G53" s="4242"/>
      <c r="H53" s="4242"/>
      <c r="I53" s="4242"/>
      <c r="J53" s="4242"/>
    </row>
    <row r="54" spans="1:10" ht="12" customHeight="1">
      <c r="A54" s="905" t="s">
        <v>3159</v>
      </c>
      <c r="G54" s="801"/>
      <c r="H54" s="801"/>
      <c r="I54" s="801"/>
    </row>
    <row r="55" spans="1:10" ht="18" customHeight="1">
      <c r="A55" s="864" t="s">
        <v>3160</v>
      </c>
      <c r="C55" s="907" t="str">
        <f>Overview!C10</f>
        <v>Somersby Family I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35778595</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6"/>
      <c r="E68" s="4236"/>
      <c r="F68" s="4236"/>
      <c r="G68" s="4236"/>
      <c r="H68" s="4236"/>
      <c r="I68" s="4236"/>
      <c r="J68" s="4236"/>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2409</v>
      </c>
      <c r="D79" s="925">
        <f>'Preview term'!F39</f>
        <v>216</v>
      </c>
      <c r="E79" s="801" t="s">
        <v>3515</v>
      </c>
      <c r="I79" s="801"/>
    </row>
    <row r="80" spans="1:10" ht="3" customHeight="1">
      <c r="D80" s="919"/>
      <c r="G80" s="801"/>
      <c r="H80" s="801"/>
      <c r="I80" s="801"/>
    </row>
    <row r="81" spans="1:9" ht="12" customHeight="1">
      <c r="A81" s="864" t="s">
        <v>3177</v>
      </c>
      <c r="D81" s="1593">
        <v>0</v>
      </c>
      <c r="E81" s="926">
        <f>D81*12</f>
        <v>0</v>
      </c>
      <c r="F81" s="801" t="s">
        <v>3562</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12264279.034853749</v>
      </c>
      <c r="D85" s="928" t="s">
        <v>3513</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OZK</v>
      </c>
      <c r="I92" s="801"/>
    </row>
    <row r="93" spans="1:9" ht="12" customHeight="1">
      <c r="C93" s="933"/>
      <c r="D93" s="801"/>
      <c r="E93" s="919" t="s">
        <v>1797</v>
      </c>
      <c r="F93" s="4231"/>
      <c r="G93" s="4231"/>
      <c r="H93" s="4231"/>
      <c r="I93" s="801"/>
    </row>
    <row r="94" spans="1:9" ht="12" customHeight="1">
      <c r="C94" s="919"/>
      <c r="D94" s="801"/>
      <c r="E94" s="919" t="s">
        <v>1982</v>
      </c>
      <c r="F94" s="4232"/>
      <c r="G94" s="4232"/>
      <c r="H94" s="4232"/>
      <c r="I94" s="801"/>
    </row>
    <row r="95" spans="1:9" ht="12" customHeight="1">
      <c r="C95" s="919"/>
      <c r="D95" s="801"/>
      <c r="E95" s="919" t="s">
        <v>1800</v>
      </c>
      <c r="F95" s="4233"/>
      <c r="G95" s="4233"/>
      <c r="H95" s="4233"/>
      <c r="I95" s="801"/>
    </row>
    <row r="96" spans="1:9" ht="12" customHeight="1">
      <c r="B96" s="909"/>
      <c r="C96" s="922" t="s">
        <v>3331</v>
      </c>
      <c r="D96" s="801" t="s">
        <v>3186</v>
      </c>
      <c r="E96" s="919" t="str">
        <f>'Part III-Sources of Funds'!E38</f>
        <v>Bellwether Enterprise Freddie TEL</v>
      </c>
      <c r="I96" s="801"/>
    </row>
    <row r="97" spans="1:10" ht="12" customHeight="1">
      <c r="C97" s="919"/>
      <c r="D97" s="801"/>
      <c r="E97" s="919" t="s">
        <v>1797</v>
      </c>
      <c r="F97" s="4231"/>
      <c r="G97" s="4231"/>
      <c r="H97" s="4231"/>
      <c r="I97" s="801"/>
    </row>
    <row r="98" spans="1:10" ht="12" customHeight="1">
      <c r="C98" s="919"/>
      <c r="D98" s="801"/>
      <c r="E98" s="919" t="s">
        <v>1982</v>
      </c>
      <c r="F98" s="4232"/>
      <c r="G98" s="4232"/>
      <c r="H98" s="4232"/>
      <c r="I98" s="801"/>
    </row>
    <row r="99" spans="1:10" ht="12" customHeight="1">
      <c r="C99" s="919"/>
      <c r="D99" s="801"/>
      <c r="E99" s="919" t="s">
        <v>1800</v>
      </c>
      <c r="F99" s="4233"/>
      <c r="G99" s="4233"/>
      <c r="H99" s="4233"/>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4"/>
      <c r="E106" s="4234"/>
      <c r="F106" s="4234"/>
      <c r="G106" s="4234"/>
      <c r="H106" s="4234"/>
      <c r="I106" s="4234"/>
      <c r="J106" s="4235"/>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4263</v>
      </c>
      <c r="I113" s="801"/>
    </row>
    <row r="114" spans="1:10" ht="12" customHeight="1">
      <c r="C114" s="907" t="s">
        <v>4262</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38" t="s">
        <v>4264</v>
      </c>
      <c r="F119" s="4238"/>
      <c r="G119" s="4238"/>
      <c r="H119" s="4238"/>
      <c r="I119" s="4238"/>
      <c r="J119" s="4238"/>
    </row>
    <row r="120" spans="1:10" ht="12" customHeight="1">
      <c r="C120" s="801" t="s">
        <v>3197</v>
      </c>
      <c r="D120" s="1598"/>
      <c r="E120" s="4238"/>
      <c r="F120" s="4238"/>
      <c r="G120" s="4238"/>
      <c r="H120" s="4238"/>
      <c r="I120" s="4238"/>
      <c r="J120" s="4238"/>
    </row>
    <row r="121" spans="1:10" ht="12" customHeight="1">
      <c r="C121" s="801" t="s">
        <v>3198</v>
      </c>
      <c r="D121" s="1598"/>
      <c r="E121" s="4238"/>
      <c r="F121" s="4238"/>
      <c r="G121" s="4238"/>
      <c r="H121" s="4238"/>
      <c r="I121" s="4238"/>
      <c r="J121" s="4238"/>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Prestwick Development Company,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963486.5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Elmington Property Management</v>
      </c>
      <c r="G137" s="801"/>
      <c r="I137" s="801"/>
      <c r="J137" s="936"/>
    </row>
    <row r="138" spans="1:10" ht="3" customHeight="1">
      <c r="C138" s="907"/>
      <c r="G138" s="801"/>
      <c r="I138" s="801"/>
    </row>
    <row r="139" spans="1:10" ht="12" customHeight="1">
      <c r="A139" s="864" t="s">
        <v>3209</v>
      </c>
      <c r="C139" s="908" t="str">
        <f>C8</f>
        <v>Somersby Family I, LP</v>
      </c>
      <c r="G139" s="801"/>
      <c r="I139" s="906"/>
      <c r="J139" s="937"/>
    </row>
    <row r="140" spans="1:10" ht="3" customHeight="1">
      <c r="C140" s="908"/>
      <c r="G140" s="801"/>
      <c r="I140" s="906"/>
      <c r="J140" s="937"/>
    </row>
    <row r="141" spans="1:10" ht="12" customHeight="1">
      <c r="A141" s="864" t="s">
        <v>3210</v>
      </c>
      <c r="C141" s="908" t="str">
        <f>C18</f>
        <v>3715 Northside Pkwy Bldg 200 Ste 175</v>
      </c>
      <c r="G141" s="801"/>
      <c r="I141" s="906"/>
      <c r="J141" s="937"/>
    </row>
    <row r="142" spans="1:10">
      <c r="C142" s="908" t="str">
        <f>C19</f>
        <v>Atlanta, GA 30327</v>
      </c>
      <c r="G142" s="801"/>
      <c r="I142" s="906"/>
      <c r="J142" s="937"/>
    </row>
    <row r="143" spans="1:10" ht="3" customHeight="1">
      <c r="C143" s="938"/>
      <c r="G143" s="801"/>
      <c r="I143" s="906"/>
      <c r="J143" s="937"/>
    </row>
    <row r="144" spans="1:10" ht="12" customHeight="1">
      <c r="A144" s="864" t="s">
        <v>3211</v>
      </c>
      <c r="C144" s="908" t="str">
        <f>Overview!H10</f>
        <v>Truist Community Capital</v>
      </c>
      <c r="G144" s="801"/>
      <c r="I144" s="906"/>
      <c r="J144" s="936"/>
    </row>
    <row r="145" spans="1:10" ht="3" customHeight="1">
      <c r="C145" s="908"/>
      <c r="G145" s="801"/>
      <c r="I145" s="906"/>
      <c r="J145" s="937"/>
    </row>
    <row r="146" spans="1:10" ht="12" customHeight="1">
      <c r="A146" s="864" t="s">
        <v>3212</v>
      </c>
      <c r="C146" s="908" t="str">
        <f>Overview!K10</f>
        <v>Truist Community Capital</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36"/>
      <c r="F164" s="4236"/>
      <c r="G164" s="4236"/>
      <c r="I164" s="801"/>
    </row>
    <row r="165" spans="1:13" ht="3" customHeight="1">
      <c r="E165" s="801"/>
      <c r="G165" s="801"/>
      <c r="I165" s="801"/>
    </row>
    <row r="166" spans="1:13" ht="12" customHeight="1">
      <c r="A166" s="864" t="s">
        <v>3221</v>
      </c>
      <c r="C166" s="864" t="s">
        <v>3222</v>
      </c>
      <c r="E166" s="940">
        <f>'Preview term'!F71</f>
        <v>1152258</v>
      </c>
      <c r="G166" s="801"/>
      <c r="I166" s="801"/>
    </row>
    <row r="167" spans="1:13" ht="12" customHeight="1">
      <c r="C167" s="864" t="s">
        <v>3517</v>
      </c>
      <c r="E167" s="4236"/>
      <c r="F167" s="4236"/>
      <c r="G167" s="4236"/>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61000</v>
      </c>
      <c r="F172" s="906" t="s">
        <v>3226</v>
      </c>
      <c r="J172" s="937"/>
      <c r="K172" s="937"/>
      <c r="L172" s="937"/>
      <c r="M172" s="937"/>
    </row>
    <row r="173" spans="1:13">
      <c r="E173" s="940">
        <f>E172/12</f>
        <v>5083.333333333333</v>
      </c>
      <c r="F173" s="801" t="s">
        <v>3078</v>
      </c>
    </row>
    <row r="174" spans="1:13" ht="12" customHeight="1">
      <c r="C174" s="864" t="s">
        <v>3518</v>
      </c>
      <c r="E174" s="4236"/>
      <c r="F174" s="4236"/>
      <c r="G174" s="4236"/>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6"/>
      <c r="G179" s="4236"/>
      <c r="H179" s="4236"/>
      <c r="I179" s="4236"/>
      <c r="J179" s="4236"/>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311293</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3521</v>
      </c>
      <c r="B197" s="913"/>
      <c r="C197" s="913"/>
      <c r="D197" s="913"/>
      <c r="E197" s="918" t="s">
        <v>3520</v>
      </c>
      <c r="F197" s="4237">
        <f>'Part VIII-Threshold Criteria'!E400</f>
        <v>0</v>
      </c>
      <c r="G197" s="4237"/>
      <c r="H197" s="4237"/>
      <c r="I197" s="4237"/>
      <c r="J197" s="4237"/>
    </row>
    <row r="198" spans="1:10" ht="9" customHeight="1">
      <c r="G198" s="801"/>
      <c r="H198" s="801"/>
      <c r="I198" s="801"/>
    </row>
    <row r="199" spans="1:10" ht="12" customHeight="1">
      <c r="A199" s="942" t="s">
        <v>3320</v>
      </c>
      <c r="G199" s="801"/>
      <c r="H199" s="801"/>
      <c r="I199" s="926"/>
    </row>
    <row r="200" spans="1:10" ht="25.5" hidden="1" customHeight="1">
      <c r="A200" s="4239" t="str">
        <f>'Subsidy Layering Memo'!A98</f>
        <v>Include any reserve requirements; explain any reserves far in excess of 6 month ODR, 3 mo lease up, 1 year RR, 6 mo T&amp;I standards.</v>
      </c>
      <c r="B200" s="4239"/>
      <c r="C200" s="4239"/>
      <c r="D200" s="4239"/>
      <c r="E200" s="4239"/>
      <c r="F200" s="4239"/>
      <c r="G200" s="4239"/>
      <c r="H200" s="4239"/>
      <c r="I200" s="4239"/>
      <c r="J200" s="4239"/>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29" t="s">
        <v>2943</v>
      </c>
      <c r="B204" s="4229"/>
      <c r="C204" s="4229"/>
      <c r="D204" s="4229"/>
      <c r="E204" s="4229"/>
      <c r="F204" s="4229"/>
      <c r="G204" s="4229"/>
      <c r="H204" s="4229"/>
      <c r="I204" s="4229"/>
      <c r="J204" s="4229"/>
    </row>
    <row r="205" spans="1:10">
      <c r="A205" s="801" t="s">
        <v>2944</v>
      </c>
      <c r="G205" s="801"/>
      <c r="H205" s="801"/>
      <c r="I205" s="801"/>
    </row>
    <row r="206" spans="1:10" ht="38.25" customHeight="1">
      <c r="A206" s="4229" t="str">
        <f>'Subsidy Layering Memo'!A37&amp;".  "&amp;'Subsidy Layering Memo'!A38</f>
        <v xml:space="preserve">.  </v>
      </c>
      <c r="B206" s="4230"/>
      <c r="C206" s="4230"/>
      <c r="D206" s="4230"/>
      <c r="E206" s="4230"/>
      <c r="F206" s="4230"/>
      <c r="G206" s="4230"/>
      <c r="H206" s="4230"/>
      <c r="I206" s="4230"/>
      <c r="J206" s="4230"/>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Somersby</v>
      </c>
    </row>
    <row r="2" spans="1:11">
      <c r="A2" s="801" t="s">
        <v>3238</v>
      </c>
      <c r="H2" s="864" t="str">
        <f>Overview!E8</f>
        <v>2019-5</v>
      </c>
    </row>
    <row r="3" spans="1:11" ht="3" customHeight="1"/>
    <row r="4" spans="1:11" ht="51.75" customHeight="1">
      <c r="A4" s="4230" t="s">
        <v>3337</v>
      </c>
      <c r="B4" s="4230"/>
      <c r="C4" s="4230"/>
      <c r="D4" s="4230"/>
      <c r="E4" s="4230"/>
      <c r="F4" s="4230"/>
      <c r="G4" s="4230"/>
      <c r="H4" s="4230"/>
      <c r="J4" s="1616">
        <f>SUM('Part VII-Pro Forma'!B14:B16)/12</f>
        <v>219210.07680000001</v>
      </c>
      <c r="K4" s="1615" t="s">
        <v>4471</v>
      </c>
    </row>
    <row r="5" spans="1:11" ht="1.5" customHeight="1">
      <c r="C5" s="943"/>
      <c r="D5" s="943"/>
      <c r="E5" s="943"/>
      <c r="F5" s="943"/>
      <c r="G5" s="943"/>
      <c r="H5" s="943"/>
    </row>
    <row r="6" spans="1:11" ht="12.75" customHeight="1">
      <c r="B6" s="944" t="s">
        <v>2435</v>
      </c>
      <c r="C6" s="4230" t="s">
        <v>3239</v>
      </c>
      <c r="D6" s="4230"/>
      <c r="E6" s="4230"/>
      <c r="F6" s="4230"/>
      <c r="G6" s="4230"/>
      <c r="H6" s="4230"/>
    </row>
    <row r="7" spans="1:11" ht="12.75" customHeight="1">
      <c r="B7" s="944" t="s">
        <v>2436</v>
      </c>
      <c r="C7" s="4230" t="s">
        <v>3240</v>
      </c>
      <c r="D7" s="4230"/>
      <c r="E7" s="4230"/>
      <c r="F7" s="4230"/>
      <c r="G7" s="4230"/>
      <c r="H7" s="4230"/>
    </row>
    <row r="8" spans="1:11" ht="3" customHeight="1"/>
    <row r="9" spans="1:11">
      <c r="A9" s="864" t="s">
        <v>3241</v>
      </c>
    </row>
    <row r="10" spans="1:11" ht="1.5" customHeight="1"/>
    <row r="11" spans="1:11" ht="26.25" customHeight="1">
      <c r="A11" s="945" t="s">
        <v>1983</v>
      </c>
      <c r="B11" s="4249" t="s">
        <v>3334</v>
      </c>
      <c r="C11" s="4249"/>
      <c r="D11" s="4249"/>
      <c r="E11" s="4249"/>
      <c r="F11" s="4249"/>
      <c r="G11" s="4250">
        <f>'Part III-Sources of Funds'!I49+'Part III-Sources of Funds'!I50</f>
        <v>27361836.007679999</v>
      </c>
      <c r="H11" s="4250"/>
    </row>
    <row r="12" spans="1:11" ht="1.5" customHeight="1">
      <c r="G12" s="913"/>
      <c r="H12" s="913"/>
    </row>
    <row r="13" spans="1:11" ht="26.25" customHeight="1">
      <c r="A13" s="945" t="s">
        <v>1985</v>
      </c>
      <c r="B13" s="4249" t="s">
        <v>3335</v>
      </c>
      <c r="C13" s="4249"/>
      <c r="D13" s="4249"/>
      <c r="E13" s="4249"/>
      <c r="F13" s="4249"/>
      <c r="G13" s="4251" t="s">
        <v>3167</v>
      </c>
      <c r="H13" s="4251"/>
    </row>
    <row r="14" spans="1:11" ht="12" hidden="1" customHeight="1">
      <c r="A14" s="945"/>
      <c r="B14" s="4244"/>
      <c r="C14" s="4244"/>
      <c r="D14" s="4244"/>
      <c r="E14" s="4244"/>
      <c r="F14" s="4244"/>
      <c r="G14" s="4244"/>
      <c r="H14" s="4244"/>
    </row>
    <row r="15" spans="1:11" ht="1.5" customHeight="1"/>
    <row r="16" spans="1:11" ht="12" customHeight="1">
      <c r="A16" s="945" t="s">
        <v>749</v>
      </c>
      <c r="B16" s="864" t="s">
        <v>3339</v>
      </c>
      <c r="F16" s="937"/>
      <c r="G16" s="4227" t="s">
        <v>2993</v>
      </c>
      <c r="H16" s="4227"/>
    </row>
    <row r="17" spans="1:8" ht="1.5" customHeight="1">
      <c r="G17" s="919"/>
    </row>
    <row r="18" spans="1:8" ht="12" customHeight="1">
      <c r="A18" s="945" t="s">
        <v>2115</v>
      </c>
      <c r="B18" s="913" t="s">
        <v>3336</v>
      </c>
      <c r="C18" s="945"/>
      <c r="D18" s="945"/>
      <c r="E18" s="945"/>
      <c r="G18" s="4244" t="s">
        <v>2824</v>
      </c>
      <c r="H18" s="4244"/>
    </row>
    <row r="19" spans="1:8" ht="12" hidden="1" customHeight="1">
      <c r="B19" s="4244"/>
      <c r="C19" s="4244"/>
      <c r="D19" s="4244"/>
      <c r="E19" s="4244"/>
      <c r="F19" s="4244"/>
      <c r="G19" s="4244"/>
      <c r="H19" s="4244"/>
    </row>
    <row r="20" spans="1:8" ht="13.5" customHeight="1"/>
    <row r="21" spans="1:8" ht="12" customHeight="1">
      <c r="A21" s="801" t="s">
        <v>3242</v>
      </c>
    </row>
    <row r="22" spans="1:8" ht="3" customHeight="1"/>
    <row r="23" spans="1:8" ht="26.25" customHeight="1">
      <c r="A23" s="4247" t="s">
        <v>3338</v>
      </c>
      <c r="B23" s="4247"/>
      <c r="C23" s="4247"/>
      <c r="D23" s="4247"/>
      <c r="E23" s="4247"/>
      <c r="F23" s="4247"/>
      <c r="G23" s="4247"/>
      <c r="H23" s="4247"/>
    </row>
    <row r="24" spans="1:8" ht="26.25" customHeight="1">
      <c r="A24" s="4248" t="s">
        <v>3243</v>
      </c>
      <c r="B24" s="4248"/>
      <c r="C24" s="4248"/>
      <c r="D24" s="4248"/>
      <c r="E24" s="4248"/>
      <c r="F24" s="4248"/>
      <c r="G24" s="4248"/>
      <c r="H24" s="4248"/>
    </row>
    <row r="25" spans="1:8" ht="9" customHeight="1">
      <c r="A25" s="886"/>
    </row>
    <row r="26" spans="1:8">
      <c r="A26" s="919" t="s">
        <v>3340</v>
      </c>
      <c r="B26" s="946"/>
      <c r="C26" s="919" t="s">
        <v>3341</v>
      </c>
      <c r="D26" s="947" t="s">
        <v>3527</v>
      </c>
    </row>
    <row r="27" spans="1:8" ht="6" customHeight="1"/>
    <row r="28" spans="1:8" ht="12.75" customHeight="1">
      <c r="C28" s="913" t="s">
        <v>3244</v>
      </c>
      <c r="D28" s="948" t="s">
        <v>1986</v>
      </c>
      <c r="E28" s="949"/>
      <c r="F28" s="4230" t="s">
        <v>3245</v>
      </c>
      <c r="G28" s="4230"/>
      <c r="H28" s="4230"/>
    </row>
    <row r="29" spans="1:8" ht="12.75" customHeight="1">
      <c r="C29" s="950" t="s">
        <v>1353</v>
      </c>
      <c r="D29" s="948" t="s">
        <v>1988</v>
      </c>
      <c r="E29" s="4230" t="s">
        <v>3345</v>
      </c>
      <c r="F29" s="4230"/>
      <c r="G29" s="4230"/>
      <c r="H29" s="4230"/>
    </row>
    <row r="30" spans="1:8" ht="12.75" customHeight="1">
      <c r="E30" s="4230" t="s">
        <v>3523</v>
      </c>
      <c r="F30" s="4230"/>
      <c r="G30" s="4230"/>
      <c r="H30" s="4230"/>
    </row>
    <row r="31" spans="1:8" ht="12.75" customHeight="1">
      <c r="D31" s="951" t="s">
        <v>3344</v>
      </c>
      <c r="E31" s="4230" t="s">
        <v>3524</v>
      </c>
      <c r="F31" s="4230"/>
      <c r="G31" s="4230"/>
      <c r="H31" s="4230"/>
    </row>
    <row r="32" spans="1:8" ht="3" customHeight="1">
      <c r="D32" s="948"/>
      <c r="E32" s="2188"/>
      <c r="F32" s="2188"/>
      <c r="G32" s="2188"/>
      <c r="H32" s="2188"/>
    </row>
    <row r="33" spans="1:11">
      <c r="A33" s="919" t="s">
        <v>3340</v>
      </c>
      <c r="B33" s="946"/>
      <c r="C33" s="919" t="s">
        <v>3342</v>
      </c>
      <c r="D33" s="947" t="s">
        <v>3528</v>
      </c>
    </row>
    <row r="34" spans="1:11" ht="4.5" customHeight="1"/>
    <row r="35" spans="1:11" ht="12.75" customHeight="1">
      <c r="C35" s="913" t="s">
        <v>3244</v>
      </c>
      <c r="D35" s="948" t="s">
        <v>1986</v>
      </c>
      <c r="E35" s="949"/>
      <c r="F35" s="4230" t="s">
        <v>3245</v>
      </c>
      <c r="G35" s="4230"/>
      <c r="H35" s="4230"/>
    </row>
    <row r="36" spans="1:11" ht="12.75" customHeight="1">
      <c r="C36" s="950" t="s">
        <v>1353</v>
      </c>
      <c r="D36" s="948" t="s">
        <v>1988</v>
      </c>
      <c r="E36" s="4230" t="s">
        <v>3346</v>
      </c>
      <c r="F36" s="4230"/>
      <c r="G36" s="4230"/>
      <c r="H36" s="4230"/>
    </row>
    <row r="37" spans="1:11" ht="12.75" customHeight="1">
      <c r="E37" s="4230" t="s">
        <v>3523</v>
      </c>
      <c r="F37" s="4230"/>
      <c r="G37" s="4230"/>
      <c r="H37" s="4230"/>
    </row>
    <row r="38" spans="1:11" ht="12.75" customHeight="1">
      <c r="D38" s="951" t="s">
        <v>3344</v>
      </c>
      <c r="E38" s="4230" t="s">
        <v>3524</v>
      </c>
      <c r="F38" s="4230"/>
      <c r="G38" s="4230"/>
      <c r="H38" s="4230"/>
    </row>
    <row r="39" spans="1:11" ht="3" customHeight="1">
      <c r="D39" s="948"/>
      <c r="E39" s="2188"/>
      <c r="F39" s="2188"/>
      <c r="G39" s="2188"/>
      <c r="H39" s="2188"/>
    </row>
    <row r="40" spans="1:11">
      <c r="A40" s="919" t="s">
        <v>3340</v>
      </c>
      <c r="B40" s="946"/>
      <c r="C40" s="919" t="s">
        <v>3343</v>
      </c>
      <c r="D40" s="947" t="s">
        <v>3529</v>
      </c>
    </row>
    <row r="41" spans="1:11" ht="4.5" customHeight="1"/>
    <row r="42" spans="1:11" ht="12.75" customHeight="1">
      <c r="C42" s="913" t="s">
        <v>3244</v>
      </c>
      <c r="D42" s="948" t="s">
        <v>1986</v>
      </c>
      <c r="E42" s="949"/>
      <c r="F42" s="4230" t="s">
        <v>3245</v>
      </c>
      <c r="G42" s="4230"/>
      <c r="H42" s="4230"/>
      <c r="K42" s="864" t="s">
        <v>243</v>
      </c>
    </row>
    <row r="43" spans="1:11" ht="12.75" customHeight="1">
      <c r="C43" s="950" t="s">
        <v>1353</v>
      </c>
      <c r="D43" s="948" t="s">
        <v>1988</v>
      </c>
      <c r="E43" s="4230" t="s">
        <v>3346</v>
      </c>
      <c r="F43" s="4230"/>
      <c r="G43" s="4230"/>
      <c r="H43" s="4230"/>
    </row>
    <row r="44" spans="1:11" ht="12.75" customHeight="1">
      <c r="E44" s="4230" t="s">
        <v>3523</v>
      </c>
      <c r="F44" s="4230"/>
      <c r="G44" s="4230"/>
      <c r="H44" s="4230"/>
    </row>
    <row r="45" spans="1:11" ht="12.75" customHeight="1">
      <c r="D45" s="951" t="s">
        <v>3344</v>
      </c>
      <c r="E45" s="4230" t="s">
        <v>3524</v>
      </c>
      <c r="F45" s="4230"/>
      <c r="G45" s="4230"/>
      <c r="H45" s="4230"/>
    </row>
    <row r="46" spans="1:11" ht="9" customHeight="1"/>
    <row r="47" spans="1:11" ht="7.5" customHeight="1">
      <c r="E47" s="4230"/>
      <c r="F47" s="4230"/>
      <c r="G47" s="4230"/>
      <c r="H47" s="4230"/>
    </row>
    <row r="48" spans="1:11" ht="24.75" customHeight="1">
      <c r="A48" s="4246" t="s">
        <v>4239</v>
      </c>
      <c r="B48" s="4246"/>
      <c r="C48" s="4246"/>
      <c r="D48" s="4246"/>
      <c r="E48" s="4246"/>
      <c r="F48" s="4246"/>
      <c r="G48" s="4246"/>
      <c r="H48" s="4246"/>
    </row>
    <row r="49" spans="1:11" ht="9" customHeight="1"/>
    <row r="50" spans="1:11" ht="26.25" customHeight="1">
      <c r="A50" s="4247" t="s">
        <v>3525</v>
      </c>
      <c r="B50" s="4247"/>
      <c r="C50" s="4247"/>
      <c r="D50" s="4247"/>
      <c r="E50" s="4247"/>
      <c r="F50" s="4247"/>
      <c r="G50" s="4247"/>
      <c r="H50" s="4247"/>
    </row>
    <row r="51" spans="1:11" ht="9" customHeight="1">
      <c r="A51" s="886"/>
    </row>
    <row r="52" spans="1:11">
      <c r="A52" s="919" t="s">
        <v>3340</v>
      </c>
      <c r="B52" s="946"/>
      <c r="C52" s="919" t="s">
        <v>3341</v>
      </c>
      <c r="D52" s="947" t="s">
        <v>3526</v>
      </c>
    </row>
    <row r="53" spans="1:11" ht="4.5" customHeight="1"/>
    <row r="54" spans="1:11" ht="12.75" customHeight="1">
      <c r="C54" s="913" t="s">
        <v>3244</v>
      </c>
      <c r="D54" s="948" t="s">
        <v>1986</v>
      </c>
      <c r="E54" s="949"/>
      <c r="F54" s="4230" t="s">
        <v>3245</v>
      </c>
      <c r="G54" s="4230"/>
      <c r="H54" s="4230"/>
    </row>
    <row r="55" spans="1:11" ht="12.75" customHeight="1">
      <c r="C55" s="950" t="s">
        <v>1353</v>
      </c>
      <c r="D55" s="948" t="s">
        <v>1988</v>
      </c>
      <c r="E55" s="4230" t="s">
        <v>3532</v>
      </c>
      <c r="F55" s="4230"/>
      <c r="G55" s="4230"/>
      <c r="H55" s="4230"/>
    </row>
    <row r="56" spans="1:11" ht="3" customHeight="1">
      <c r="D56" s="948"/>
      <c r="E56" s="2188"/>
      <c r="F56" s="2188"/>
      <c r="G56" s="2188"/>
      <c r="H56" s="2188"/>
    </row>
    <row r="57" spans="1:11">
      <c r="A57" s="919" t="s">
        <v>3340</v>
      </c>
      <c r="B57" s="946"/>
      <c r="C57" s="919" t="s">
        <v>3342</v>
      </c>
      <c r="D57" s="947" t="s">
        <v>3530</v>
      </c>
    </row>
    <row r="58" spans="1:11" ht="4.5" customHeight="1"/>
    <row r="59" spans="1:11">
      <c r="C59" s="913" t="s">
        <v>3244</v>
      </c>
      <c r="D59" s="948" t="s">
        <v>1986</v>
      </c>
      <c r="E59" s="949"/>
      <c r="F59" s="4230" t="s">
        <v>3245</v>
      </c>
      <c r="G59" s="4230"/>
      <c r="H59" s="4230"/>
    </row>
    <row r="60" spans="1:11" ht="12.75" customHeight="1">
      <c r="C60" s="950" t="s">
        <v>1353</v>
      </c>
      <c r="D60" s="948" t="s">
        <v>1988</v>
      </c>
      <c r="E60" s="4230" t="s">
        <v>3532</v>
      </c>
      <c r="F60" s="4230"/>
      <c r="G60" s="4230"/>
      <c r="H60" s="4230"/>
    </row>
    <row r="61" spans="1:11" ht="3" customHeight="1">
      <c r="D61" s="948"/>
      <c r="E61" s="2188"/>
      <c r="F61" s="2188"/>
      <c r="G61" s="2188"/>
      <c r="H61" s="2188"/>
    </row>
    <row r="62" spans="1:11">
      <c r="A62" s="919" t="s">
        <v>3340</v>
      </c>
      <c r="B62" s="946"/>
      <c r="C62" s="919" t="s">
        <v>3343</v>
      </c>
      <c r="D62" s="947" t="s">
        <v>3531</v>
      </c>
    </row>
    <row r="63" spans="1:11" ht="4.5" customHeight="1"/>
    <row r="64" spans="1:11">
      <c r="C64" s="913" t="s">
        <v>3244</v>
      </c>
      <c r="D64" s="948" t="s">
        <v>1986</v>
      </c>
      <c r="E64" s="949"/>
      <c r="F64" s="4230" t="s">
        <v>3245</v>
      </c>
      <c r="G64" s="4230"/>
      <c r="H64" s="4230"/>
      <c r="K64" s="864" t="s">
        <v>243</v>
      </c>
    </row>
    <row r="65" spans="3:8" ht="12.75" customHeight="1">
      <c r="C65" s="950" t="s">
        <v>1353</v>
      </c>
      <c r="D65" s="948" t="s">
        <v>1988</v>
      </c>
      <c r="E65" s="4230" t="s">
        <v>3532</v>
      </c>
      <c r="F65" s="4230"/>
      <c r="G65" s="4230"/>
      <c r="H65" s="4230"/>
    </row>
    <row r="66" spans="3:8" ht="7.5" customHeight="1">
      <c r="E66" s="4230"/>
      <c r="F66" s="4230"/>
      <c r="G66" s="4230"/>
      <c r="H66" s="423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7" t="s">
        <v>4278</v>
      </c>
      <c r="C1" s="4267"/>
      <c r="D1" s="4267"/>
      <c r="E1" s="4267"/>
      <c r="F1" s="4267"/>
      <c r="G1" s="4267"/>
      <c r="H1" s="4267"/>
      <c r="I1" s="4267"/>
    </row>
    <row r="2" spans="2:13" ht="15">
      <c r="B2" s="2208" t="s">
        <v>4266</v>
      </c>
      <c r="C2" s="912"/>
      <c r="D2" s="912"/>
      <c r="E2" s="912"/>
      <c r="F2" s="912"/>
      <c r="G2" s="912"/>
      <c r="H2" s="912"/>
      <c r="I2" s="912"/>
    </row>
    <row r="3" spans="2:13" ht="14.25">
      <c r="B3" s="2209" t="s">
        <v>4273</v>
      </c>
      <c r="C3" s="912"/>
      <c r="D3" s="912"/>
      <c r="E3" s="912"/>
      <c r="F3" s="912"/>
      <c r="G3" s="912"/>
      <c r="H3" s="912"/>
      <c r="I3" s="912"/>
    </row>
    <row r="4" spans="2:13">
      <c r="B4" s="4268" t="s">
        <v>3246</v>
      </c>
      <c r="C4" s="4268"/>
      <c r="D4" s="4268"/>
      <c r="E4" s="4274" t="s">
        <v>3247</v>
      </c>
      <c r="F4" s="4276"/>
      <c r="G4" s="4274" t="s">
        <v>617</v>
      </c>
      <c r="H4" s="4275"/>
      <c r="I4" s="4276"/>
      <c r="J4" s="2202" t="s">
        <v>3091</v>
      </c>
      <c r="K4" s="2202"/>
      <c r="L4" s="2210"/>
      <c r="M4" s="2210"/>
    </row>
    <row r="5" spans="2:13">
      <c r="B5" s="4269" t="str">
        <f>'Closing term sheet'!C8</f>
        <v>Somersby Family I, LP</v>
      </c>
      <c r="C5" s="4270"/>
      <c r="D5" s="4270"/>
      <c r="E5" s="4280"/>
      <c r="F5" s="4281"/>
      <c r="G5" s="4277" t="str">
        <f>'Closing term sheet'!C28</f>
        <v>Somersby</v>
      </c>
      <c r="H5" s="4278"/>
      <c r="I5" s="4279"/>
      <c r="K5" s="864"/>
    </row>
    <row r="6" spans="2:13" ht="4.5" customHeight="1">
      <c r="D6" s="2211"/>
      <c r="E6" s="2211"/>
      <c r="F6" s="2211"/>
      <c r="G6" s="2211"/>
      <c r="H6" s="2211"/>
      <c r="I6" s="2211"/>
      <c r="K6" s="864"/>
    </row>
    <row r="7" spans="2:13">
      <c r="B7" s="4271" t="s">
        <v>3248</v>
      </c>
      <c r="C7" s="4271"/>
      <c r="D7" s="2212"/>
      <c r="E7" s="2212"/>
      <c r="F7" s="2212"/>
      <c r="G7" s="2212"/>
      <c r="H7" s="4272" t="str">
        <f>'Preview term'!E9</f>
        <v>85-3897847</v>
      </c>
      <c r="I7" s="4273"/>
    </row>
    <row r="8" spans="2:13" ht="4.5" customHeight="1">
      <c r="B8" s="2212"/>
      <c r="C8" s="2212"/>
      <c r="D8" s="2212"/>
      <c r="E8" s="2212"/>
      <c r="F8" s="2212"/>
      <c r="G8" s="2212"/>
      <c r="H8" s="2212"/>
      <c r="I8" s="2212"/>
      <c r="J8" s="2212"/>
    </row>
    <row r="9" spans="2:13">
      <c r="B9" s="2213" t="s">
        <v>3249</v>
      </c>
      <c r="C9" s="2213"/>
      <c r="D9" s="2212"/>
      <c r="E9" s="921" t="s">
        <v>4268</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4265</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4269</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4270</v>
      </c>
      <c r="C19" s="2212"/>
      <c r="D19" s="2212"/>
      <c r="E19" s="2212"/>
      <c r="F19" s="2212"/>
      <c r="G19" s="2212"/>
      <c r="H19" s="2212"/>
      <c r="I19" s="2229"/>
    </row>
    <row r="20" spans="2:9" ht="7.5" customHeight="1">
      <c r="B20" s="2223"/>
      <c r="C20" s="2212"/>
      <c r="D20" s="2212"/>
      <c r="E20" s="2212"/>
      <c r="F20" s="2212"/>
      <c r="G20" s="2212"/>
      <c r="H20" s="2212"/>
      <c r="I20" s="2229"/>
    </row>
    <row r="21" spans="2:9">
      <c r="B21" s="2223" t="s">
        <v>4267</v>
      </c>
      <c r="C21" s="2212"/>
      <c r="D21" s="2212"/>
      <c r="E21" s="2212"/>
      <c r="F21" s="2212"/>
      <c r="G21" s="2212"/>
      <c r="H21" s="2212"/>
      <c r="I21" s="2224"/>
    </row>
    <row r="22" spans="2:9">
      <c r="B22" s="2228" t="s">
        <v>4271</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4272</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4274</v>
      </c>
    </row>
    <row r="34" spans="2:9" ht="3" customHeight="1">
      <c r="B34" s="2233"/>
      <c r="C34" s="2218"/>
      <c r="D34" s="2218"/>
      <c r="E34" s="2218"/>
      <c r="F34" s="2218"/>
      <c r="G34" s="2218"/>
      <c r="H34" s="2218"/>
      <c r="I34" s="2234"/>
    </row>
    <row r="35" spans="2:9">
      <c r="B35" s="2223" t="s">
        <v>4277</v>
      </c>
      <c r="C35" s="2212"/>
      <c r="D35" s="2212"/>
      <c r="F35" s="2238"/>
      <c r="H35" s="4252" t="s">
        <v>4286</v>
      </c>
      <c r="I35" s="4253"/>
    </row>
    <row r="36" spans="2:9">
      <c r="B36" s="2239" t="s">
        <v>4285</v>
      </c>
      <c r="C36" s="2237"/>
      <c r="D36" s="2237"/>
      <c r="E36" s="2212"/>
      <c r="F36" s="2668"/>
      <c r="G36" s="2240"/>
      <c r="H36" s="4252"/>
      <c r="I36" s="4253"/>
    </row>
    <row r="37" spans="2:9">
      <c r="B37" s="2239" t="s">
        <v>4283</v>
      </c>
      <c r="D37" s="2237"/>
      <c r="E37" s="2212"/>
      <c r="F37" s="2669"/>
      <c r="G37" s="2240"/>
      <c r="H37" s="4252"/>
      <c r="I37" s="4253"/>
    </row>
    <row r="38" spans="2:9">
      <c r="B38" s="2239" t="s">
        <v>4284</v>
      </c>
      <c r="D38" s="2212"/>
      <c r="E38" s="2212"/>
      <c r="F38" s="2669"/>
      <c r="G38" s="2240"/>
      <c r="H38" s="2240"/>
      <c r="I38" s="2241"/>
    </row>
    <row r="39" spans="2:9" ht="12.75" customHeight="1">
      <c r="B39" s="2239" t="s">
        <v>4282</v>
      </c>
      <c r="C39" s="2212"/>
      <c r="D39" s="2212"/>
      <c r="E39" s="2212"/>
      <c r="F39" s="2669"/>
      <c r="G39" s="2240"/>
      <c r="H39" s="2240"/>
      <c r="I39" s="2241"/>
    </row>
    <row r="40" spans="2:9">
      <c r="B40" s="2242" t="s">
        <v>4281</v>
      </c>
      <c r="C40" s="2243"/>
      <c r="D40" s="2244"/>
      <c r="E40" s="2245"/>
      <c r="F40" s="2669"/>
      <c r="G40" s="2245"/>
      <c r="H40" s="2667"/>
      <c r="I40" s="2222"/>
    </row>
    <row r="41" spans="2:9">
      <c r="B41" s="2242" t="s">
        <v>4280</v>
      </c>
      <c r="C41" s="2243"/>
      <c r="D41" s="2244"/>
      <c r="E41" s="2212"/>
      <c r="F41" s="2669"/>
      <c r="G41" s="2212"/>
      <c r="H41" s="2212"/>
      <c r="I41" s="2222"/>
    </row>
    <row r="42" spans="2:9">
      <c r="B42" s="2246" t="s">
        <v>4279</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4276</v>
      </c>
    </row>
    <row r="46" spans="2:9" ht="3" customHeight="1">
      <c r="B46" s="2233"/>
      <c r="C46" s="2218"/>
      <c r="D46" s="2218"/>
      <c r="E46" s="2218"/>
      <c r="F46" s="2218"/>
      <c r="G46" s="2218"/>
      <c r="H46" s="2218"/>
      <c r="I46" s="2234"/>
    </row>
    <row r="47" spans="2:9">
      <c r="B47" s="2223" t="s">
        <v>4275</v>
      </c>
      <c r="C47" s="2212"/>
      <c r="D47" s="2248"/>
      <c r="E47" s="2249" t="str">
        <f>Overview!H7</f>
        <v>New Construction</v>
      </c>
      <c r="F47" s="888" t="s">
        <v>4287</v>
      </c>
      <c r="H47" s="2212"/>
      <c r="I47" s="2222"/>
    </row>
    <row r="48" spans="2:9">
      <c r="B48" s="2228" t="s">
        <v>3261</v>
      </c>
      <c r="C48" s="2237"/>
      <c r="D48" s="2237" t="s">
        <v>3262</v>
      </c>
      <c r="E48" s="2212"/>
      <c r="F48" s="4261" t="str">
        <f>'Closing term sheet'!$C$30</f>
        <v>5391 W. Fayetteville Road</v>
      </c>
      <c r="G48" s="4262"/>
      <c r="H48" s="4262"/>
      <c r="I48" s="4263"/>
    </row>
    <row r="49" spans="2:9">
      <c r="B49" s="2228" t="s">
        <v>3263</v>
      </c>
      <c r="D49" s="2237" t="s">
        <v>3264</v>
      </c>
      <c r="E49" s="2212"/>
      <c r="F49" s="4264"/>
      <c r="G49" s="4265"/>
      <c r="H49" s="4265"/>
      <c r="I49" s="4266"/>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4288</v>
      </c>
      <c r="C52" s="4284" t="str">
        <f>'Part I-Project Information'!F38</f>
        <v>College Park</v>
      </c>
      <c r="D52" s="4285"/>
      <c r="E52" s="2254" t="s">
        <v>4289</v>
      </c>
      <c r="F52" s="2214" t="s">
        <v>848</v>
      </c>
      <c r="G52" s="2254" t="s">
        <v>4290</v>
      </c>
      <c r="H52" s="2255">
        <f>'Part I-Project Information'!J38</f>
        <v>303495405</v>
      </c>
      <c r="I52" s="2222"/>
    </row>
    <row r="53" spans="2:9">
      <c r="B53" s="2253" t="s">
        <v>4452</v>
      </c>
      <c r="D53" s="2256" t="e">
        <f>VLOOKUP("='Part I-Project Information'!$J$39",'DCA Underwriting Assumptions'!$G$158:$O$317,9)</f>
        <v>#N/A</v>
      </c>
      <c r="I53" s="2222"/>
    </row>
    <row r="54" spans="2:9">
      <c r="B54" s="2253" t="s">
        <v>4453</v>
      </c>
      <c r="D54" s="2212"/>
      <c r="E54" s="2212"/>
      <c r="F54" s="2212"/>
      <c r="G54" s="2212"/>
      <c r="I54" s="2222"/>
    </row>
    <row r="55" spans="2:9">
      <c r="B55" s="2246" t="s">
        <v>4454</v>
      </c>
      <c r="D55" s="2257">
        <f>'Closing term sheet'!$D$33</f>
        <v>244</v>
      </c>
      <c r="E55" s="2258"/>
      <c r="F55" s="921" t="s">
        <v>3266</v>
      </c>
      <c r="G55" s="2212"/>
      <c r="H55" s="2212"/>
      <c r="I55" s="2222"/>
    </row>
    <row r="56" spans="2:9">
      <c r="B56" s="2246" t="s">
        <v>4456</v>
      </c>
      <c r="D56" s="2259">
        <f>'Closing term sheet'!$D$62</f>
        <v>35778595</v>
      </c>
      <c r="E56" s="2260"/>
      <c r="F56" s="921" t="s">
        <v>3267</v>
      </c>
      <c r="G56" s="2212"/>
      <c r="H56" s="2212"/>
      <c r="I56" s="2222"/>
    </row>
    <row r="57" spans="2:9">
      <c r="B57" s="2239" t="s">
        <v>4455</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89" t="s">
        <v>3269</v>
      </c>
      <c r="C61" s="4290"/>
      <c r="D61" s="4290"/>
      <c r="E61" s="4290"/>
      <c r="F61" s="4290"/>
      <c r="G61" s="4290"/>
      <c r="H61" s="4290"/>
      <c r="I61" s="4291"/>
    </row>
    <row r="62" spans="2:9" ht="7.5" customHeight="1">
      <c r="B62" s="4286"/>
      <c r="C62" s="4287"/>
      <c r="D62" s="4287"/>
      <c r="E62" s="2212"/>
      <c r="F62" s="2212"/>
      <c r="G62" s="2262"/>
      <c r="H62" s="2212"/>
      <c r="I62" s="2222"/>
    </row>
    <row r="63" spans="2:9">
      <c r="B63" s="2263" t="s">
        <v>3271</v>
      </c>
      <c r="C63" s="2212"/>
      <c r="D63" s="2257">
        <v>4</v>
      </c>
      <c r="F63" s="2212"/>
      <c r="G63" s="4271" t="s">
        <v>3270</v>
      </c>
      <c r="H63" s="4271"/>
      <c r="I63" s="4288"/>
    </row>
    <row r="64" spans="2:9">
      <c r="B64" s="2220"/>
      <c r="C64" s="2237" t="s">
        <v>3274</v>
      </c>
      <c r="D64" s="2237" t="s">
        <v>3275</v>
      </c>
      <c r="F64" s="2212"/>
      <c r="G64" s="933" t="s">
        <v>3272</v>
      </c>
      <c r="H64" s="2212"/>
      <c r="I64" s="2264">
        <f>'Closing term sheet'!$D$35</f>
        <v>244</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89" t="s">
        <v>3282</v>
      </c>
      <c r="C81" s="4290"/>
      <c r="D81" s="4290"/>
      <c r="E81" s="4290"/>
      <c r="F81" s="4290"/>
      <c r="G81" s="4290"/>
      <c r="H81" s="4290"/>
      <c r="I81" s="4291"/>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57">
        <f>'Closing term sheet'!D62</f>
        <v>35778595</v>
      </c>
      <c r="G84" s="4257"/>
      <c r="H84" s="2212"/>
      <c r="I84" s="2222"/>
    </row>
    <row r="85" spans="2:9">
      <c r="B85" s="2220"/>
      <c r="C85" s="941" t="s">
        <v>3285</v>
      </c>
      <c r="D85" s="2212"/>
      <c r="E85" s="2212"/>
      <c r="F85" s="4283">
        <f>'Part III-Sources of Funds'!I45+'Part III-Sources of Funds'!L45</f>
        <v>819715.02396710578</v>
      </c>
      <c r="G85" s="4283"/>
      <c r="H85" s="2212"/>
      <c r="I85" s="2222"/>
    </row>
    <row r="86" spans="2:9">
      <c r="B86" s="2220"/>
      <c r="C86" s="941" t="s">
        <v>3286</v>
      </c>
      <c r="D86" s="2212"/>
      <c r="E86" s="2212"/>
      <c r="F86" s="4282"/>
      <c r="G86" s="4282"/>
      <c r="H86" s="2212"/>
      <c r="I86" s="2222"/>
    </row>
    <row r="87" spans="2:9">
      <c r="B87" s="2220"/>
      <c r="C87" s="2237" t="s">
        <v>3287</v>
      </c>
      <c r="D87" s="2212"/>
      <c r="E87" s="2212"/>
      <c r="F87" s="4283">
        <v>11000</v>
      </c>
      <c r="G87" s="4283"/>
      <c r="H87" s="2212"/>
      <c r="I87" s="2222"/>
    </row>
    <row r="88" spans="2:9">
      <c r="B88" s="2220"/>
      <c r="C88" s="941" t="s">
        <v>3288</v>
      </c>
      <c r="D88" s="2212"/>
      <c r="E88" s="2212"/>
      <c r="F88" s="4260"/>
      <c r="G88" s="4260"/>
      <c r="H88" s="2212"/>
      <c r="I88" s="2222"/>
    </row>
    <row r="89" spans="2:9">
      <c r="B89" s="2220"/>
      <c r="C89" s="921" t="s">
        <v>3289</v>
      </c>
      <c r="D89" s="2212"/>
      <c r="E89" s="2212"/>
      <c r="F89" s="4255">
        <f>SUM(F84:G88)</f>
        <v>36609310.023967102</v>
      </c>
      <c r="G89" s="4255"/>
      <c r="H89" s="2212"/>
      <c r="I89" s="2222"/>
    </row>
    <row r="90" spans="2:9">
      <c r="B90" s="2220"/>
      <c r="C90" s="2212"/>
      <c r="D90" s="2212"/>
      <c r="E90" s="2212"/>
      <c r="F90" s="4256"/>
      <c r="G90" s="4256"/>
      <c r="H90" s="2212"/>
      <c r="I90" s="2222"/>
    </row>
    <row r="91" spans="2:9">
      <c r="B91" s="2223" t="s">
        <v>3290</v>
      </c>
      <c r="C91" s="2212"/>
      <c r="D91" s="2212"/>
      <c r="E91" s="2212"/>
      <c r="F91" s="2212"/>
      <c r="G91" s="2212"/>
      <c r="H91" s="2212"/>
      <c r="I91" s="2222"/>
    </row>
    <row r="92" spans="2:9">
      <c r="B92" s="2220"/>
      <c r="C92" s="941" t="s">
        <v>3291</v>
      </c>
      <c r="D92" s="2212"/>
      <c r="E92" s="2212"/>
      <c r="F92" s="4257"/>
      <c r="G92" s="4257"/>
      <c r="H92" s="2212"/>
      <c r="I92" s="2222"/>
    </row>
    <row r="93" spans="2:9">
      <c r="B93" s="2220"/>
      <c r="C93" s="941" t="s">
        <v>3292</v>
      </c>
      <c r="D93" s="2212"/>
      <c r="E93" s="2212"/>
      <c r="F93" s="4258"/>
      <c r="G93" s="4258"/>
      <c r="H93" s="2212"/>
      <c r="I93" s="2222"/>
    </row>
    <row r="94" spans="2:9">
      <c r="B94" s="2220"/>
      <c r="C94" s="941" t="s">
        <v>3293</v>
      </c>
      <c r="D94" s="2212"/>
      <c r="E94" s="2212"/>
      <c r="F94" s="4259" t="s">
        <v>3167</v>
      </c>
      <c r="G94" s="4254"/>
      <c r="H94" s="2212"/>
      <c r="I94" s="2222"/>
    </row>
    <row r="95" spans="2:9">
      <c r="B95" s="2220"/>
      <c r="C95" s="921" t="s">
        <v>3294</v>
      </c>
      <c r="D95" s="2212"/>
      <c r="E95" s="2212"/>
      <c r="F95" s="4255">
        <f>+SUM(F92:G94)</f>
        <v>0</v>
      </c>
      <c r="G95" s="4255"/>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57"/>
      <c r="G98" s="4257"/>
      <c r="H98" s="2212"/>
      <c r="I98" s="2222"/>
    </row>
    <row r="99" spans="2:9">
      <c r="B99" s="2220"/>
      <c r="C99" s="941" t="s">
        <v>3297</v>
      </c>
      <c r="D99" s="2212"/>
      <c r="E99" s="2212"/>
      <c r="F99" s="4258"/>
      <c r="G99" s="4258"/>
      <c r="H99" s="2212"/>
      <c r="I99" s="2222"/>
    </row>
    <row r="100" spans="2:9">
      <c r="B100" s="2220"/>
      <c r="C100" s="941" t="s">
        <v>3298</v>
      </c>
      <c r="D100" s="2212"/>
      <c r="E100" s="2212"/>
      <c r="F100" s="4260"/>
      <c r="G100" s="4260"/>
      <c r="H100" s="2212"/>
      <c r="I100" s="2222"/>
    </row>
    <row r="101" spans="2:9">
      <c r="B101" s="2220"/>
      <c r="C101" s="921" t="s">
        <v>3299</v>
      </c>
      <c r="D101" s="2212"/>
      <c r="E101" s="2212"/>
      <c r="F101" s="4255">
        <f>+SUM(F98:G100)</f>
        <v>0</v>
      </c>
      <c r="G101" s="4255"/>
      <c r="H101" s="2212"/>
      <c r="I101" s="2222"/>
    </row>
    <row r="102" spans="2:9">
      <c r="B102" s="2220"/>
      <c r="C102" s="2212"/>
      <c r="D102" s="2212"/>
      <c r="E102" s="2212"/>
      <c r="F102" s="2212"/>
      <c r="G102" s="2212"/>
      <c r="H102" s="2212"/>
      <c r="I102" s="2222"/>
    </row>
    <row r="103" spans="2:9">
      <c r="B103" s="2263" t="s">
        <v>3300</v>
      </c>
      <c r="C103" s="941"/>
      <c r="D103" s="2212"/>
      <c r="E103" s="2212"/>
      <c r="F103" s="4254">
        <f>'Part III-Sources of Funds'!I46+'Part III-Sources of Funds'!I47</f>
        <v>0</v>
      </c>
      <c r="G103" s="4254"/>
      <c r="H103" s="2212"/>
      <c r="I103" s="2222"/>
    </row>
    <row r="104" spans="2:9">
      <c r="B104" s="2220"/>
      <c r="C104" s="2212"/>
      <c r="D104" s="2212"/>
      <c r="E104" s="2212"/>
      <c r="F104" s="2212"/>
      <c r="G104" s="2212"/>
      <c r="H104" s="2212"/>
      <c r="I104" s="2268" t="s">
        <v>3301</v>
      </c>
    </row>
    <row r="105" spans="2:9">
      <c r="B105" s="2223" t="s">
        <v>3302</v>
      </c>
      <c r="C105" s="2212"/>
      <c r="D105" s="2212"/>
      <c r="E105" s="2212"/>
      <c r="F105" s="4254">
        <f>+F103+F101+F95+F89</f>
        <v>36609310.023967102</v>
      </c>
      <c r="G105" s="4254"/>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00" t="s">
        <v>2750</v>
      </c>
      <c r="B5" s="4300"/>
      <c r="C5" s="4300"/>
      <c r="D5" s="4300"/>
      <c r="E5" s="4300"/>
      <c r="F5" s="4300"/>
      <c r="G5" s="4300"/>
      <c r="H5" s="4300"/>
      <c r="I5" s="4300"/>
      <c r="J5" s="4300"/>
      <c r="K5" s="4300"/>
      <c r="L5" s="4300"/>
      <c r="M5" s="4300"/>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6" t="s">
        <v>1906</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301" t="s">
        <v>4938</v>
      </c>
      <c r="B11" s="4301"/>
      <c r="C11" s="4301"/>
      <c r="D11" s="4301"/>
      <c r="E11" s="4301"/>
      <c r="F11" s="4301"/>
      <c r="G11" s="4301"/>
      <c r="H11" s="4301"/>
      <c r="I11" s="4301"/>
      <c r="J11" s="4301"/>
      <c r="K11" s="4301"/>
      <c r="L11" s="4301"/>
      <c r="M11" s="4301"/>
    </row>
    <row r="12" spans="1:26" ht="3" customHeight="1">
      <c r="A12" s="4296"/>
      <c r="B12" s="4296"/>
      <c r="C12" s="4296"/>
      <c r="D12" s="4296"/>
      <c r="E12" s="4296"/>
      <c r="F12" s="4296"/>
      <c r="G12" s="4296"/>
      <c r="H12" s="4296"/>
      <c r="I12" s="4296"/>
      <c r="J12" s="4296"/>
      <c r="K12" s="4296"/>
      <c r="L12" s="4296"/>
      <c r="M12" s="4296"/>
    </row>
    <row r="13" spans="1:26" ht="96" customHeight="1">
      <c r="A13" s="1225" t="s">
        <v>1737</v>
      </c>
      <c r="B13" s="4298" t="s">
        <v>3676</v>
      </c>
      <c r="C13" s="4298"/>
      <c r="D13" s="4298"/>
      <c r="E13" s="4298"/>
      <c r="F13" s="4298"/>
      <c r="G13" s="4298"/>
      <c r="H13" s="4298"/>
      <c r="I13" s="4298"/>
      <c r="J13" s="4298"/>
      <c r="K13" s="4298"/>
      <c r="L13" s="4298"/>
      <c r="M13" s="4298"/>
    </row>
    <row r="14" spans="1:26" ht="47.25" customHeight="1">
      <c r="A14" s="1225" t="s">
        <v>1738</v>
      </c>
      <c r="B14" s="4298" t="s">
        <v>3677</v>
      </c>
      <c r="C14" s="4298"/>
      <c r="D14" s="4298"/>
      <c r="E14" s="4298"/>
      <c r="F14" s="4298"/>
      <c r="G14" s="4298"/>
      <c r="H14" s="4298"/>
      <c r="I14" s="4298"/>
      <c r="J14" s="4298"/>
      <c r="K14" s="4298"/>
      <c r="L14" s="4298"/>
      <c r="M14" s="4298"/>
    </row>
    <row r="15" spans="1:26" ht="117" customHeight="1">
      <c r="A15" s="1225" t="s">
        <v>1739</v>
      </c>
      <c r="B15" s="4298" t="s">
        <v>3678</v>
      </c>
      <c r="C15" s="4298"/>
      <c r="D15" s="4298"/>
      <c r="E15" s="4298"/>
      <c r="F15" s="4298"/>
      <c r="G15" s="4298"/>
      <c r="H15" s="4298"/>
      <c r="I15" s="4298"/>
      <c r="J15" s="4298"/>
      <c r="K15" s="4298"/>
      <c r="L15" s="4298"/>
      <c r="M15" s="4298"/>
    </row>
    <row r="16" spans="1:26" ht="147" customHeight="1">
      <c r="A16" s="1225" t="s">
        <v>2365</v>
      </c>
      <c r="B16" s="4298" t="s">
        <v>3457</v>
      </c>
      <c r="C16" s="4298"/>
      <c r="D16" s="4298"/>
      <c r="E16" s="4298"/>
      <c r="F16" s="4298"/>
      <c r="G16" s="4298"/>
      <c r="H16" s="4298"/>
      <c r="I16" s="4298"/>
      <c r="J16" s="4298"/>
      <c r="K16" s="4298"/>
      <c r="L16" s="4298"/>
      <c r="M16" s="4298"/>
    </row>
    <row r="17" spans="1:13" ht="48.75" customHeight="1">
      <c r="A17" s="1225" t="s">
        <v>1549</v>
      </c>
      <c r="B17" s="4298" t="s">
        <v>683</v>
      </c>
      <c r="C17" s="4298"/>
      <c r="D17" s="4298"/>
      <c r="E17" s="4298"/>
      <c r="F17" s="4298"/>
      <c r="G17" s="4298"/>
      <c r="H17" s="4298"/>
      <c r="I17" s="4298"/>
      <c r="J17" s="4298"/>
      <c r="K17" s="4298"/>
      <c r="L17" s="4298"/>
      <c r="M17" s="4298"/>
    </row>
    <row r="18" spans="1:13" ht="165" customHeight="1">
      <c r="A18" s="1225" t="s">
        <v>1550</v>
      </c>
      <c r="B18" s="4298" t="s">
        <v>3456</v>
      </c>
      <c r="C18" s="4298"/>
      <c r="D18" s="4298"/>
      <c r="E18" s="4298"/>
      <c r="F18" s="4298"/>
      <c r="G18" s="4298"/>
      <c r="H18" s="4298"/>
      <c r="I18" s="4298"/>
      <c r="J18" s="4298"/>
      <c r="K18" s="4298"/>
      <c r="L18" s="4298"/>
      <c r="M18" s="4298"/>
    </row>
    <row r="19" spans="1:13" ht="48.75" customHeight="1">
      <c r="A19" s="1225" t="s">
        <v>98</v>
      </c>
      <c r="B19" s="4299" t="s">
        <v>3679</v>
      </c>
      <c r="C19" s="4299"/>
      <c r="D19" s="4299"/>
      <c r="E19" s="4299"/>
      <c r="F19" s="4299"/>
      <c r="G19" s="4299"/>
      <c r="H19" s="4299"/>
      <c r="I19" s="4299"/>
      <c r="J19" s="4299"/>
      <c r="K19" s="4299"/>
      <c r="L19" s="4299"/>
      <c r="M19" s="4299"/>
    </row>
    <row r="20" spans="1:13" ht="50.25" customHeight="1">
      <c r="A20" s="1225" t="s">
        <v>511</v>
      </c>
      <c r="B20" s="4298" t="s">
        <v>3459</v>
      </c>
      <c r="C20" s="4298"/>
      <c r="D20" s="4298"/>
      <c r="E20" s="4298"/>
      <c r="F20" s="4298"/>
      <c r="G20" s="4298"/>
      <c r="H20" s="4298"/>
      <c r="I20" s="4298"/>
      <c r="J20" s="4298"/>
      <c r="K20" s="4298"/>
      <c r="L20" s="4298"/>
      <c r="M20" s="4298"/>
    </row>
    <row r="21" spans="1:13" ht="31.5" customHeight="1">
      <c r="A21" s="1225" t="s">
        <v>512</v>
      </c>
      <c r="B21" s="4298" t="s">
        <v>3486</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1465</v>
      </c>
      <c r="B24" s="4296"/>
      <c r="C24" s="4296"/>
      <c r="D24" s="4296"/>
      <c r="E24" s="4296"/>
      <c r="F24" s="4296"/>
      <c r="G24" s="4296"/>
      <c r="H24" s="4296"/>
      <c r="I24" s="4296"/>
      <c r="J24" s="4296"/>
      <c r="K24" s="4296"/>
      <c r="L24" s="4296"/>
      <c r="M24" s="4296"/>
    </row>
    <row r="25" spans="1:13" ht="32.25" customHeight="1">
      <c r="A25" s="1225" t="s">
        <v>1466</v>
      </c>
      <c r="B25" s="4298" t="s">
        <v>3487</v>
      </c>
      <c r="C25" s="4298"/>
      <c r="D25" s="4298"/>
      <c r="E25" s="4298"/>
      <c r="F25" s="4298"/>
      <c r="G25" s="4298"/>
      <c r="H25" s="4298"/>
      <c r="I25" s="4298"/>
      <c r="J25" s="4298"/>
      <c r="K25" s="4298"/>
      <c r="L25" s="4298"/>
      <c r="M25" s="4298"/>
    </row>
    <row r="26" spans="1:13" ht="31.5" customHeight="1">
      <c r="A26" s="1225" t="s">
        <v>1466</v>
      </c>
      <c r="B26" s="4298" t="s">
        <v>3488</v>
      </c>
      <c r="C26" s="4298"/>
      <c r="D26" s="4298"/>
      <c r="E26" s="4298"/>
      <c r="F26" s="4298"/>
      <c r="G26" s="4298"/>
      <c r="H26" s="4298"/>
      <c r="I26" s="4298"/>
      <c r="J26" s="4298"/>
      <c r="K26" s="4298"/>
      <c r="L26" s="4298"/>
      <c r="M26" s="4298"/>
    </row>
    <row r="27" spans="1:13" ht="78.75" customHeight="1">
      <c r="A27" s="1225" t="s">
        <v>1466</v>
      </c>
      <c r="B27" s="4298" t="s">
        <v>2751</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946</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2752</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ht="16.5">
      <c r="A33" s="4296" t="s">
        <v>922</v>
      </c>
      <c r="B33" s="4296"/>
      <c r="C33" s="4296"/>
      <c r="D33" s="4296"/>
      <c r="E33" s="4296"/>
      <c r="F33" s="4296"/>
      <c r="G33" s="4296"/>
      <c r="H33" s="4296"/>
      <c r="I33" s="4296"/>
      <c r="J33" s="4296"/>
      <c r="K33" s="4296"/>
      <c r="L33" s="4296"/>
      <c r="M33" s="4296"/>
    </row>
    <row r="34" spans="1:13" ht="6" customHeight="1">
      <c r="A34" s="1262"/>
      <c r="B34" s="1262"/>
      <c r="C34" s="1262"/>
      <c r="D34" s="1262"/>
      <c r="E34" s="1262"/>
      <c r="F34" s="1262"/>
      <c r="G34" s="1262"/>
      <c r="H34" s="1262"/>
      <c r="I34" s="1262"/>
      <c r="J34" s="1262"/>
      <c r="K34" s="1262"/>
      <c r="L34" s="1262"/>
      <c r="M34" s="1262"/>
    </row>
    <row r="35" spans="1:13" ht="16.5">
      <c r="A35" s="4297"/>
      <c r="B35" s="4297"/>
      <c r="C35" s="4297"/>
      <c r="D35" s="4297"/>
      <c r="E35" s="4297"/>
      <c r="F35" s="4297"/>
      <c r="G35" s="1226"/>
      <c r="H35" s="4297"/>
      <c r="I35" s="4297"/>
      <c r="J35" s="4297"/>
      <c r="K35" s="4297"/>
      <c r="L35" s="4297"/>
      <c r="M35" s="4297"/>
    </row>
    <row r="36" spans="1:13" ht="12" customHeight="1">
      <c r="A36" s="4294" t="s">
        <v>923</v>
      </c>
      <c r="B36" s="4294"/>
      <c r="C36" s="4294"/>
      <c r="D36" s="4294"/>
      <c r="E36" s="4294"/>
      <c r="F36" s="4294"/>
      <c r="G36" s="1226"/>
      <c r="H36" s="4294" t="s">
        <v>1980</v>
      </c>
      <c r="I36" s="4294"/>
      <c r="J36" s="4294"/>
      <c r="K36" s="4294"/>
      <c r="L36" s="4294"/>
      <c r="M36" s="4294"/>
    </row>
    <row r="37" spans="1:13" ht="6" customHeight="1">
      <c r="A37" s="1226"/>
      <c r="B37" s="1226"/>
      <c r="C37" s="1226"/>
      <c r="D37" s="1226"/>
      <c r="E37" s="1226"/>
      <c r="F37" s="1226"/>
      <c r="G37" s="1226"/>
      <c r="H37" s="1226"/>
      <c r="I37" s="1226"/>
      <c r="J37" s="1226"/>
      <c r="K37" s="1226"/>
      <c r="L37" s="1226"/>
      <c r="M37" s="1226"/>
    </row>
    <row r="38" spans="1:13" ht="16.5">
      <c r="A38" s="4292"/>
      <c r="B38" s="4292"/>
      <c r="C38" s="4292"/>
      <c r="D38" s="4292"/>
      <c r="E38" s="4292"/>
      <c r="F38" s="4292"/>
      <c r="G38" s="1226"/>
      <c r="H38" s="4293"/>
      <c r="I38" s="4293"/>
      <c r="J38" s="4293"/>
      <c r="K38" s="4293"/>
      <c r="L38" s="4293"/>
      <c r="M38" s="4293"/>
    </row>
    <row r="39" spans="1:13" ht="12" customHeight="1">
      <c r="A39" s="4294" t="s">
        <v>924</v>
      </c>
      <c r="B39" s="4294"/>
      <c r="C39" s="4294"/>
      <c r="D39" s="4294"/>
      <c r="E39" s="4294"/>
      <c r="F39" s="4294"/>
      <c r="G39" s="1226"/>
      <c r="H39" s="4294" t="s">
        <v>925</v>
      </c>
      <c r="I39" s="4294"/>
      <c r="J39" s="4294"/>
      <c r="K39" s="4294"/>
      <c r="L39" s="4294"/>
      <c r="M39" s="4294"/>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295" t="s">
        <v>926</v>
      </c>
      <c r="I41" s="4295"/>
      <c r="J41" s="4295"/>
      <c r="K41" s="4295"/>
      <c r="L41" s="4295"/>
      <c r="M41" s="4295"/>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1" t="s">
        <v>721</v>
      </c>
      <c r="B2" s="4312"/>
      <c r="C2" s="4312"/>
      <c r="D2" s="4312"/>
      <c r="E2" s="4312"/>
      <c r="F2" s="4312"/>
      <c r="G2" s="4312"/>
      <c r="H2" s="4312"/>
      <c r="I2" s="4312"/>
      <c r="J2" s="4312"/>
      <c r="K2" s="4312"/>
      <c r="L2" s="4312"/>
      <c r="M2" s="4312"/>
      <c r="N2" s="4312"/>
      <c r="O2" s="4312"/>
      <c r="P2" s="4312"/>
      <c r="Q2" s="4312"/>
      <c r="R2" s="4313"/>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4" t="s">
        <v>3359</v>
      </c>
      <c r="G13" s="4315"/>
      <c r="H13" s="4315"/>
      <c r="I13" s="4315"/>
      <c r="J13" s="4316"/>
      <c r="K13" s="312"/>
      <c r="L13" s="654" t="s">
        <v>3579</v>
      </c>
      <c r="M13" s="312"/>
      <c r="N13" s="4314" t="s">
        <v>3359</v>
      </c>
      <c r="O13" s="4315"/>
      <c r="P13" s="4315"/>
      <c r="Q13" s="4315"/>
      <c r="R13" s="4316"/>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3946</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3947</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3947</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3846</v>
      </c>
      <c r="C77" s="190"/>
      <c r="D77" s="190"/>
      <c r="E77" s="187"/>
      <c r="F77" s="192" t="s">
        <v>3479</v>
      </c>
      <c r="G77" s="190"/>
      <c r="H77" s="187"/>
      <c r="I77" s="187"/>
      <c r="J77" s="190" t="s">
        <v>1200</v>
      </c>
      <c r="K77" s="190"/>
      <c r="L77" s="190"/>
      <c r="M77" s="190"/>
      <c r="N77" s="190"/>
      <c r="O77" s="190"/>
      <c r="P77" s="187"/>
      <c r="Q77" s="4303">
        <v>1000</v>
      </c>
      <c r="R77" s="4304"/>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03">
        <v>500</v>
      </c>
      <c r="R78" s="4304"/>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303">
        <v>1500</v>
      </c>
      <c r="R79" s="4304"/>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303">
        <v>1500</v>
      </c>
      <c r="R80" s="4304"/>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303">
        <v>1500</v>
      </c>
      <c r="R81" s="4304"/>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303">
        <v>1500</v>
      </c>
      <c r="R82" s="4304"/>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303">
        <v>6500</v>
      </c>
      <c r="R83" s="4304"/>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303">
        <v>5500</v>
      </c>
      <c r="R84" s="4304"/>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03">
        <v>5000</v>
      </c>
      <c r="R85" s="4304"/>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303">
        <v>500</v>
      </c>
      <c r="R86" s="4304"/>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303">
        <v>1500</v>
      </c>
      <c r="R87" s="4304"/>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5">
        <v>0.08</v>
      </c>
      <c r="R88" s="4305"/>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5">
        <v>0.08</v>
      </c>
      <c r="R89" s="4305"/>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303">
        <v>3000</v>
      </c>
      <c r="R90" s="4304"/>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303">
        <v>1500</v>
      </c>
      <c r="R91" s="4304"/>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03">
        <v>800</v>
      </c>
      <c r="R92" s="4304"/>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303">
        <v>1000</v>
      </c>
      <c r="R93" s="4304"/>
      <c r="S93" s="314"/>
      <c r="T93" s="314"/>
      <c r="U93" s="314"/>
      <c r="AA93" s="585"/>
      <c r="AB93" s="585"/>
    </row>
    <row r="94" spans="1:28" s="302" customFormat="1" ht="11.45" customHeight="1">
      <c r="A94" s="190"/>
      <c r="B94" s="190"/>
      <c r="C94" s="190"/>
      <c r="D94" s="187"/>
      <c r="E94" s="187"/>
      <c r="H94" s="192" t="s">
        <v>2682</v>
      </c>
      <c r="I94" s="325"/>
      <c r="J94" s="192" t="s">
        <v>1530</v>
      </c>
      <c r="K94" s="192" t="s">
        <v>3882</v>
      </c>
      <c r="L94" s="192"/>
      <c r="M94" s="192"/>
      <c r="N94" s="192"/>
      <c r="O94" s="192"/>
      <c r="P94" s="325"/>
      <c r="Q94" s="4303">
        <v>800</v>
      </c>
      <c r="R94" s="4304"/>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03">
        <v>1500</v>
      </c>
      <c r="R95" s="4304"/>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303">
        <v>3000</v>
      </c>
      <c r="R97" s="4304"/>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03">
        <v>75</v>
      </c>
      <c r="R98" s="4304"/>
      <c r="S98" s="314"/>
      <c r="T98" s="314"/>
      <c r="U98" s="314"/>
      <c r="AA98" s="585"/>
      <c r="AB98" s="585"/>
    </row>
    <row r="99" spans="1:28" s="302" customFormat="1" ht="13.5">
      <c r="A99" s="190"/>
      <c r="B99" s="190" t="s">
        <v>1862</v>
      </c>
      <c r="C99" s="190"/>
      <c r="D99" s="1351" t="s">
        <v>3948</v>
      </c>
      <c r="E99" s="187"/>
      <c r="F99" s="190"/>
      <c r="G99" s="190"/>
      <c r="H99" s="190"/>
      <c r="I99" s="187"/>
      <c r="J99" s="190" t="s">
        <v>1730</v>
      </c>
      <c r="K99" s="190"/>
      <c r="L99" s="190"/>
      <c r="M99" s="190"/>
      <c r="N99" s="190"/>
      <c r="O99" s="190"/>
      <c r="P99" s="187"/>
      <c r="Q99" s="4308">
        <v>1800000</v>
      </c>
      <c r="R99" s="4309"/>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08">
        <v>3500000</v>
      </c>
      <c r="R100" s="4309"/>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06">
        <v>0.15</v>
      </c>
      <c r="R101" s="4307"/>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06">
        <v>0.15</v>
      </c>
      <c r="R102" s="4307"/>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06">
        <v>0.15</v>
      </c>
      <c r="R103" s="4307"/>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06">
        <v>0.15</v>
      </c>
      <c r="R104" s="4307"/>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06">
        <v>0.15</v>
      </c>
      <c r="R105" s="4307"/>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06">
        <v>0.15</v>
      </c>
      <c r="R106" s="4307"/>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06" t="s">
        <v>2373</v>
      </c>
      <c r="R107" s="4307"/>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03">
        <v>3000</v>
      </c>
      <c r="R113" s="4304"/>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5">
        <v>0.02</v>
      </c>
      <c r="R121" s="4305"/>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5">
        <v>7.0000000000000007E-2</v>
      </c>
      <c r="R122" s="4305"/>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5">
        <v>7.0000000000000007E-2</v>
      </c>
      <c r="R123" s="4305"/>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5">
        <v>0.03</v>
      </c>
      <c r="R124" s="4305"/>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5">
        <v>0.03</v>
      </c>
      <c r="R125" s="4305"/>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5">
        <v>0</v>
      </c>
      <c r="R126" s="430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5">
        <v>0.1</v>
      </c>
      <c r="R128" s="4305"/>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02">
        <v>1000000</v>
      </c>
      <c r="R129" s="4302"/>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02">
        <v>1500000</v>
      </c>
      <c r="R130" s="4302"/>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02">
        <v>375000</v>
      </c>
      <c r="R131" s="4302"/>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02"/>
      <c r="R132" s="4302"/>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3944</v>
      </c>
      <c r="K133" s="190"/>
      <c r="L133" s="190"/>
      <c r="M133" s="190"/>
      <c r="N133" s="190"/>
      <c r="O133" s="190"/>
      <c r="P133" s="187"/>
      <c r="Q133" s="4302">
        <v>4000000</v>
      </c>
      <c r="R133" s="4302"/>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4733</v>
      </c>
      <c r="K136" s="190"/>
      <c r="L136" s="190"/>
      <c r="M136" s="190"/>
      <c r="N136" s="190"/>
      <c r="O136" s="190"/>
      <c r="P136" s="187"/>
      <c r="Q136" s="4305">
        <v>0.35</v>
      </c>
      <c r="R136" s="4305"/>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5" t="s">
        <v>2820</v>
      </c>
      <c r="R137" s="4305"/>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5">
        <v>0.05</v>
      </c>
      <c r="R139" s="4305"/>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5">
        <v>0.4</v>
      </c>
      <c r="R140" s="4305"/>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5">
        <v>0.02</v>
      </c>
      <c r="R141" s="4305"/>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0" t="s">
        <v>4179</v>
      </c>
      <c r="E154" s="314"/>
      <c r="F154" s="314"/>
    </row>
    <row r="155" spans="2:30" ht="10.5" customHeight="1">
      <c r="C155" s="4310"/>
      <c r="E155" s="314"/>
      <c r="F155" s="314"/>
    </row>
    <row r="156" spans="2:30" ht="10.5" customHeight="1">
      <c r="C156" s="4310"/>
      <c r="D156" s="1524"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4292</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4293</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4294</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4295</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4296</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4297</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4298</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4299</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4300</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4301</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4302</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4303</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4304</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4305</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4306</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4307</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4308</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4309</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4310</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4311</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4312</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4313</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4314</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4315</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4316</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4317</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4318</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4319</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4320</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4321</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4322</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4323</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4324</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4325</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4326</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4327</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4328</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4329</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4330</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4331</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4332</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4333</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4334</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4335</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4336</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4337</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4338</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4339</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4340</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4341</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4342</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4343</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4344</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4345</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4346</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4347</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4348</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4349</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4350</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4351</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4352</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4353</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4354</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4355</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4356</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4357</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4358</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4359</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4360</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4361</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4362</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4363</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4364</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4365</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4366</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4367</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4368</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4369</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4370</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4371</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4372</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4373</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4374</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4375</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4376</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4377</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4378</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4379</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4380</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4381</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4382</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4383</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4384</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4385</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4386</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4387</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4388</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4389</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4390</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4391</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4392</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4393</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4394</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4395</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4396</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4397</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4398</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4399</v>
      </c>
      <c r="P265" s="642" t="s">
        <v>2328</v>
      </c>
      <c r="Q265" s="323"/>
      <c r="R265" s="190"/>
      <c r="S265" s="448"/>
      <c r="T265" s="572" t="s">
        <v>4741</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4400</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4401</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4402</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4403</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4404</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4405</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4406</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4407</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4408</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4409</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4410</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4411</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4412</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4413</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4414</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4415</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4416</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4417</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4418</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4419</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4420</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4421</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4422</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4423</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4424</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4425</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4426</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4427</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4428</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4429</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4430</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4431</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4432</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4433</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4434</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4435</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4436</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4437</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4438</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4439</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4440</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4441</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4442</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4443</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4444</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4445</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4446</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4447</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4448</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4449</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4450</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4451</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6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Somersby</v>
      </c>
    </row>
    <row r="3" spans="1:1" ht="16.5">
      <c r="A3" s="1644" t="str">
        <f>CONCATENATE('Part I-Project Information'!F38,", ", 'Part I-Project Information'!J39," County")</f>
        <v>College Park, Fulton County</v>
      </c>
    </row>
    <row r="5" spans="1:1" ht="12.75" customHeight="1">
      <c r="A5" s="1682" t="str">
        <f>'Project Narrative'!$A$5</f>
        <v>Prestwick will develop a market quality product consistent with Brightstone and Gateway Capitol View located in College Park in Clayton County. The family development  (64 one bedroom, 120 two bedroom, and 60 three bedroom units). 
All units will be located in multiple 3 story walkup buildings. The buildings' attractive, modern exteriors will consist of brick or stone complemented by hardi-plank façade providing maximum architectural appeal.  For the enjoyment and convenience of all residents, central common areas will include a community room, fitness center, business center with computer stations, wellness room, community garden, playground, interior gathering areas and a laundry room. We will also offer an outdoor gazebo/picnic area and other green space.  Resident activities will be ongoing and designed to meet the needs of the changing community.  
Also one of the major attributes of the new development is it’s location.  Somersby is located near the airport which is a major job center for the area, and is next door to the Northcutt Elementary and North Clayton Middle Schools. There is also a SunTrust Bank and a grocery store across the street. The development is also 0.26 miles from a local bus stop.</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4460</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5136</v>
      </c>
      <c r="H28" s="1647"/>
      <c r="I28" s="1647"/>
      <c r="J28" s="1647"/>
      <c r="K28" s="1647"/>
      <c r="L28" s="1651"/>
      <c r="M28" s="1647"/>
      <c r="N28" s="1647"/>
      <c r="O28" s="1647"/>
      <c r="P28" s="1657" t="s">
        <v>3869</v>
      </c>
    </row>
    <row r="29" spans="1:16" ht="14.25" customHeight="1">
      <c r="A29" s="1647"/>
      <c r="B29" s="2718" t="str">
        <f>'Part I-Project Information'!B6</f>
        <v>May 2019 Final</v>
      </c>
      <c r="C29" s="2718">
        <f>'Part I-Project Information'!C6</f>
        <v>0</v>
      </c>
      <c r="D29" s="2718">
        <f>'Part I-Project Information'!D6</f>
        <v>0</v>
      </c>
      <c r="E29" s="1636"/>
      <c r="F29" s="1651"/>
      <c r="G29" s="1649" t="s">
        <v>5137</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3797</v>
      </c>
      <c r="G32" s="1647"/>
      <c r="H32" s="1647"/>
      <c r="I32" s="1655">
        <f>'Part I-Project Information'!I9</f>
        <v>1731867</v>
      </c>
      <c r="J32" s="1655">
        <f>'Part I-Project Information'!J9</f>
        <v>0</v>
      </c>
      <c r="K32" s="1647"/>
      <c r="L32" s="1647" t="s">
        <v>3798</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3714</v>
      </c>
      <c r="J34" s="1647" t="s">
        <v>5138</v>
      </c>
      <c r="K34" s="1647"/>
      <c r="L34" s="1651"/>
      <c r="M34" s="1647"/>
      <c r="N34" s="1647"/>
      <c r="O34" s="1647" t="str">
        <f>'Part I-Project Information'!$O$11</f>
        <v>2019PA-552</v>
      </c>
      <c r="P34" s="1647"/>
    </row>
    <row r="35" spans="1:16" ht="13.5">
      <c r="A35" s="1651"/>
      <c r="B35" s="1665"/>
      <c r="C35" s="1665"/>
      <c r="D35" s="1665"/>
      <c r="E35" s="1665"/>
      <c r="F35" s="1647"/>
      <c r="G35" s="1647"/>
      <c r="H35" s="1651"/>
      <c r="I35" s="1647"/>
      <c r="J35" s="1649" t="s">
        <v>5091</v>
      </c>
      <c r="K35" s="1654"/>
      <c r="L35" s="1647"/>
      <c r="M35" s="1651"/>
      <c r="N35" s="1647"/>
      <c r="O35" s="1647" t="str">
        <f>'Part I-Project Information'!$O$12</f>
        <v>Yes - see Comment</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5051</v>
      </c>
      <c r="C37" s="1665"/>
      <c r="D37" s="1665"/>
      <c r="E37" s="1665"/>
      <c r="F37" s="1729" t="str">
        <f>'Part I-Project Information'!F14</f>
        <v>No</v>
      </c>
      <c r="G37" s="1654" t="s">
        <v>5052</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3870</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5038</v>
      </c>
      <c r="M38" s="1647"/>
      <c r="N38" s="1647"/>
      <c r="O38" s="1647">
        <f>'Part I-Project Information'!O15</f>
        <v>0</v>
      </c>
      <c r="P38" s="1647">
        <f>'Part I-Project Information'!P15</f>
        <v>0</v>
      </c>
    </row>
    <row r="39" spans="1:16" ht="13.5">
      <c r="A39" s="1651"/>
      <c r="B39" s="1647" t="s">
        <v>3796</v>
      </c>
      <c r="C39" s="1647"/>
      <c r="D39" s="1647"/>
      <c r="E39" s="1647"/>
      <c r="F39" s="1729" t="str">
        <f>'Part I-Project Information'!F16</f>
        <v>No</v>
      </c>
      <c r="G39" s="1647" t="s">
        <v>5039</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4480</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3879</v>
      </c>
      <c r="C43" s="1647"/>
      <c r="D43" s="1647"/>
      <c r="E43" s="1647"/>
      <c r="F43" s="1647" t="str">
        <f>'Part I-Project Information'!F20</f>
        <v>Prestwick Development Company</v>
      </c>
      <c r="G43" s="1647">
        <f>'Part I-Project Information'!G20</f>
        <v>0</v>
      </c>
      <c r="H43" s="1647">
        <f>'Part I-Project Information'!H20</f>
        <v>0</v>
      </c>
      <c r="I43" s="1647" t="s">
        <v>1797</v>
      </c>
      <c r="J43" s="1647" t="str">
        <f>'Part I-Project Information'!J20</f>
        <v>Wiley A. Tucker, III</v>
      </c>
      <c r="K43" s="1647">
        <f>'Part I-Project Information'!K20</f>
        <v>0</v>
      </c>
      <c r="L43" s="1647">
        <f>'Part I-Project Information'!L20</f>
        <v>0</v>
      </c>
      <c r="M43" s="1654" t="s">
        <v>1980</v>
      </c>
      <c r="N43" s="1647" t="str">
        <f>'Part I-Project Information'!N20</f>
        <v>Manager</v>
      </c>
      <c r="O43" s="1647">
        <f>'Part I-Project Information'!O20</f>
        <v>0</v>
      </c>
      <c r="P43" s="1647">
        <f>'Part I-Project Information'!P20</f>
        <v>0</v>
      </c>
    </row>
    <row r="44" spans="1:16" ht="12.75" customHeight="1">
      <c r="A44" s="1647"/>
      <c r="B44" s="1654" t="s">
        <v>1981</v>
      </c>
      <c r="C44" s="1647"/>
      <c r="D44" s="1647"/>
      <c r="E44" s="1647"/>
      <c r="F44" s="1647" t="str">
        <f>'Part I-Project Information'!F21</f>
        <v>3715 Northside Parkway Bldg 200 Ste 175</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c r="A45" s="1647"/>
      <c r="B45" s="1654" t="s">
        <v>618</v>
      </c>
      <c r="C45" s="1647"/>
      <c r="D45" s="1647"/>
      <c r="E45" s="1647"/>
      <c r="F45" s="1647" t="str">
        <f>'Part I-Project Information'!F22</f>
        <v>Atlanta</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c r="A46" s="1647"/>
      <c r="B46" s="1654" t="s">
        <v>2229</v>
      </c>
      <c r="C46" s="1647"/>
      <c r="D46" s="1647"/>
      <c r="E46" s="1647"/>
      <c r="F46" s="2115">
        <f>'Part I-Project Information'!F23</f>
        <v>303272800</v>
      </c>
      <c r="G46" s="2115">
        <f>'Part I-Project Information'!G23</f>
        <v>0</v>
      </c>
      <c r="H46" s="2115">
        <f>'Part I-Project Information'!H23</f>
        <v>0</v>
      </c>
      <c r="I46" s="1654" t="s">
        <v>1720</v>
      </c>
      <c r="J46" s="2116">
        <f>'Part I-Project Information'!J23</f>
        <v>4049493871</v>
      </c>
      <c r="K46" s="2116">
        <f>'Part I-Project Information'!K23</f>
        <v>0</v>
      </c>
      <c r="L46" s="1651" t="s">
        <v>1719</v>
      </c>
      <c r="M46" s="1651">
        <f>'Part I-Project Information'!M23</f>
        <v>0</v>
      </c>
      <c r="N46" s="1654" t="s">
        <v>1721</v>
      </c>
      <c r="O46" s="2116">
        <f>'Part I-Project Information'!O23</f>
        <v>4049493871</v>
      </c>
      <c r="P46" s="2116">
        <f>'Part I-Project Information'!P23</f>
        <v>0</v>
      </c>
    </row>
    <row r="47" spans="1:16">
      <c r="A47" s="1647"/>
      <c r="B47" s="1654" t="s">
        <v>1984</v>
      </c>
      <c r="C47" s="1647"/>
      <c r="D47" s="1647"/>
      <c r="E47" s="1647"/>
      <c r="F47" s="1647" t="str">
        <f>'Part I-Project Information'!F24</f>
        <v>jody@prestwickcompanies.com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4049663824</v>
      </c>
      <c r="P47" s="2116">
        <f>'Part I-Project Information'!P24</f>
        <v>0</v>
      </c>
    </row>
    <row r="48" spans="1:16">
      <c r="A48" s="1651"/>
      <c r="B48" s="1647" t="s">
        <v>4479</v>
      </c>
      <c r="C48" s="1653"/>
      <c r="D48" s="1647"/>
      <c r="E48" s="1647"/>
      <c r="F48" s="1647"/>
      <c r="G48" s="1647"/>
      <c r="H48" s="1651"/>
      <c r="I48" s="1647"/>
      <c r="J48" s="1653"/>
      <c r="K48" s="1647"/>
      <c r="L48" s="1647"/>
      <c r="M48" s="1647"/>
      <c r="N48" s="1647"/>
      <c r="O48" s="1647"/>
      <c r="P48" s="1660"/>
    </row>
    <row r="49" spans="1:16">
      <c r="A49" s="1647"/>
      <c r="B49" s="1647" t="s">
        <v>3879</v>
      </c>
      <c r="C49" s="1647"/>
      <c r="D49" s="1647"/>
      <c r="E49" s="1647"/>
      <c r="F49" s="1647" t="str">
        <f>'Part I-Project Information'!F26</f>
        <v>Prestwick Development Company</v>
      </c>
      <c r="G49" s="1647">
        <f>'Part I-Project Information'!G26</f>
        <v>0</v>
      </c>
      <c r="H49" s="1647">
        <f>'Part I-Project Information'!H26</f>
        <v>0</v>
      </c>
      <c r="I49" s="1647" t="s">
        <v>1797</v>
      </c>
      <c r="J49" s="1647" t="str">
        <f>'Part I-Project Information'!J26</f>
        <v>Edrick Harris</v>
      </c>
      <c r="K49" s="1647">
        <f>'Part I-Project Information'!K26</f>
        <v>0</v>
      </c>
      <c r="L49" s="1647">
        <f>'Part I-Project Information'!L26</f>
        <v>0</v>
      </c>
      <c r="M49" s="1654" t="s">
        <v>1980</v>
      </c>
      <c r="N49" s="1647" t="str">
        <f>'Part I-Project Information'!N26</f>
        <v>SVP - Partner</v>
      </c>
      <c r="O49" s="1647">
        <f>'Part I-Project Information'!O26</f>
        <v>0</v>
      </c>
      <c r="P49" s="1647">
        <f>'Part I-Project Information'!P26</f>
        <v>0</v>
      </c>
    </row>
    <row r="50" spans="1:16" ht="12.75" customHeight="1">
      <c r="A50" s="1647"/>
      <c r="B50" s="1654" t="s">
        <v>1981</v>
      </c>
      <c r="C50" s="1647"/>
      <c r="D50" s="1647"/>
      <c r="E50" s="1647"/>
      <c r="F50" s="1647" t="str">
        <f>'Part I-Project Information'!F27</f>
        <v>3715 Northside Parkway Bldg 200 Ste 175</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c r="A51" s="1647"/>
      <c r="B51" s="1654" t="s">
        <v>618</v>
      </c>
      <c r="C51" s="1647"/>
      <c r="D51" s="1647"/>
      <c r="E51" s="1647"/>
      <c r="F51" s="1647" t="str">
        <f>'Part I-Project Information'!F28</f>
        <v>Atlanta</v>
      </c>
      <c r="G51" s="1647">
        <f>'Part I-Project Information'!G28</f>
        <v>0</v>
      </c>
      <c r="H51" s="1647">
        <f>'Part I-Project Information'!H28</f>
        <v>0</v>
      </c>
      <c r="I51" s="1654" t="s">
        <v>1799</v>
      </c>
      <c r="J51" s="1680" t="str">
        <f>'Part I-Project Information'!J28</f>
        <v>GA</v>
      </c>
      <c r="K51" s="1647"/>
      <c r="L51" s="1647"/>
      <c r="M51" s="1659"/>
      <c r="N51" s="1659"/>
      <c r="O51" s="1659"/>
      <c r="P51" s="1659"/>
    </row>
    <row r="52" spans="1:16">
      <c r="A52" s="1647"/>
      <c r="B52" s="1654" t="s">
        <v>2229</v>
      </c>
      <c r="C52" s="1647"/>
      <c r="D52" s="1647"/>
      <c r="E52" s="1647"/>
      <c r="F52" s="2115">
        <f>'Part I-Project Information'!F29</f>
        <v>303272800</v>
      </c>
      <c r="G52" s="2115">
        <f>'Part I-Project Information'!G29</f>
        <v>0</v>
      </c>
      <c r="H52" s="2115">
        <f>'Part I-Project Information'!H29</f>
        <v>0</v>
      </c>
      <c r="I52" s="1654" t="s">
        <v>1720</v>
      </c>
      <c r="J52" s="2116">
        <f>'Part I-Project Information'!J29</f>
        <v>6787050738</v>
      </c>
      <c r="K52" s="2116">
        <f>'Part I-Project Information'!K29</f>
        <v>0</v>
      </c>
      <c r="L52" s="1651" t="s">
        <v>1719</v>
      </c>
      <c r="M52" s="1651">
        <f>'Part I-Project Information'!M29</f>
        <v>0</v>
      </c>
      <c r="N52" s="1654" t="s">
        <v>1721</v>
      </c>
      <c r="O52" s="2116">
        <f>'Part I-Project Information'!O29</f>
        <v>6787050738</v>
      </c>
      <c r="P52" s="2116">
        <f>'Part I-Project Information'!P29</f>
        <v>0</v>
      </c>
    </row>
    <row r="53" spans="1:16">
      <c r="A53" s="1647"/>
      <c r="B53" s="1654" t="s">
        <v>1984</v>
      </c>
      <c r="C53" s="1647"/>
      <c r="D53" s="1647"/>
      <c r="E53" s="1647"/>
      <c r="F53" s="1647" t="str">
        <f>'Part I-Project Information'!F30</f>
        <v>edrick@prestwickcompanies.com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4043177597</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Somersby</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5391 W. Fayetteville Road</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c r="A59" s="1657"/>
      <c r="B59" s="1647" t="s">
        <v>5092</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3681</v>
      </c>
      <c r="P59" s="1651">
        <f>'Part I-Project Information'!P36</f>
        <v>0</v>
      </c>
    </row>
    <row r="60" spans="1:16">
      <c r="A60" s="1657"/>
      <c r="B60" s="1647" t="s">
        <v>3735</v>
      </c>
      <c r="C60" s="1647"/>
      <c r="D60" s="1657"/>
      <c r="E60" s="1647"/>
      <c r="F60" s="1647" t="s">
        <v>3716</v>
      </c>
      <c r="G60" s="2117">
        <f>'Part I-Project Information'!G37</f>
        <v>33.608725999999997</v>
      </c>
      <c r="H60" s="2117">
        <f>'Part I-Project Information'!H37</f>
        <v>0</v>
      </c>
      <c r="I60" s="1651" t="s">
        <v>3717</v>
      </c>
      <c r="J60" s="2117">
        <f>'Part I-Project Information'!J37</f>
        <v>-84.446800999999994</v>
      </c>
      <c r="K60" s="2117">
        <f>'Part I-Project Information'!K37</f>
        <v>0</v>
      </c>
      <c r="L60" s="1654" t="s">
        <v>2283</v>
      </c>
      <c r="M60" s="1647"/>
      <c r="N60" s="1647"/>
      <c r="O60" s="2118">
        <f>'Part I-Project Information'!O37</f>
        <v>7.76</v>
      </c>
      <c r="P60" s="2118">
        <f>'Part I-Project Information'!P37</f>
        <v>0</v>
      </c>
    </row>
    <row r="61" spans="1:16" ht="16.5">
      <c r="A61" s="1651"/>
      <c r="B61" s="1647" t="s">
        <v>618</v>
      </c>
      <c r="C61" s="1647"/>
      <c r="D61" s="1647"/>
      <c r="E61" s="1647"/>
      <c r="F61" s="1647" t="str">
        <f>'Part I-Project Information'!F38</f>
        <v>College Park</v>
      </c>
      <c r="G61" s="1647">
        <f>'Part I-Project Information'!G38</f>
        <v>0</v>
      </c>
      <c r="H61" s="1647">
        <f>'Part I-Project Information'!H38</f>
        <v>0</v>
      </c>
      <c r="I61" s="1661" t="s">
        <v>5139</v>
      </c>
      <c r="J61" s="2115">
        <f>'Part I-Project Information'!J38</f>
        <v>303495405</v>
      </c>
      <c r="K61" s="2115">
        <f>'Part I-Project Information'!K38</f>
        <v>0</v>
      </c>
      <c r="L61" s="1647" t="str">
        <f>IF(AND(NOT(F57=""),NOT(F61="Select from list"),J61=""),"Enter Zip!","")</f>
        <v/>
      </c>
      <c r="M61" s="1662" t="s">
        <v>2906</v>
      </c>
      <c r="N61" s="1647"/>
      <c r="O61" s="2119" t="str">
        <f>'Part I-Project Information'!O38</f>
        <v>402.03</v>
      </c>
      <c r="P61" s="2120">
        <f>'Part I-Project Information'!P38</f>
        <v>0</v>
      </c>
    </row>
    <row r="62" spans="1:16">
      <c r="A62" s="1651"/>
      <c r="B62" s="1647" t="s">
        <v>3568</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Fulton</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5140</v>
      </c>
      <c r="D65" s="1647"/>
      <c r="E65" s="1647"/>
      <c r="F65" s="1665" t="s">
        <v>2762</v>
      </c>
      <c r="G65" s="1665"/>
      <c r="H65" s="1647" t="s">
        <v>736</v>
      </c>
      <c r="I65" s="1647"/>
      <c r="J65" s="1647" t="s">
        <v>737</v>
      </c>
      <c r="K65" s="1647"/>
      <c r="L65" s="1787" t="s">
        <v>5141</v>
      </c>
      <c r="M65" s="1647"/>
      <c r="N65" s="1647"/>
      <c r="O65" s="1647"/>
      <c r="P65" s="1647"/>
    </row>
    <row r="66" spans="1:16">
      <c r="A66" s="1651"/>
      <c r="B66" s="1647" t="s">
        <v>5093</v>
      </c>
      <c r="C66" s="1647"/>
      <c r="D66" s="1647"/>
      <c r="E66" s="1647"/>
      <c r="F66" s="2121">
        <f>'Part I-Project Information'!F43</f>
        <v>5</v>
      </c>
      <c r="G66" s="2121">
        <f>'Part I-Project Information'!G43</f>
        <v>0</v>
      </c>
      <c r="H66" s="2121">
        <f>'Part I-Project Information'!H43</f>
        <v>34</v>
      </c>
      <c r="I66" s="2121">
        <f>'Part I-Project Information'!I43</f>
        <v>0</v>
      </c>
      <c r="J66" s="2121">
        <f>'Part I-Project Information'!J43</f>
        <v>60</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College Park</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collegeparkga.com</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Bianca Motley Broom</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3667 Main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College Park</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303372614</v>
      </c>
      <c r="G72" s="2115">
        <f>'Part I-Project Information'!G49</f>
        <v>0</v>
      </c>
      <c r="H72" s="1651" t="s">
        <v>1982</v>
      </c>
      <c r="I72" s="2116">
        <f>'Part I-Project Information'!I49</f>
        <v>4047671537</v>
      </c>
      <c r="J72" s="2116">
        <f>'Part I-Project Information'!J49</f>
        <v>0</v>
      </c>
      <c r="K72" s="2116">
        <f>'Part I-Project Information'!K49</f>
        <v>0</v>
      </c>
      <c r="L72" s="1654" t="s">
        <v>1800</v>
      </c>
      <c r="M72" s="1779" t="str">
        <f>'Part I-Project Information'!M49</f>
        <v>bmotleybroom@collegeparkga.com</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5094</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244</v>
      </c>
      <c r="I77" s="1653"/>
      <c r="J77" s="1653"/>
      <c r="K77" s="1654" t="s">
        <v>3673</v>
      </c>
      <c r="L77" s="1647"/>
      <c r="M77" s="1673" t="s">
        <v>3672</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Yes</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3564</v>
      </c>
      <c r="J83" s="1657" t="s">
        <v>2115</v>
      </c>
      <c r="K83" s="1653" t="s">
        <v>2302</v>
      </c>
      <c r="L83" s="1647"/>
      <c r="M83" s="1647"/>
      <c r="N83" s="1647"/>
      <c r="O83" s="1647"/>
      <c r="P83" s="1651"/>
    </row>
    <row r="84" spans="1:16">
      <c r="A84" s="1651"/>
      <c r="B84" s="1680"/>
      <c r="C84" s="1653" t="s">
        <v>2277</v>
      </c>
      <c r="D84" s="1647"/>
      <c r="E84" s="1647"/>
      <c r="F84" s="1647"/>
      <c r="G84" s="1647"/>
      <c r="H84" s="1681">
        <f>SUM(H85:H91)</f>
        <v>244</v>
      </c>
      <c r="I84" s="1681">
        <f>SUM(I85:I91)</f>
        <v>0</v>
      </c>
      <c r="J84" s="1651"/>
      <c r="K84" s="1653" t="s">
        <v>2773</v>
      </c>
      <c r="L84" s="1647"/>
      <c r="M84" s="1647"/>
      <c r="N84" s="1647"/>
      <c r="O84" s="1647"/>
      <c r="P84" s="1681">
        <f>SUM(P85:P91)</f>
        <v>224252</v>
      </c>
    </row>
    <row r="85" spans="1:16">
      <c r="A85" s="1651"/>
      <c r="B85" s="1680"/>
      <c r="C85" s="1653"/>
      <c r="D85" s="1665" t="s">
        <v>4714</v>
      </c>
      <c r="E85" s="1647"/>
      <c r="F85" s="1647"/>
      <c r="G85" s="1647"/>
      <c r="H85" s="1681">
        <f>'Part VI-Revenues &amp; Expenses'!$O$56</f>
        <v>24</v>
      </c>
      <c r="I85" s="1681">
        <f>'Part VI-Revenues &amp; Expenses'!$O$81</f>
        <v>0</v>
      </c>
      <c r="J85" s="1651"/>
      <c r="K85" s="1653"/>
      <c r="L85" s="1665" t="s">
        <v>4714</v>
      </c>
      <c r="M85" s="1647"/>
      <c r="N85" s="1647"/>
      <c r="O85" s="1647"/>
      <c r="P85" s="1681">
        <f>'Part VI-Revenues &amp; Expenses'!$O$145</f>
        <v>22164</v>
      </c>
    </row>
    <row r="86" spans="1:16">
      <c r="A86" s="1651"/>
      <c r="B86" s="1680"/>
      <c r="C86" s="1653"/>
      <c r="D86" s="1665" t="s">
        <v>4715</v>
      </c>
      <c r="E86" s="1647"/>
      <c r="F86" s="1647"/>
      <c r="G86" s="1647"/>
      <c r="H86" s="1681">
        <f>'Part VI-Revenues &amp; Expenses'!$O$57</f>
        <v>0</v>
      </c>
      <c r="I86" s="1681">
        <f>'Part VI-Revenues &amp; Expenses'!$O$82</f>
        <v>0</v>
      </c>
      <c r="J86" s="1651"/>
      <c r="K86" s="1653"/>
      <c r="L86" s="1665" t="s">
        <v>4715</v>
      </c>
      <c r="M86" s="1647"/>
      <c r="N86" s="1647"/>
      <c r="O86" s="1647"/>
      <c r="P86" s="1681">
        <f>'Part VI-Revenues &amp; Expenses'!$O$146</f>
        <v>0</v>
      </c>
    </row>
    <row r="87" spans="1:16">
      <c r="A87" s="1651"/>
      <c r="B87" s="1653"/>
      <c r="C87" s="1647"/>
      <c r="D87" s="1665" t="s">
        <v>4712</v>
      </c>
      <c r="E87" s="1665"/>
      <c r="F87" s="1647"/>
      <c r="G87" s="1647"/>
      <c r="H87" s="1681">
        <f>'Part VI-Revenues &amp; Expenses'!$O$58</f>
        <v>172</v>
      </c>
      <c r="I87" s="1681">
        <f>'Part VI-Revenues &amp; Expenses'!$O$83</f>
        <v>0</v>
      </c>
      <c r="J87" s="1647"/>
      <c r="K87" s="1647"/>
      <c r="L87" s="1665" t="s">
        <v>4712</v>
      </c>
      <c r="M87" s="1647"/>
      <c r="N87" s="1647"/>
      <c r="O87" s="1647"/>
      <c r="P87" s="1681">
        <f>'Part VI-Revenues &amp; Expenses'!$O$147</f>
        <v>157760</v>
      </c>
    </row>
    <row r="88" spans="1:16">
      <c r="A88" s="1651"/>
      <c r="B88" s="1647"/>
      <c r="C88" s="1647"/>
      <c r="D88" s="1665" t="s">
        <v>4713</v>
      </c>
      <c r="E88" s="1647"/>
      <c r="F88" s="1647"/>
      <c r="G88" s="1647"/>
      <c r="H88" s="1681">
        <f>'Part VI-Revenues &amp; Expenses'!$O$59</f>
        <v>48</v>
      </c>
      <c r="I88" s="1681">
        <f>'Part VI-Revenues &amp; Expenses'!$O$84</f>
        <v>0</v>
      </c>
      <c r="J88" s="1647"/>
      <c r="K88" s="1647"/>
      <c r="L88" s="1665" t="s">
        <v>4713</v>
      </c>
      <c r="M88" s="1647"/>
      <c r="N88" s="1647"/>
      <c r="O88" s="1647"/>
      <c r="P88" s="1681">
        <f>'Part VI-Revenues &amp; Expenses'!$O$148</f>
        <v>44328</v>
      </c>
    </row>
    <row r="89" spans="1:16">
      <c r="A89" s="1651"/>
      <c r="B89" s="1647"/>
      <c r="C89" s="1647"/>
      <c r="D89" s="1665" t="s">
        <v>4716</v>
      </c>
      <c r="E89" s="1665"/>
      <c r="F89" s="1647"/>
      <c r="G89" s="1647"/>
      <c r="H89" s="1681">
        <f>'Part VI-Revenues &amp; Expenses'!$O$60</f>
        <v>0</v>
      </c>
      <c r="I89" s="1681">
        <f>'Part VI-Revenues &amp; Expenses'!$O$85</f>
        <v>0</v>
      </c>
      <c r="J89" s="1647"/>
      <c r="K89" s="1647"/>
      <c r="L89" s="1665" t="s">
        <v>4716</v>
      </c>
      <c r="M89" s="1647"/>
      <c r="N89" s="1647"/>
      <c r="O89" s="1647"/>
      <c r="P89" s="1681">
        <f>'Part VI-Revenues &amp; Expenses'!$O$149</f>
        <v>0</v>
      </c>
    </row>
    <row r="90" spans="1:16">
      <c r="A90" s="1651"/>
      <c r="B90" s="1647"/>
      <c r="C90" s="1647"/>
      <c r="D90" s="1665" t="s">
        <v>4717</v>
      </c>
      <c r="E90" s="1665"/>
      <c r="F90" s="1647"/>
      <c r="G90" s="1647"/>
      <c r="H90" s="1681">
        <f>'Part VI-Revenues &amp; Expenses'!$O$61</f>
        <v>0</v>
      </c>
      <c r="I90" s="1681">
        <f>'Part VI-Revenues &amp; Expenses'!$O$86</f>
        <v>0</v>
      </c>
      <c r="J90" s="1647"/>
      <c r="K90" s="1647"/>
      <c r="L90" s="1665" t="s">
        <v>4717</v>
      </c>
      <c r="M90" s="1647"/>
      <c r="N90" s="1647"/>
      <c r="O90" s="1647"/>
      <c r="P90" s="1681">
        <f>'Part VI-Revenues &amp; Expenses'!$O$150</f>
        <v>0</v>
      </c>
    </row>
    <row r="91" spans="1:16">
      <c r="A91" s="1651"/>
      <c r="B91" s="1647"/>
      <c r="C91" s="1647"/>
      <c r="D91" s="1665" t="s">
        <v>4718</v>
      </c>
      <c r="E91" s="1665"/>
      <c r="F91" s="1647"/>
      <c r="G91" s="1647"/>
      <c r="H91" s="1681">
        <f>'Part VI-Revenues &amp; Expenses'!$O$62</f>
        <v>0</v>
      </c>
      <c r="I91" s="1681">
        <f>'Part VI-Revenues &amp; Expenses'!$O$87</f>
        <v>0</v>
      </c>
      <c r="J91" s="1647"/>
      <c r="K91" s="1647"/>
      <c r="L91" s="1665" t="s">
        <v>4718</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244</v>
      </c>
      <c r="I93" s="1647"/>
      <c r="J93" s="1651"/>
      <c r="K93" s="1653" t="s">
        <v>2775</v>
      </c>
      <c r="L93" s="1647"/>
      <c r="M93" s="1647"/>
      <c r="N93" s="1647"/>
      <c r="O93" s="1647"/>
      <c r="P93" s="1681">
        <f>P84+P92</f>
        <v>224252</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244</v>
      </c>
      <c r="I95" s="1647"/>
      <c r="J95" s="1647"/>
      <c r="K95" s="1653" t="s">
        <v>1420</v>
      </c>
      <c r="L95" s="1647"/>
      <c r="M95" s="1647"/>
      <c r="N95" s="1647"/>
      <c r="O95" s="1647"/>
      <c r="P95" s="1681">
        <f>+P93+P94</f>
        <v>224252</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9</v>
      </c>
      <c r="I97" s="1647"/>
      <c r="J97" s="1647"/>
      <c r="K97" s="1653" t="s">
        <v>5142</v>
      </c>
      <c r="L97" s="1647"/>
      <c r="M97" s="1647"/>
      <c r="N97" s="1647"/>
      <c r="O97" s="1647"/>
      <c r="P97" s="1681">
        <f>'Part I-Project Information'!P74</f>
        <v>4500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228752</v>
      </c>
    </row>
    <row r="99" spans="1:16">
      <c r="A99" s="1651"/>
      <c r="B99" s="1651"/>
      <c r="C99" s="1647"/>
      <c r="D99" s="1680" t="s">
        <v>1998</v>
      </c>
      <c r="E99" s="1647"/>
      <c r="F99" s="1647"/>
      <c r="G99" s="1647"/>
      <c r="H99" s="1681">
        <f>+H97+H98</f>
        <v>9</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305</v>
      </c>
      <c r="I101" s="1647"/>
      <c r="J101" s="1647"/>
      <c r="K101" s="1682" t="s">
        <v>3853</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4491</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4963</v>
      </c>
      <c r="L107" s="1685" t="s">
        <v>2911</v>
      </c>
      <c r="M107" s="1681">
        <f>'Part I-Project Information'!M84</f>
        <v>0</v>
      </c>
      <c r="N107" s="1685" t="s">
        <v>2912</v>
      </c>
      <c r="O107" s="1681">
        <f>'Part I-Project Information'!O84</f>
        <v>0</v>
      </c>
      <c r="P107" s="1654" t="s">
        <v>4962</v>
      </c>
    </row>
    <row r="108" spans="1:16">
      <c r="A108" s="1651"/>
      <c r="B108" s="1651"/>
      <c r="C108" s="1647"/>
      <c r="D108" s="1654"/>
      <c r="E108" s="1680"/>
      <c r="F108" s="1647"/>
      <c r="G108" s="1647"/>
      <c r="H108" s="1647"/>
      <c r="I108" s="1647"/>
      <c r="J108" s="1682"/>
      <c r="K108" s="1682"/>
      <c r="L108" s="1657" t="s">
        <v>2913</v>
      </c>
      <c r="M108" s="1681">
        <f>'Part I-Project Information'!M85</f>
        <v>0</v>
      </c>
      <c r="N108" s="1657" t="s">
        <v>3874</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3695</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4870</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4939</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3892</v>
      </c>
      <c r="L123" s="1647"/>
      <c r="M123" s="1647"/>
      <c r="N123" s="1647"/>
      <c r="O123" s="1647"/>
      <c r="P123" s="1651" t="str">
        <f>'Part I-Project Information'!P100</f>
        <v>No</v>
      </c>
    </row>
    <row r="124" spans="1:16">
      <c r="A124" s="1653"/>
      <c r="B124" s="1651"/>
      <c r="C124" s="1647"/>
      <c r="D124" s="1647"/>
      <c r="E124" s="1647"/>
      <c r="F124" s="1680" t="s">
        <v>3898</v>
      </c>
      <c r="G124" s="1647"/>
      <c r="H124" s="1651" t="str">
        <f>'Part I-Project Information'!H101</f>
        <v>No</v>
      </c>
      <c r="I124" s="1647"/>
      <c r="J124" s="1647"/>
      <c r="K124" s="1654" t="s">
        <v>4730</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f>'Part I-Project Information'!E109</f>
        <v>0</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44147</v>
      </c>
      <c r="P132" s="2123">
        <f>'Part I-Project Information'!P109</f>
        <v>0</v>
      </c>
    </row>
    <row r="133" spans="1:16">
      <c r="A133" s="1647"/>
      <c r="B133" s="1647"/>
      <c r="C133" s="1654" t="s">
        <v>1021</v>
      </c>
      <c r="D133" s="1657"/>
      <c r="E133" s="1647" t="str">
        <f>'Part I-Project Information'!E110</f>
        <v>Business and Industrial Development Authority of College Park. 3667 Main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College Park</v>
      </c>
      <c r="F134" s="1665">
        <f>'Part I-Project Information'!F111</f>
        <v>0</v>
      </c>
      <c r="G134" s="1665">
        <f>'Part I-Project Information'!G111</f>
        <v>0</v>
      </c>
      <c r="H134" s="1651" t="s">
        <v>1799</v>
      </c>
      <c r="I134" s="1654" t="str">
        <f>'Part I-Project Information'!I111</f>
        <v>GA</v>
      </c>
      <c r="J134" s="1651" t="s">
        <v>2229</v>
      </c>
      <c r="K134" s="2115">
        <f>'Part I-Project Information'!K111</f>
        <v>303372614</v>
      </c>
      <c r="L134" s="1665">
        <f>'Part I-Project Information'!L111</f>
        <v>0</v>
      </c>
      <c r="M134" s="1653" t="s">
        <v>3663</v>
      </c>
      <c r="N134" s="1653"/>
      <c r="O134" s="1766">
        <f>'Part I-Project Information'!O111</f>
        <v>30000000</v>
      </c>
      <c r="P134" s="1766">
        <f>'Part I-Project Information'!P111</f>
        <v>0</v>
      </c>
    </row>
    <row r="135" spans="1:16">
      <c r="A135" s="1647"/>
      <c r="B135" s="1647"/>
      <c r="C135" s="1647" t="s">
        <v>2194</v>
      </c>
      <c r="D135" s="1647"/>
      <c r="E135" s="1647" t="str">
        <f>'Part I-Project Information'!E112</f>
        <v>Tasha Hall Garrison</v>
      </c>
      <c r="F135" s="1665">
        <f>'Part I-Project Information'!F112</f>
        <v>0</v>
      </c>
      <c r="G135" s="1665">
        <f>'Part I-Project Information'!G112</f>
        <v>0</v>
      </c>
      <c r="H135" s="1651" t="s">
        <v>1980</v>
      </c>
      <c r="I135" s="1647" t="str">
        <f>'Part I-Project Information'!I112</f>
        <v>Economic Development Program Manager</v>
      </c>
      <c r="J135" s="1665">
        <f>'Part I-Project Information'!J112</f>
        <v>0</v>
      </c>
      <c r="K135" s="1665">
        <f>'Part I-Project Information'!K112</f>
        <v>0</v>
      </c>
      <c r="L135" s="1651" t="s">
        <v>1984</v>
      </c>
      <c r="M135" s="1647" t="str">
        <f>'Part I-Project Information'!M112</f>
        <v>tgarrison@collegeparkga.com</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4043052052</v>
      </c>
      <c r="F136" s="2116">
        <f>'Part I-Project Information'!F113</f>
        <v>0</v>
      </c>
      <c r="G136" s="2116">
        <f>'Part I-Project Information'!G113</f>
        <v>0</v>
      </c>
      <c r="H136" s="1651" t="s">
        <v>1802</v>
      </c>
      <c r="I136" s="2116">
        <f>'Part I-Project Information'!I113</f>
        <v>4048313996</v>
      </c>
      <c r="J136" s="1665">
        <f>'Part I-Project Information'!J113</f>
        <v>0</v>
      </c>
      <c r="K136" s="1651" t="s">
        <v>2704</v>
      </c>
      <c r="L136" s="2023" t="str">
        <f>'Part I-Project Information'!L113</f>
        <v>https://www.collegeparkga.com/departments/economic_development/business___industrial_development_authority</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5095</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5143</v>
      </c>
      <c r="F175" s="1665"/>
      <c r="G175" s="1665"/>
      <c r="H175" s="1647"/>
      <c r="I175" s="1661">
        <f>'Part I-Project Information'!I152</f>
        <v>0</v>
      </c>
      <c r="J175" s="1647"/>
      <c r="K175" s="1665" t="s">
        <v>5057</v>
      </c>
      <c r="L175" s="1665"/>
      <c r="M175" s="1665"/>
      <c r="N175" s="1647"/>
      <c r="O175" s="1661">
        <f>'Part I-Project Information'!O152</f>
        <v>0</v>
      </c>
      <c r="P175" s="1660"/>
    </row>
    <row r="176" spans="1:16">
      <c r="A176" s="1651"/>
      <c r="B176" s="1647"/>
      <c r="C176" s="1680"/>
      <c r="D176" s="1680"/>
      <c r="E176" s="1665" t="s">
        <v>5144</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5054</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5086</v>
      </c>
      <c r="D184" s="1682"/>
      <c r="E184" s="1682"/>
      <c r="F184" s="1682"/>
      <c r="G184" s="1647" t="s">
        <v>4783</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4782</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4784</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4728</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4729</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4785</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Yes</v>
      </c>
      <c r="J195" s="1647" t="s">
        <v>761</v>
      </c>
      <c r="K195" s="1647"/>
      <c r="L195" s="1651">
        <f>'Part I-Project Information'!L172</f>
        <v>2042</v>
      </c>
      <c r="M195" s="1647" t="s">
        <v>2326</v>
      </c>
      <c r="N195" s="1647"/>
      <c r="O195" s="1647"/>
      <c r="P195" s="1736">
        <f>'Part I-Project Information'!P172</f>
        <v>5</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f>'Part I-Project Information'!I174</f>
        <v>0</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f>'Part I-Project Information'!I176</f>
        <v>0</v>
      </c>
      <c r="J199" s="1696" t="s">
        <v>2753</v>
      </c>
      <c r="K199" s="1647"/>
      <c r="L199" s="1647" t="s">
        <v>4494</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44910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 xml:space="preserve">The applicant had to increase the density from 240 to 244 units from the time of pre-application to the full application.
Applicant is choosing to extend its right a qualified contract for five years, in compliance with the Bond Threshold.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Somersby,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4459</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4256</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Somersby Family I, LP</v>
      </c>
      <c r="I223" s="1665"/>
      <c r="J223" s="1665"/>
      <c r="K223" s="1665"/>
      <c r="L223" s="1665"/>
      <c r="M223" s="1665"/>
      <c r="N223" s="1665"/>
      <c r="O223" s="1654" t="s">
        <v>1989</v>
      </c>
      <c r="P223" s="1654"/>
      <c r="Q223" s="1647" t="str">
        <f>'Part II-Development Team'!Q5</f>
        <v>Wiley A. Tucker, III</v>
      </c>
      <c r="R223" s="1665"/>
      <c r="S223" s="1665"/>
    </row>
    <row r="224" spans="1:19">
      <c r="A224" s="1647"/>
      <c r="B224" s="1647"/>
      <c r="C224" s="1647"/>
      <c r="D224" s="1663"/>
      <c r="E224" s="1654" t="s">
        <v>1021</v>
      </c>
      <c r="F224" s="1657"/>
      <c r="G224" s="1647"/>
      <c r="H224" s="1647" t="str">
        <f>'Part II-Development Team'!H6</f>
        <v>3715 Northside Pkwy Bldg 200 Ste 175</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Atlanta</v>
      </c>
      <c r="I225" s="1665"/>
      <c r="J225" s="1665"/>
      <c r="K225" s="1651" t="s">
        <v>762</v>
      </c>
      <c r="L225" s="1647" t="str">
        <f>'Part II-Development Team'!L7</f>
        <v>85-3897847</v>
      </c>
      <c r="M225" s="1665"/>
      <c r="N225" s="1665"/>
      <c r="O225" s="1654" t="s">
        <v>1721</v>
      </c>
      <c r="P225" s="1647"/>
      <c r="Q225" s="1647">
        <f>'Part II-Development Team'!Q7</f>
        <v>4049493871</v>
      </c>
      <c r="R225" s="1665"/>
      <c r="S225" s="1665"/>
    </row>
    <row r="226" spans="1:19">
      <c r="A226" s="1647"/>
      <c r="B226" s="1647"/>
      <c r="C226" s="1647"/>
      <c r="D226" s="1663"/>
      <c r="E226" s="1654" t="s">
        <v>1799</v>
      </c>
      <c r="F226" s="1647"/>
      <c r="G226" s="1647"/>
      <c r="H226" s="1654" t="str">
        <f>'Part II-Development Team'!H8</f>
        <v>GA</v>
      </c>
      <c r="I226" s="1651" t="s">
        <v>2229</v>
      </c>
      <c r="J226" s="2115">
        <f>'Part II-Development Team'!J8</f>
        <v>303272800</v>
      </c>
      <c r="K226" s="1665"/>
      <c r="L226" s="1647" t="s">
        <v>3687</v>
      </c>
      <c r="M226" s="1647" t="str">
        <f>'Part II-Development Team'!M8</f>
        <v>For Profit</v>
      </c>
      <c r="N226" s="1647"/>
      <c r="O226" s="1654" t="s">
        <v>1979</v>
      </c>
      <c r="P226" s="1647"/>
      <c r="Q226" s="1647">
        <f>'Part II-Development Team'!Q8</f>
        <v>4049663824</v>
      </c>
      <c r="R226" s="1665"/>
      <c r="S226" s="1665"/>
    </row>
    <row r="227" spans="1:19">
      <c r="A227" s="1647"/>
      <c r="B227" s="1647"/>
      <c r="C227" s="1647"/>
      <c r="D227" s="1663"/>
      <c r="E227" s="1654" t="s">
        <v>4257</v>
      </c>
      <c r="F227" s="1647"/>
      <c r="G227" s="1647"/>
      <c r="H227" s="2116">
        <f>'Part II-Development Team'!H9</f>
        <v>4049493871</v>
      </c>
      <c r="I227" s="2116"/>
      <c r="J227" s="1661">
        <f>'Part II-Development Team'!J9</f>
        <v>0</v>
      </c>
      <c r="K227" s="1651" t="s">
        <v>1984</v>
      </c>
      <c r="L227" s="2023" t="str">
        <f>'Part II-Development Team'!L9</f>
        <v>jody@prestwickcompanies.com</v>
      </c>
      <c r="M227" s="2023"/>
      <c r="N227" s="2023"/>
      <c r="O227" s="2023"/>
      <c r="P227" s="2023"/>
      <c r="Q227" s="2023"/>
      <c r="R227" s="2023"/>
      <c r="S227" s="2023"/>
    </row>
    <row r="228" spans="1:19" ht="13.5">
      <c r="A228" s="1647"/>
      <c r="B228" s="1647"/>
      <c r="C228" s="1647"/>
      <c r="D228" s="1663"/>
      <c r="E228" s="1649" t="s">
        <v>4256</v>
      </c>
      <c r="F228" s="1647"/>
      <c r="G228" s="1647"/>
      <c r="H228" s="1695"/>
      <c r="I228" s="1647"/>
      <c r="J228" s="1647"/>
      <c r="K228" s="1710"/>
      <c r="L228" s="1647"/>
      <c r="M228" s="1647"/>
      <c r="N228" s="1647" t="s">
        <v>4495</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Somersby Family I GP, LLC</v>
      </c>
      <c r="I232" s="1665"/>
      <c r="J232" s="1665"/>
      <c r="K232" s="1665"/>
      <c r="L232" s="1665"/>
      <c r="M232" s="1665"/>
      <c r="N232" s="1665"/>
      <c r="O232" s="1654" t="s">
        <v>1989</v>
      </c>
      <c r="P232" s="1654"/>
      <c r="Q232" s="1647" t="str">
        <f>'Part II-Development Team'!Q14</f>
        <v>Wiley A. Tucker, III</v>
      </c>
      <c r="R232" s="1665"/>
      <c r="S232" s="1665"/>
    </row>
    <row r="233" spans="1:19">
      <c r="A233" s="1647"/>
      <c r="B233" s="1647"/>
      <c r="C233" s="1647"/>
      <c r="D233" s="1663"/>
      <c r="E233" s="1654" t="s">
        <v>1021</v>
      </c>
      <c r="F233" s="1657"/>
      <c r="G233" s="1647"/>
      <c r="H233" s="1647" t="str">
        <f>'Part II-Development Team'!H15</f>
        <v>3715 Northside Pkwy Bldg 200 Ste 175</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Atlanta</v>
      </c>
      <c r="I234" s="1665"/>
      <c r="J234" s="1665"/>
      <c r="K234" s="1651" t="s">
        <v>2704</v>
      </c>
      <c r="L234" s="1647" t="str">
        <f>'Part II-Development Team'!L16</f>
        <v>N/A</v>
      </c>
      <c r="M234" s="1665"/>
      <c r="N234" s="1665"/>
      <c r="O234" s="1654" t="s">
        <v>1721</v>
      </c>
      <c r="P234" s="1647"/>
      <c r="Q234" s="2116">
        <f>'Part II-Development Team'!Q16</f>
        <v>4049493871</v>
      </c>
      <c r="R234" s="2116"/>
      <c r="S234" s="2116"/>
    </row>
    <row r="235" spans="1:19">
      <c r="A235" s="1647"/>
      <c r="B235" s="1647"/>
      <c r="C235" s="1647"/>
      <c r="D235" s="1647"/>
      <c r="E235" s="1654" t="s">
        <v>1799</v>
      </c>
      <c r="F235" s="1647"/>
      <c r="G235" s="1647"/>
      <c r="H235" s="1654" t="str">
        <f>'Part II-Development Team'!H17</f>
        <v>GA</v>
      </c>
      <c r="I235" s="1647"/>
      <c r="J235" s="1647"/>
      <c r="K235" s="1651" t="s">
        <v>2229</v>
      </c>
      <c r="L235" s="2115">
        <f>'Part II-Development Team'!L17</f>
        <v>303272800</v>
      </c>
      <c r="M235" s="1665"/>
      <c r="N235" s="1647"/>
      <c r="O235" s="1654" t="s">
        <v>1979</v>
      </c>
      <c r="P235" s="1647"/>
      <c r="Q235" s="2116">
        <f>'Part II-Development Team'!Q17</f>
        <v>4049663824</v>
      </c>
      <c r="R235" s="2116"/>
      <c r="S235" s="2116"/>
    </row>
    <row r="236" spans="1:19">
      <c r="A236" s="1647"/>
      <c r="B236" s="1647"/>
      <c r="C236" s="1647"/>
      <c r="D236" s="1663"/>
      <c r="E236" s="1654" t="s">
        <v>4257</v>
      </c>
      <c r="F236" s="1647"/>
      <c r="G236" s="1647"/>
      <c r="H236" s="2116">
        <f>'Part II-Development Team'!H18</f>
        <v>4049493871</v>
      </c>
      <c r="I236" s="2116"/>
      <c r="J236" s="1661">
        <f>'Part II-Development Team'!J18</f>
        <v>0</v>
      </c>
      <c r="K236" s="1651" t="s">
        <v>1984</v>
      </c>
      <c r="L236" s="2023" t="str">
        <f>'Part II-Development Team'!L18</f>
        <v>jody@prestwickcompanies.com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4257</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4257</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4256</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Truist Community Capital</v>
      </c>
      <c r="I251" s="1665"/>
      <c r="J251" s="1665"/>
      <c r="K251" s="1665"/>
      <c r="L251" s="1665"/>
      <c r="M251" s="1665"/>
      <c r="N251" s="1665"/>
      <c r="O251" s="1654" t="s">
        <v>1989</v>
      </c>
      <c r="P251" s="1654"/>
      <c r="Q251" s="1647" t="str">
        <f>'Part II-Development Team'!Q33</f>
        <v>Brian Womble</v>
      </c>
      <c r="R251" s="1665"/>
      <c r="S251" s="1665"/>
    </row>
    <row r="252" spans="1:19">
      <c r="A252" s="1647"/>
      <c r="B252" s="1647"/>
      <c r="C252" s="1647"/>
      <c r="D252" s="1663"/>
      <c r="E252" s="1654" t="s">
        <v>1021</v>
      </c>
      <c r="F252" s="1657"/>
      <c r="G252" s="1647"/>
      <c r="H252" s="1647" t="str">
        <f>'Part II-Development Team'!H34</f>
        <v>1155 Peachtree Street NE Suite 300</v>
      </c>
      <c r="I252" s="1665"/>
      <c r="J252" s="1665"/>
      <c r="K252" s="1665"/>
      <c r="L252" s="1665"/>
      <c r="M252" s="1665"/>
      <c r="N252" s="1665"/>
      <c r="O252" s="1654" t="s">
        <v>1747</v>
      </c>
      <c r="P252" s="1647"/>
      <c r="Q252" s="1647" t="str">
        <f>'Part II-Development Team'!Q34</f>
        <v>Senior Vice President</v>
      </c>
      <c r="R252" s="1665"/>
      <c r="S252" s="1665"/>
    </row>
    <row r="253" spans="1:19">
      <c r="A253" s="1647"/>
      <c r="B253" s="1647"/>
      <c r="C253" s="1647"/>
      <c r="D253" s="1663"/>
      <c r="E253" s="1654" t="s">
        <v>618</v>
      </c>
      <c r="F253" s="1647"/>
      <c r="G253" s="1647"/>
      <c r="H253" s="1647" t="str">
        <f>'Part II-Development Team'!H35</f>
        <v>Atlanta</v>
      </c>
      <c r="I253" s="1665"/>
      <c r="J253" s="1665"/>
      <c r="K253" s="1651" t="s">
        <v>2704</v>
      </c>
      <c r="L253" s="1647" t="str">
        <f>'Part II-Development Team'!L35</f>
        <v>www.truist.com</v>
      </c>
      <c r="M253" s="1665"/>
      <c r="N253" s="1665"/>
      <c r="O253" s="1654" t="s">
        <v>1721</v>
      </c>
      <c r="P253" s="1647"/>
      <c r="Q253" s="2116">
        <f>'Part II-Development Team'!Q35</f>
        <v>4045888775</v>
      </c>
      <c r="R253" s="2116"/>
      <c r="S253" s="2116"/>
    </row>
    <row r="254" spans="1:19">
      <c r="A254" s="1647"/>
      <c r="B254" s="1647"/>
      <c r="C254" s="1647"/>
      <c r="D254" s="1647"/>
      <c r="E254" s="1654" t="s">
        <v>1799</v>
      </c>
      <c r="F254" s="1647"/>
      <c r="G254" s="1647"/>
      <c r="H254" s="1654" t="str">
        <f>'Part II-Development Team'!H36</f>
        <v>GA</v>
      </c>
      <c r="I254" s="1647"/>
      <c r="J254" s="1647"/>
      <c r="K254" s="1651" t="s">
        <v>2229</v>
      </c>
      <c r="L254" s="2115">
        <f>'Part II-Development Team'!L36</f>
        <v>303097629</v>
      </c>
      <c r="M254" s="1665"/>
      <c r="N254" s="1647"/>
      <c r="O254" s="1654" t="s">
        <v>1979</v>
      </c>
      <c r="P254" s="1647"/>
      <c r="Q254" s="2116">
        <f>'Part II-Development Team'!Q36</f>
        <v>7706390087</v>
      </c>
      <c r="R254" s="2116"/>
      <c r="S254" s="2116"/>
    </row>
    <row r="255" spans="1:19">
      <c r="A255" s="1647"/>
      <c r="B255" s="1647"/>
      <c r="C255" s="1647"/>
      <c r="D255" s="1663"/>
      <c r="E255" s="1654" t="s">
        <v>4257</v>
      </c>
      <c r="F255" s="1647"/>
      <c r="G255" s="1647"/>
      <c r="H255" s="2116">
        <f>'Part II-Development Team'!H37</f>
        <v>4045888775</v>
      </c>
      <c r="I255" s="2116"/>
      <c r="J255" s="1661">
        <f>'Part II-Development Team'!J37</f>
        <v>0</v>
      </c>
      <c r="K255" s="1651" t="s">
        <v>1984</v>
      </c>
      <c r="L255" s="2023" t="str">
        <f>'Part II-Development Team'!L37</f>
        <v>brian.womble@suntrust.com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Truist Community Capital</v>
      </c>
      <c r="I257" s="1665"/>
      <c r="J257" s="1665"/>
      <c r="K257" s="1665"/>
      <c r="L257" s="1665"/>
      <c r="M257" s="1665"/>
      <c r="N257" s="1665"/>
      <c r="O257" s="1654" t="s">
        <v>1989</v>
      </c>
      <c r="P257" s="1654"/>
      <c r="Q257" s="1647" t="str">
        <f>'Part II-Development Team'!Q39</f>
        <v>Brian Womble</v>
      </c>
      <c r="R257" s="1665"/>
      <c r="S257" s="1665"/>
    </row>
    <row r="258" spans="1:19">
      <c r="A258" s="1647"/>
      <c r="B258" s="1647"/>
      <c r="C258" s="1647"/>
      <c r="D258" s="1663"/>
      <c r="E258" s="1654" t="s">
        <v>1021</v>
      </c>
      <c r="F258" s="1657"/>
      <c r="G258" s="1647"/>
      <c r="H258" s="1647" t="str">
        <f>'Part II-Development Team'!H40</f>
        <v>1155 Peachtree Street NE Suite 300</v>
      </c>
      <c r="I258" s="1665"/>
      <c r="J258" s="1665"/>
      <c r="K258" s="1665"/>
      <c r="L258" s="1665"/>
      <c r="M258" s="1665"/>
      <c r="N258" s="1665"/>
      <c r="O258" s="1654" t="s">
        <v>1747</v>
      </c>
      <c r="P258" s="1647"/>
      <c r="Q258" s="1647" t="str">
        <f>'Part II-Development Team'!Q40</f>
        <v>Senior Vice President</v>
      </c>
      <c r="R258" s="1665"/>
      <c r="S258" s="1665"/>
    </row>
    <row r="259" spans="1:19">
      <c r="A259" s="1647"/>
      <c r="B259" s="1647"/>
      <c r="C259" s="1647"/>
      <c r="D259" s="1663"/>
      <c r="E259" s="1654" t="s">
        <v>618</v>
      </c>
      <c r="F259" s="1647"/>
      <c r="G259" s="1647"/>
      <c r="H259" s="1647" t="str">
        <f>'Part II-Development Team'!H41</f>
        <v>Atlanta</v>
      </c>
      <c r="I259" s="1665"/>
      <c r="J259" s="1665"/>
      <c r="K259" s="1651" t="s">
        <v>2704</v>
      </c>
      <c r="L259" s="1647" t="str">
        <f>'Part II-Development Team'!L41</f>
        <v>www.truist.com</v>
      </c>
      <c r="M259" s="1665"/>
      <c r="N259" s="1665"/>
      <c r="O259" s="1654" t="s">
        <v>1721</v>
      </c>
      <c r="P259" s="1647"/>
      <c r="Q259" s="2116">
        <f>'Part II-Development Team'!Q41</f>
        <v>4045888775</v>
      </c>
      <c r="R259" s="2116"/>
      <c r="S259" s="2116"/>
    </row>
    <row r="260" spans="1:19">
      <c r="A260" s="1647"/>
      <c r="B260" s="1647"/>
      <c r="C260" s="1647"/>
      <c r="D260" s="1647"/>
      <c r="E260" s="1654" t="s">
        <v>1799</v>
      </c>
      <c r="F260" s="1647"/>
      <c r="G260" s="1647"/>
      <c r="H260" s="1654" t="str">
        <f>'Part II-Development Team'!H42</f>
        <v>GA</v>
      </c>
      <c r="I260" s="1647"/>
      <c r="J260" s="1647"/>
      <c r="K260" s="1651" t="s">
        <v>2229</v>
      </c>
      <c r="L260" s="2115">
        <f>'Part II-Development Team'!L42</f>
        <v>303097629</v>
      </c>
      <c r="M260" s="1665"/>
      <c r="N260" s="1647"/>
      <c r="O260" s="1654" t="s">
        <v>1979</v>
      </c>
      <c r="P260" s="1647"/>
      <c r="Q260" s="2116">
        <f>'Part II-Development Team'!Q42</f>
        <v>7706390087</v>
      </c>
      <c r="R260" s="2116"/>
      <c r="S260" s="2116"/>
    </row>
    <row r="261" spans="1:19">
      <c r="A261" s="1647"/>
      <c r="B261" s="1647"/>
      <c r="C261" s="1647"/>
      <c r="D261" s="1663"/>
      <c r="E261" s="1654" t="s">
        <v>4257</v>
      </c>
      <c r="F261" s="1647"/>
      <c r="G261" s="1647"/>
      <c r="H261" s="2116">
        <f>'Part II-Development Team'!H43</f>
        <v>4045888775</v>
      </c>
      <c r="I261" s="2116"/>
      <c r="J261" s="1661">
        <f>'Part II-Development Team'!J43</f>
        <v>0</v>
      </c>
      <c r="K261" s="1651" t="s">
        <v>1984</v>
      </c>
      <c r="L261" s="2023" t="str">
        <f>'Part II-Development Team'!L43</f>
        <v>brian.womble@suntrust.com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4256</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4257</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4256</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Prestwick Development Company, LLC</v>
      </c>
      <c r="I272" s="1665"/>
      <c r="J272" s="1665"/>
      <c r="K272" s="1665"/>
      <c r="L272" s="1665"/>
      <c r="M272" s="1665"/>
      <c r="N272" s="1665"/>
      <c r="O272" s="1654" t="s">
        <v>1989</v>
      </c>
      <c r="P272" s="1654"/>
      <c r="Q272" s="1647" t="str">
        <f>'Part II-Development Team'!Q54</f>
        <v>Wiley A. Tucker, III</v>
      </c>
      <c r="R272" s="1665"/>
      <c r="S272" s="1665"/>
    </row>
    <row r="273" spans="1:19">
      <c r="A273" s="1647"/>
      <c r="B273" s="1647"/>
      <c r="C273" s="1647"/>
      <c r="D273" s="1663"/>
      <c r="E273" s="1654" t="s">
        <v>1021</v>
      </c>
      <c r="F273" s="1657"/>
      <c r="G273" s="1647"/>
      <c r="H273" s="1647" t="str">
        <f>'Part II-Development Team'!H55</f>
        <v>3715 Northside Pkwy, Bldg 200, Ste 175</v>
      </c>
      <c r="I273" s="1665"/>
      <c r="J273" s="1665"/>
      <c r="K273" s="1665"/>
      <c r="L273" s="1665"/>
      <c r="M273" s="1665"/>
      <c r="N273" s="1665"/>
      <c r="O273" s="1654" t="s">
        <v>1747</v>
      </c>
      <c r="P273" s="1647"/>
      <c r="Q273" s="1647" t="str">
        <f>'Part II-Development Team'!Q55</f>
        <v>Manager</v>
      </c>
      <c r="R273" s="1665"/>
      <c r="S273" s="1665"/>
    </row>
    <row r="274" spans="1:19">
      <c r="A274" s="1647"/>
      <c r="B274" s="1647"/>
      <c r="C274" s="1647"/>
      <c r="D274" s="1663"/>
      <c r="E274" s="1654" t="s">
        <v>618</v>
      </c>
      <c r="F274" s="1647"/>
      <c r="G274" s="1647"/>
      <c r="H274" s="1647" t="str">
        <f>'Part II-Development Team'!H56</f>
        <v>Atlanta</v>
      </c>
      <c r="I274" s="1665"/>
      <c r="J274" s="1665"/>
      <c r="K274" s="1651" t="s">
        <v>2704</v>
      </c>
      <c r="L274" s="1647" t="str">
        <f>'Part II-Development Team'!L56</f>
        <v>www.prestwickcompanies.com</v>
      </c>
      <c r="M274" s="1665"/>
      <c r="N274" s="1665"/>
      <c r="O274" s="1654" t="s">
        <v>1721</v>
      </c>
      <c r="P274" s="1647"/>
      <c r="Q274" s="2116">
        <f>'Part II-Development Team'!Q56</f>
        <v>4049493871</v>
      </c>
      <c r="R274" s="2116"/>
      <c r="S274" s="2116"/>
    </row>
    <row r="275" spans="1:19">
      <c r="A275" s="1647"/>
      <c r="B275" s="1647"/>
      <c r="C275" s="1647"/>
      <c r="D275" s="1647"/>
      <c r="E275" s="1654" t="s">
        <v>1799</v>
      </c>
      <c r="F275" s="1647"/>
      <c r="G275" s="1647"/>
      <c r="H275" s="1654" t="str">
        <f>'Part II-Development Team'!H57</f>
        <v>GA</v>
      </c>
      <c r="I275" s="1647"/>
      <c r="J275" s="1647"/>
      <c r="K275" s="1651" t="s">
        <v>2229</v>
      </c>
      <c r="L275" s="2115">
        <f>'Part II-Development Team'!L57</f>
        <v>303272800</v>
      </c>
      <c r="M275" s="1665"/>
      <c r="N275" s="1647"/>
      <c r="O275" s="1654" t="s">
        <v>1979</v>
      </c>
      <c r="P275" s="1647"/>
      <c r="Q275" s="2116">
        <f>'Part II-Development Team'!Q57</f>
        <v>4049663824</v>
      </c>
      <c r="R275" s="2116"/>
      <c r="S275" s="2116"/>
    </row>
    <row r="276" spans="1:19">
      <c r="A276" s="1647"/>
      <c r="B276" s="1647"/>
      <c r="C276" s="1647"/>
      <c r="D276" s="1663"/>
      <c r="E276" s="1654" t="s">
        <v>4257</v>
      </c>
      <c r="F276" s="1647"/>
      <c r="G276" s="1647"/>
      <c r="H276" s="2116">
        <f>'Part II-Development Team'!H58</f>
        <v>4049493871</v>
      </c>
      <c r="I276" s="2116"/>
      <c r="J276" s="1661">
        <f>'Part II-Development Team'!J58</f>
        <v>0</v>
      </c>
      <c r="K276" s="1651" t="s">
        <v>1984</v>
      </c>
      <c r="L276" s="2023" t="str">
        <f>'Part II-Development Team'!L58</f>
        <v>jody@prestwickcompanies.com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4257</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4257</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4257</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4256</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4257</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Prestwick Construction Company, LLC</v>
      </c>
      <c r="I304" s="1665"/>
      <c r="J304" s="1665"/>
      <c r="K304" s="1665"/>
      <c r="L304" s="1665"/>
      <c r="M304" s="1665"/>
      <c r="N304" s="1665"/>
      <c r="O304" s="1654" t="s">
        <v>1989</v>
      </c>
      <c r="P304" s="1654"/>
      <c r="Q304" s="1647" t="str">
        <f>'Part II-Development Team'!Q86</f>
        <v>Ray Dotson</v>
      </c>
      <c r="R304" s="1665"/>
      <c r="S304" s="1665"/>
    </row>
    <row r="305" spans="1:19">
      <c r="A305" s="1647"/>
      <c r="B305" s="1647"/>
      <c r="C305" s="1647"/>
      <c r="D305" s="1663"/>
      <c r="E305" s="1654" t="s">
        <v>1021</v>
      </c>
      <c r="F305" s="1657"/>
      <c r="G305" s="1647"/>
      <c r="H305" s="1647" t="str">
        <f>'Part II-Development Team'!H87</f>
        <v>3715 Northside Pkwy, Bldg 400, Ste 120</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Atlanta</v>
      </c>
      <c r="I306" s="1665"/>
      <c r="J306" s="1665"/>
      <c r="K306" s="1651" t="s">
        <v>2704</v>
      </c>
      <c r="L306" s="1647" t="str">
        <f>'Part II-Development Team'!L88</f>
        <v>www.prestwickcompanies.com</v>
      </c>
      <c r="M306" s="1665"/>
      <c r="N306" s="1665"/>
      <c r="O306" s="1654" t="s">
        <v>1721</v>
      </c>
      <c r="P306" s="1647"/>
      <c r="Q306" s="2116">
        <f>'Part II-Development Team'!Q88</f>
        <v>4049493882</v>
      </c>
      <c r="R306" s="2116"/>
      <c r="S306" s="2116"/>
    </row>
    <row r="307" spans="1:19">
      <c r="A307" s="1647"/>
      <c r="B307" s="1647"/>
      <c r="C307" s="1647"/>
      <c r="D307" s="1647"/>
      <c r="E307" s="1654" t="s">
        <v>1799</v>
      </c>
      <c r="F307" s="1647"/>
      <c r="G307" s="1647"/>
      <c r="H307" s="1654" t="str">
        <f>'Part II-Development Team'!H89</f>
        <v>GA</v>
      </c>
      <c r="I307" s="1647"/>
      <c r="J307" s="1647"/>
      <c r="K307" s="1651" t="s">
        <v>2229</v>
      </c>
      <c r="L307" s="2115">
        <f>'Part II-Development Team'!L89</f>
        <v>303272800</v>
      </c>
      <c r="M307" s="1665"/>
      <c r="N307" s="1647"/>
      <c r="O307" s="1654" t="s">
        <v>1979</v>
      </c>
      <c r="P307" s="1647"/>
      <c r="Q307" s="2116">
        <f>'Part II-Development Team'!Q89</f>
        <v>4043761063</v>
      </c>
      <c r="R307" s="2116"/>
      <c r="S307" s="2116"/>
    </row>
    <row r="308" spans="1:19">
      <c r="A308" s="1647"/>
      <c r="B308" s="1647"/>
      <c r="C308" s="1647"/>
      <c r="D308" s="1663"/>
      <c r="E308" s="1654" t="s">
        <v>4257</v>
      </c>
      <c r="F308" s="1647"/>
      <c r="G308" s="1647"/>
      <c r="H308" s="2116">
        <f>'Part II-Development Team'!H90</f>
        <v>4049493882</v>
      </c>
      <c r="I308" s="2116"/>
      <c r="J308" s="1661">
        <f>'Part II-Development Team'!J90</f>
        <v>0</v>
      </c>
      <c r="K308" s="1651" t="s">
        <v>1984</v>
      </c>
      <c r="L308" s="2023" t="str">
        <f>'Part II-Development Team'!L90</f>
        <v>ray@prestwickcompanies.com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Elmington Property Management</v>
      </c>
      <c r="I310" s="1665"/>
      <c r="J310" s="1665"/>
      <c r="K310" s="1665"/>
      <c r="L310" s="1665"/>
      <c r="M310" s="1665"/>
      <c r="N310" s="1665"/>
      <c r="O310" s="1654" t="s">
        <v>1989</v>
      </c>
      <c r="P310" s="1654"/>
      <c r="Q310" s="1647" t="str">
        <f>'Part II-Development Team'!Q92</f>
        <v>Brad Cather</v>
      </c>
      <c r="R310" s="1665"/>
      <c r="S310" s="1665"/>
    </row>
    <row r="311" spans="1:19">
      <c r="A311" s="1647"/>
      <c r="B311" s="1647"/>
      <c r="C311" s="1647"/>
      <c r="D311" s="1663"/>
      <c r="E311" s="1654" t="s">
        <v>1021</v>
      </c>
      <c r="F311" s="1657"/>
      <c r="G311" s="1647"/>
      <c r="H311" s="1647" t="str">
        <f>'Part II-Development Team'!H93</f>
        <v>118 16th Ave S #200</v>
      </c>
      <c r="I311" s="1665"/>
      <c r="J311" s="1665"/>
      <c r="K311" s="1665"/>
      <c r="L311" s="1665"/>
      <c r="M311" s="1665"/>
      <c r="N311" s="1665"/>
      <c r="O311" s="1654" t="s">
        <v>1747</v>
      </c>
      <c r="P311" s="1647"/>
      <c r="Q311" s="1647" t="str">
        <f>'Part II-Development Team'!Q93</f>
        <v>Vice President</v>
      </c>
      <c r="R311" s="1665"/>
      <c r="S311" s="1665"/>
    </row>
    <row r="312" spans="1:19">
      <c r="A312" s="1647"/>
      <c r="B312" s="1647"/>
      <c r="C312" s="1647"/>
      <c r="D312" s="1663"/>
      <c r="E312" s="1654" t="s">
        <v>618</v>
      </c>
      <c r="F312" s="1647"/>
      <c r="G312" s="1647"/>
      <c r="H312" s="1647" t="str">
        <f>'Part II-Development Team'!H94</f>
        <v>Nashville</v>
      </c>
      <c r="I312" s="1665"/>
      <c r="J312" s="1665"/>
      <c r="K312" s="1651" t="s">
        <v>2704</v>
      </c>
      <c r="L312" s="1647" t="str">
        <f>'Part II-Development Team'!L94</f>
        <v>www.oneelmington.com</v>
      </c>
      <c r="M312" s="1665"/>
      <c r="N312" s="1665"/>
      <c r="O312" s="1654" t="s">
        <v>1721</v>
      </c>
      <c r="P312" s="1647"/>
      <c r="Q312" s="2116">
        <f>'Part II-Development Team'!Q94</f>
        <v>6154906721</v>
      </c>
      <c r="R312" s="2116"/>
      <c r="S312" s="2116"/>
    </row>
    <row r="313" spans="1:19">
      <c r="A313" s="1647"/>
      <c r="B313" s="1647"/>
      <c r="C313" s="1647"/>
      <c r="D313" s="1663"/>
      <c r="E313" s="1654" t="s">
        <v>1799</v>
      </c>
      <c r="F313" s="1647"/>
      <c r="G313" s="1647"/>
      <c r="H313" s="1654" t="str">
        <f>'Part II-Development Team'!H95</f>
        <v>TN</v>
      </c>
      <c r="I313" s="1647"/>
      <c r="J313" s="1647"/>
      <c r="K313" s="1651" t="s">
        <v>2229</v>
      </c>
      <c r="L313" s="2115">
        <f>'Part II-Development Team'!L95</f>
        <v>372033100</v>
      </c>
      <c r="M313" s="1665"/>
      <c r="N313" s="1647"/>
      <c r="O313" s="1654" t="s">
        <v>1979</v>
      </c>
      <c r="P313" s="1647"/>
      <c r="Q313" s="2116">
        <f>'Part II-Development Team'!Q95</f>
        <v>6159696667</v>
      </c>
      <c r="R313" s="2116"/>
      <c r="S313" s="2116"/>
    </row>
    <row r="314" spans="1:19">
      <c r="A314" s="1647"/>
      <c r="B314" s="1647"/>
      <c r="C314" s="1647"/>
      <c r="D314" s="1663"/>
      <c r="E314" s="1654" t="s">
        <v>4257</v>
      </c>
      <c r="F314" s="1647"/>
      <c r="G314" s="1647"/>
      <c r="H314" s="2116">
        <f>'Part II-Development Team'!H96</f>
        <v>6154906700</v>
      </c>
      <c r="I314" s="2116"/>
      <c r="J314" s="1661">
        <f>'Part II-Development Team'!J96</f>
        <v>0</v>
      </c>
      <c r="K314" s="1651" t="s">
        <v>1984</v>
      </c>
      <c r="L314" s="2023" t="str">
        <f>'Part II-Development Team'!L96</f>
        <v>bcather@elmingtonpm.com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Arnall Golden Gregory</v>
      </c>
      <c r="I316" s="1665"/>
      <c r="J316" s="1665"/>
      <c r="K316" s="1665"/>
      <c r="L316" s="1665"/>
      <c r="M316" s="1665"/>
      <c r="N316" s="1665"/>
      <c r="O316" s="1654" t="s">
        <v>1989</v>
      </c>
      <c r="P316" s="1654"/>
      <c r="Q316" s="1647" t="str">
        <f>'Part II-Development Team'!Q98</f>
        <v>Jeff Adams</v>
      </c>
      <c r="R316" s="1665"/>
      <c r="S316" s="1665"/>
    </row>
    <row r="317" spans="1:19">
      <c r="A317" s="1647"/>
      <c r="B317" s="1647"/>
      <c r="C317" s="1647"/>
      <c r="D317" s="1663"/>
      <c r="E317" s="1654" t="s">
        <v>1021</v>
      </c>
      <c r="F317" s="1657"/>
      <c r="G317" s="1647"/>
      <c r="H317" s="1647" t="str">
        <f>'Part II-Development Team'!H99</f>
        <v>171 17th Street</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Atlanta</v>
      </c>
      <c r="I318" s="1665"/>
      <c r="J318" s="1665"/>
      <c r="K318" s="1651" t="s">
        <v>2704</v>
      </c>
      <c r="L318" s="1647" t="str">
        <f>'Part II-Development Team'!L100</f>
        <v>www.agg.com</v>
      </c>
      <c r="M318" s="1665"/>
      <c r="N318" s="1665"/>
      <c r="O318" s="1654" t="s">
        <v>1721</v>
      </c>
      <c r="P318" s="1647"/>
      <c r="Q318" s="2116">
        <f>'Part II-Development Team'!Q100</f>
        <v>4048737014</v>
      </c>
      <c r="R318" s="2116"/>
      <c r="S318" s="2116"/>
    </row>
    <row r="319" spans="1:19">
      <c r="A319" s="1647"/>
      <c r="B319" s="1647"/>
      <c r="C319" s="1647"/>
      <c r="D319" s="1663"/>
      <c r="E319" s="1654" t="s">
        <v>1799</v>
      </c>
      <c r="F319" s="1647"/>
      <c r="G319" s="1647"/>
      <c r="H319" s="1654" t="str">
        <f>'Part II-Development Team'!H101</f>
        <v>GA</v>
      </c>
      <c r="I319" s="1647"/>
      <c r="J319" s="1647"/>
      <c r="K319" s="1651" t="s">
        <v>2229</v>
      </c>
      <c r="L319" s="2115">
        <f>'Part II-Development Team'!L101</f>
        <v>303631031</v>
      </c>
      <c r="M319" s="1665"/>
      <c r="N319" s="1647"/>
      <c r="O319" s="1654" t="s">
        <v>1979</v>
      </c>
      <c r="P319" s="1647"/>
      <c r="Q319" s="2116">
        <f>'Part II-Development Team'!Q101</f>
        <v>4042340004</v>
      </c>
      <c r="R319" s="2116"/>
      <c r="S319" s="2116"/>
    </row>
    <row r="320" spans="1:19">
      <c r="A320" s="1653"/>
      <c r="B320" s="1653"/>
      <c r="C320" s="1653"/>
      <c r="D320" s="1653"/>
      <c r="E320" s="1654" t="s">
        <v>4257</v>
      </c>
      <c r="F320" s="1647"/>
      <c r="G320" s="1647"/>
      <c r="H320" s="2116">
        <f>'Part II-Development Team'!H102</f>
        <v>4048737014</v>
      </c>
      <c r="I320" s="2116"/>
      <c r="J320" s="1661">
        <f>'Part II-Development Team'!J102</f>
        <v>0</v>
      </c>
      <c r="K320" s="1651" t="s">
        <v>1984</v>
      </c>
      <c r="L320" s="2023" t="str">
        <f>'Part II-Development Team'!L102</f>
        <v>jeff.adams@agg.com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Cohn Reznick</v>
      </c>
      <c r="I322" s="1665"/>
      <c r="J322" s="1665"/>
      <c r="K322" s="1665"/>
      <c r="L322" s="1665"/>
      <c r="M322" s="1665"/>
      <c r="N322" s="1665"/>
      <c r="O322" s="1654" t="s">
        <v>1989</v>
      </c>
      <c r="P322" s="1654"/>
      <c r="Q322" s="1647" t="str">
        <f>'Part II-Development Team'!Q104</f>
        <v>Julie McNulty</v>
      </c>
      <c r="R322" s="1665"/>
      <c r="S322" s="1665"/>
    </row>
    <row r="323" spans="1:19">
      <c r="A323" s="1647"/>
      <c r="B323" s="1647"/>
      <c r="C323" s="1647"/>
      <c r="D323" s="1663"/>
      <c r="E323" s="1654" t="s">
        <v>1021</v>
      </c>
      <c r="F323" s="1657"/>
      <c r="G323" s="1647"/>
      <c r="H323" s="1647" t="str">
        <f>'Part II-Development Team'!H105</f>
        <v>2560 Lenox Road, Suite 2800</v>
      </c>
      <c r="I323" s="1665"/>
      <c r="J323" s="1665"/>
      <c r="K323" s="1665"/>
      <c r="L323" s="1665"/>
      <c r="M323" s="1665"/>
      <c r="N323" s="1665"/>
      <c r="O323" s="1654" t="s">
        <v>1747</v>
      </c>
      <c r="P323" s="1647"/>
      <c r="Q323" s="1647" t="str">
        <f>'Part II-Development Team'!Q105</f>
        <v>Partner</v>
      </c>
      <c r="R323" s="1665"/>
      <c r="S323" s="1665"/>
    </row>
    <row r="324" spans="1:19">
      <c r="A324" s="1647"/>
      <c r="B324" s="1647"/>
      <c r="C324" s="1647"/>
      <c r="D324" s="1663"/>
      <c r="E324" s="1654" t="s">
        <v>618</v>
      </c>
      <c r="F324" s="1647"/>
      <c r="G324" s="1647"/>
      <c r="H324" s="1647" t="str">
        <f>'Part II-Development Team'!H106</f>
        <v>Atlanta</v>
      </c>
      <c r="I324" s="1665"/>
      <c r="J324" s="1665"/>
      <c r="K324" s="1651" t="s">
        <v>2704</v>
      </c>
      <c r="L324" s="1647" t="str">
        <f>'Part II-Development Team'!L106</f>
        <v>www.cohnreznick.com</v>
      </c>
      <c r="M324" s="1665"/>
      <c r="N324" s="1665"/>
      <c r="O324" s="1654" t="s">
        <v>1721</v>
      </c>
      <c r="P324" s="1647"/>
      <c r="Q324" s="2116">
        <f>'Part II-Development Team'!Q106</f>
        <v>4048479447</v>
      </c>
      <c r="R324" s="2116"/>
      <c r="S324" s="2116"/>
    </row>
    <row r="325" spans="1:19">
      <c r="A325" s="1647"/>
      <c r="B325" s="1647"/>
      <c r="C325" s="1647"/>
      <c r="D325" s="1663"/>
      <c r="E325" s="1654" t="s">
        <v>1799</v>
      </c>
      <c r="F325" s="1647"/>
      <c r="G325" s="1647"/>
      <c r="H325" s="1654" t="str">
        <f>'Part II-Development Team'!H107</f>
        <v>GA</v>
      </c>
      <c r="I325" s="1647"/>
      <c r="J325" s="1647"/>
      <c r="K325" s="1651" t="s">
        <v>2229</v>
      </c>
      <c r="L325" s="2115">
        <f>'Part II-Development Team'!L107</f>
        <v>303264726</v>
      </c>
      <c r="M325" s="1665"/>
      <c r="N325" s="1647"/>
      <c r="O325" s="1654" t="s">
        <v>1979</v>
      </c>
      <c r="P325" s="1647"/>
      <c r="Q325" s="2116">
        <f>'Part II-Development Team'!Q107</f>
        <v>6785760400</v>
      </c>
      <c r="R325" s="2116"/>
      <c r="S325" s="2116"/>
    </row>
    <row r="326" spans="1:19">
      <c r="A326" s="1653"/>
      <c r="B326" s="1653"/>
      <c r="C326" s="1653"/>
      <c r="D326" s="1653"/>
      <c r="E326" s="1654" t="s">
        <v>4257</v>
      </c>
      <c r="F326" s="1647"/>
      <c r="G326" s="1647"/>
      <c r="H326" s="2116">
        <f>'Part II-Development Team'!H108</f>
        <v>4048479447</v>
      </c>
      <c r="I326" s="2116"/>
      <c r="J326" s="1661">
        <f>'Part II-Development Team'!J108</f>
        <v>0</v>
      </c>
      <c r="K326" s="1651" t="s">
        <v>1984</v>
      </c>
      <c r="L326" s="2023" t="str">
        <f>'Part II-Development Team'!L108</f>
        <v>julie.mcnulty@cohnreznick.com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Geheber Lewis Associates LLC</v>
      </c>
      <c r="I328" s="1665"/>
      <c r="J328" s="1665"/>
      <c r="K328" s="1665"/>
      <c r="L328" s="1665"/>
      <c r="M328" s="1665"/>
      <c r="N328" s="1665"/>
      <c r="O328" s="1654" t="s">
        <v>1989</v>
      </c>
      <c r="P328" s="1654"/>
      <c r="Q328" s="1647" t="str">
        <f>'Part II-Development Team'!Q110</f>
        <v>Fred Geheber</v>
      </c>
      <c r="R328" s="1665"/>
      <c r="S328" s="1665"/>
    </row>
    <row r="329" spans="1:19">
      <c r="A329" s="1647"/>
      <c r="B329" s="1647"/>
      <c r="C329" s="1647"/>
      <c r="D329" s="1663"/>
      <c r="E329" s="1654" t="s">
        <v>1021</v>
      </c>
      <c r="F329" s="1657"/>
      <c r="G329" s="1647"/>
      <c r="H329" s="1647" t="str">
        <f>'Part II-Development Team'!H111</f>
        <v>643 11th Street</v>
      </c>
      <c r="I329" s="1665"/>
      <c r="J329" s="1665"/>
      <c r="K329" s="1665"/>
      <c r="L329" s="1665"/>
      <c r="M329" s="1665"/>
      <c r="N329" s="1665"/>
      <c r="O329" s="1654" t="s">
        <v>1747</v>
      </c>
      <c r="P329" s="1647"/>
      <c r="Q329" s="1647" t="str">
        <f>'Part II-Development Team'!Q111</f>
        <v>Partner</v>
      </c>
      <c r="R329" s="1665"/>
      <c r="S329" s="1665"/>
    </row>
    <row r="330" spans="1:19">
      <c r="A330" s="1647"/>
      <c r="B330" s="1647"/>
      <c r="C330" s="1647"/>
      <c r="D330" s="1663"/>
      <c r="E330" s="1654" t="s">
        <v>618</v>
      </c>
      <c r="F330" s="1647"/>
      <c r="G330" s="1647"/>
      <c r="H330" s="1647" t="str">
        <f>'Part II-Development Team'!H112</f>
        <v>Atlanta</v>
      </c>
      <c r="I330" s="1665"/>
      <c r="J330" s="1665"/>
      <c r="K330" s="1651" t="s">
        <v>2704</v>
      </c>
      <c r="L330" s="1647" t="str">
        <f>'Part II-Development Team'!L112</f>
        <v>glaatl.com</v>
      </c>
      <c r="M330" s="1665"/>
      <c r="N330" s="1665"/>
      <c r="O330" s="1654" t="s">
        <v>1721</v>
      </c>
      <c r="P330" s="1647"/>
      <c r="Q330" s="2116">
        <f>'Part II-Development Team'!Q112</f>
        <v>4042281958</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303185419</v>
      </c>
      <c r="M331" s="1665"/>
      <c r="N331" s="1647"/>
      <c r="O331" s="1654" t="s">
        <v>1979</v>
      </c>
      <c r="P331" s="1647"/>
      <c r="Q331" s="2116">
        <f>'Part II-Development Team'!Q113</f>
        <v>4047979944</v>
      </c>
      <c r="R331" s="2116"/>
      <c r="S331" s="2116"/>
    </row>
    <row r="332" spans="1:19">
      <c r="A332" s="1647"/>
      <c r="B332" s="1647"/>
      <c r="C332" s="1647"/>
      <c r="D332" s="1663"/>
      <c r="E332" s="1654" t="s">
        <v>4257</v>
      </c>
      <c r="F332" s="1647"/>
      <c r="G332" s="1647"/>
      <c r="H332" s="2116">
        <f>'Part II-Development Team'!H114</f>
        <v>4042281958</v>
      </c>
      <c r="I332" s="2116"/>
      <c r="J332" s="1661">
        <f>'Part II-Development Team'!J114</f>
        <v>0</v>
      </c>
      <c r="K332" s="1651" t="s">
        <v>1984</v>
      </c>
      <c r="L332" s="2023" t="str">
        <f>'Part II-Development Team'!L114</f>
        <v>fgeheber@glaatl.com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5096</v>
      </c>
      <c r="D335" s="1647"/>
      <c r="E335" s="1647"/>
      <c r="F335" s="1647"/>
      <c r="G335" s="1647"/>
      <c r="H335" s="1647">
        <f>'Part II-Development Team'!H117</f>
        <v>0</v>
      </c>
      <c r="I335" s="1647"/>
      <c r="J335" s="1647"/>
      <c r="K335" s="1651" t="s">
        <v>2474</v>
      </c>
      <c r="L335" s="1647">
        <f>'Part II-Development Team'!L117</f>
        <v>0</v>
      </c>
      <c r="M335" s="1665"/>
      <c r="N335" s="1665"/>
      <c r="O335" s="1654" t="s">
        <v>3578</v>
      </c>
      <c r="P335" s="1647"/>
      <c r="Q335" s="2116">
        <f>'Part II-Development Team'!Q117</f>
        <v>0</v>
      </c>
      <c r="R335" s="2724"/>
      <c r="S335" s="2724"/>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c r="A338" s="1653"/>
      <c r="B338" s="1647" t="s">
        <v>1985</v>
      </c>
      <c r="C338" s="1647" t="s">
        <v>5087</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3881</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Yes</v>
      </c>
      <c r="G340" s="1890" t="str">
        <f>'Part II-Development Team'!G122</f>
        <v>Some of the members of the Developer entity, Prestwick Development, LLC are also members of Prestwick Construction Company, LLC.</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Yes</v>
      </c>
      <c r="G342" s="1890" t="str">
        <f>'Part II-Development Team'!G124</f>
        <v>Some of the members of the General Partner entity, Somersby Family I GP, LLC are also members of Prestwick Construction Company, LLC.</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5033</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5032</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5145</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5088</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5097</v>
      </c>
      <c r="L352" s="1682" t="s">
        <v>5098</v>
      </c>
      <c r="M352" s="1682" t="s">
        <v>5099</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5146</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 xml:space="preserve">Some members of Prestwick Development Company, LLC are also members of both the GP entity and members of Prestwick Construction Company, the contractor </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40.2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 xml:space="preserve">Some members of Prestwick Development Company, LLC are also members of both the GP entity and members of Prestwick Construction Company, the contractor </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f>'Part II-Development Team'!M146</f>
        <v>0</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f>'Part II-Development Team'!M149</f>
        <v>0</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40.2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Yes</v>
      </c>
      <c r="N368" s="1890" t="str">
        <f>'Part II-Development Team'!N150</f>
        <v xml:space="preserve">Some members of Prestwick Development Company, LLC are also members of both the GP entity and members of Prestwick Construction Company, the contractor </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216">
      <c r="A372" s="1708" t="str">
        <f>'Part II-Development Team'!A154</f>
        <v xml:space="preserve">Some members of Prestwick Development Company, LLC are also members of both the GP entity and members of Prestwick Construction Company, LLC, the contractor for the project.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Somersby, College Park,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4502</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5007</v>
      </c>
      <c r="D383" s="1647"/>
      <c r="E383" s="1651" t="str">
        <f>'Part III-Sources of Funds'!E6</f>
        <v>No</v>
      </c>
      <c r="F383" s="1654" t="s">
        <v>4503</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5147</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3619</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5008</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3721</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3680</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3685</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3888</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3724</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3887</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5005</v>
      </c>
      <c r="G391" s="1710"/>
      <c r="H391" s="1710"/>
      <c r="I391" s="1766">
        <f>'Part III-Sources of Funds'!I14</f>
        <v>30000000</v>
      </c>
      <c r="J391" s="1766">
        <f>'Part III-Sources of Funds'!J14</f>
        <v>0</v>
      </c>
      <c r="K391" s="1710"/>
      <c r="L391" s="1651" t="str">
        <f>'Part III-Sources of Funds'!L14</f>
        <v>No</v>
      </c>
      <c r="M391" s="1649" t="s">
        <v>5148</v>
      </c>
      <c r="N391" s="1710"/>
      <c r="O391" s="1710"/>
      <c r="P391" s="1710"/>
      <c r="Q391" s="1710"/>
      <c r="R391" s="1710"/>
      <c r="S391" s="1710"/>
      <c r="T391" s="1710"/>
    </row>
    <row r="392" spans="1:20" ht="13.5">
      <c r="A392" s="1651"/>
      <c r="B392" s="1710" t="s">
        <v>5009</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4961</v>
      </c>
      <c r="M396" s="1647"/>
      <c r="N396" s="1647" t="s">
        <v>1507</v>
      </c>
      <c r="O396" s="1647"/>
      <c r="P396" s="1647" t="s">
        <v>1630</v>
      </c>
      <c r="Q396" s="1647"/>
      <c r="R396" s="1710"/>
      <c r="S396" s="2111" t="s">
        <v>2683</v>
      </c>
      <c r="T396" s="2111"/>
    </row>
    <row r="397" spans="1:20" ht="13.5">
      <c r="A397" s="1647"/>
      <c r="B397" s="1647" t="s">
        <v>1591</v>
      </c>
      <c r="C397" s="1647"/>
      <c r="D397" s="1647"/>
      <c r="E397" s="1647"/>
      <c r="F397" s="1647"/>
      <c r="G397" s="1647"/>
      <c r="H397" s="1703" t="str">
        <f>'Part III-Sources of Funds'!H20</f>
        <v>Bank OZK</v>
      </c>
      <c r="I397" s="1703">
        <f>'Part III-Sources of Funds'!I20</f>
        <v>0</v>
      </c>
      <c r="J397" s="1703">
        <f>'Part III-Sources of Funds'!J20</f>
        <v>0</v>
      </c>
      <c r="K397" s="1703">
        <f>'Part III-Sources of Funds'!K20</f>
        <v>0</v>
      </c>
      <c r="L397" s="1729">
        <f>'Part III-Sources of Funds'!L20</f>
        <v>35778595</v>
      </c>
      <c r="M397" s="1729">
        <f>'Part III-Sources of Funds'!M20</f>
        <v>0</v>
      </c>
      <c r="N397" s="1712">
        <f>'Part III-Sources of Funds'!N20</f>
        <v>0.04</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38.25">
      <c r="A403" s="1647"/>
      <c r="B403" s="1647" t="s">
        <v>802</v>
      </c>
      <c r="C403" s="1647"/>
      <c r="D403" s="1647"/>
      <c r="E403" s="1647"/>
      <c r="F403" s="1710"/>
      <c r="G403" s="1710"/>
      <c r="H403" s="1703" t="str">
        <f>'Part III-Sources of Funds'!H26</f>
        <v>Truist Community Capital</v>
      </c>
      <c r="I403" s="1703">
        <f>'Part III-Sources of Funds'!I26</f>
        <v>0</v>
      </c>
      <c r="J403" s="1703">
        <f>'Part III-Sources of Funds'!J26</f>
        <v>0</v>
      </c>
      <c r="K403" s="1703">
        <f>'Part III-Sources of Funds'!K26</f>
        <v>0</v>
      </c>
      <c r="L403" s="1729">
        <f>'Part III-Sources of Funds'!L26</f>
        <v>9974556.3646079991</v>
      </c>
      <c r="M403" s="1729">
        <f>'Part III-Sources of Funds'!M26</f>
        <v>0</v>
      </c>
      <c r="N403" s="1647"/>
      <c r="O403" s="1710"/>
      <c r="P403" s="1710"/>
      <c r="Q403" s="1647"/>
      <c r="R403" s="1710"/>
      <c r="S403" s="1708">
        <f>'Part III-Sources of Funds'!S26</f>
        <v>0</v>
      </c>
      <c r="T403" s="1708">
        <f>'Part III-Sources of Funds'!T26</f>
        <v>0</v>
      </c>
    </row>
    <row r="404" spans="1:20" ht="38.25">
      <c r="A404" s="1647"/>
      <c r="B404" s="1647" t="s">
        <v>803</v>
      </c>
      <c r="C404" s="1647"/>
      <c r="D404" s="1647"/>
      <c r="E404" s="1647"/>
      <c r="F404" s="1710"/>
      <c r="G404" s="1710"/>
      <c r="H404" s="1703" t="str">
        <f>'Part III-Sources of Funds'!H27</f>
        <v>Truist Community Capital</v>
      </c>
      <c r="I404" s="1703">
        <f>'Part III-Sources of Funds'!I27</f>
        <v>0</v>
      </c>
      <c r="J404" s="1703">
        <f>'Part III-Sources of Funds'!J27</f>
        <v>0</v>
      </c>
      <c r="K404" s="1703">
        <f>'Part III-Sources of Funds'!K27</f>
        <v>0</v>
      </c>
      <c r="L404" s="1729">
        <f>'Part III-Sources of Funds'!L27</f>
        <v>6442545.2400000002</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52195696.604607999</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44736038.819839999</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7459657.7847680002</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4960</v>
      </c>
      <c r="J414" s="1647"/>
      <c r="K414" s="1651" t="s">
        <v>1806</v>
      </c>
      <c r="L414" s="1651" t="s">
        <v>2214</v>
      </c>
      <c r="M414" s="1651" t="s">
        <v>2214</v>
      </c>
      <c r="N414" s="1647" t="s">
        <v>74</v>
      </c>
      <c r="O414" s="1647"/>
      <c r="P414" s="1658"/>
      <c r="Q414" s="1658"/>
      <c r="R414" s="1710"/>
      <c r="S414" s="2111" t="s">
        <v>2683</v>
      </c>
      <c r="T414" s="2111"/>
    </row>
    <row r="415" spans="1:20" ht="51">
      <c r="A415" s="1647"/>
      <c r="B415" s="1647" t="s">
        <v>2614</v>
      </c>
      <c r="C415" s="1647"/>
      <c r="D415" s="1647"/>
      <c r="E415" s="1703" t="str">
        <f>'Part III-Sources of Funds'!E38</f>
        <v>Bellwether Enterprise Freddie TEL</v>
      </c>
      <c r="F415" s="1703">
        <f>'Part III-Sources of Funds'!F38</f>
        <v>0</v>
      </c>
      <c r="G415" s="1703">
        <f>'Part III-Sources of Funds'!G38</f>
        <v>0</v>
      </c>
      <c r="H415" s="1703">
        <f>'Part III-Sources of Funds'!H38</f>
        <v>0</v>
      </c>
      <c r="I415" s="1779">
        <f>'Part III-Sources of Funds'!I38</f>
        <v>21063604.093558483</v>
      </c>
      <c r="J415" s="1647">
        <f>'Part III-Sources of Funds'!J38</f>
        <v>0</v>
      </c>
      <c r="K415" s="1716">
        <f>'Part III-Sources of Funds'!K38</f>
        <v>3.5999999999999997E-2</v>
      </c>
      <c r="L415" s="1651">
        <f>'Part III-Sources of Funds'!L38</f>
        <v>18</v>
      </c>
      <c r="M415" s="1651">
        <f>'Part III-Sources of Funds'!M38</f>
        <v>35</v>
      </c>
      <c r="N415" s="1647" t="str">
        <f>'Part III-Sources of Funds'!N38</f>
        <v>Amortizing</v>
      </c>
      <c r="O415" s="1647">
        <f>'Part III-Sources of Funds'!O38</f>
        <v>0</v>
      </c>
      <c r="P415" s="1717">
        <f>'Part III-Sources of Funds'!P38</f>
        <v>1059344.3643382434</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63.75">
      <c r="A420" s="1647"/>
      <c r="B420" s="1647" t="s">
        <v>228</v>
      </c>
      <c r="C420" s="1647"/>
      <c r="D420" s="1718">
        <f>'Part III-Sources of Funds'!D43</f>
        <v>0.44943628571428573</v>
      </c>
      <c r="E420" s="1703" t="str">
        <f>'Part III-Sources of Funds'!E43</f>
        <v>Prestwick Development Company, LLC</v>
      </c>
      <c r="F420" s="1703">
        <f>'Part III-Sources of Funds'!F43</f>
        <v>0</v>
      </c>
      <c r="G420" s="1703">
        <f>'Part III-Sources of Funds'!G43</f>
        <v>0</v>
      </c>
      <c r="H420" s="1703">
        <f>'Part III-Sources of Funds'!H43</f>
        <v>0</v>
      </c>
      <c r="I420" s="1766">
        <f>'Part III-Sources of Funds'!I43</f>
        <v>1573027</v>
      </c>
      <c r="J420" s="1766">
        <f>'Part III-Sources of Funds'!J43</f>
        <v>0</v>
      </c>
      <c r="K420" s="1716">
        <f>'Part III-Sources of Funds'!K43</f>
        <v>0</v>
      </c>
      <c r="L420" s="1651">
        <f>'Part III-Sources of Funds'!L43</f>
        <v>6</v>
      </c>
      <c r="M420" s="1651">
        <f>'Part III-Sources of Funds'!M43</f>
        <v>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4184</v>
      </c>
      <c r="C422" s="1647"/>
      <c r="D422" s="1710"/>
      <c r="E422" s="1710" t="s">
        <v>4086</v>
      </c>
      <c r="F422" s="1719">
        <f>'Part III-Sources of Funds'!F45</f>
        <v>1756385.6056866103</v>
      </c>
      <c r="G422" s="1710">
        <f>'Part III-Sources of Funds'!G45</f>
        <v>0</v>
      </c>
      <c r="H422" s="1711" t="s">
        <v>4183</v>
      </c>
      <c r="I422" s="1719">
        <f>'Part III-Sources of Funds'!I45</f>
        <v>819714.55726175662</v>
      </c>
      <c r="J422" s="1710">
        <f>'Part III-Sources of Funds'!J45</f>
        <v>0</v>
      </c>
      <c r="K422" s="1711" t="s">
        <v>4185</v>
      </c>
      <c r="L422" s="1720">
        <f>'Part III-Sources of Funds'!L45</f>
        <v>0.46670534910317252</v>
      </c>
      <c r="M422" s="1720">
        <f>'Part III-Sources of Funds'!M45</f>
        <v>0</v>
      </c>
      <c r="N422" s="1717" t="s">
        <v>4972</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38.25">
      <c r="A426" s="1647"/>
      <c r="B426" s="1647" t="s">
        <v>802</v>
      </c>
      <c r="C426" s="1647"/>
      <c r="D426" s="1647"/>
      <c r="E426" s="1703" t="str">
        <f>'Part III-Sources of Funds'!E49</f>
        <v>Truist Community Capital</v>
      </c>
      <c r="F426" s="1703">
        <f>'Part III-Sources of Funds'!F49</f>
        <v>0</v>
      </c>
      <c r="G426" s="1703">
        <f>'Part III-Sources of Funds'!G49</f>
        <v>0</v>
      </c>
      <c r="H426" s="1703">
        <f>'Part III-Sources of Funds'!H49</f>
        <v>0</v>
      </c>
      <c r="I426" s="1779">
        <f>'Part III-Sources of Funds'!I49</f>
        <v>16624260.60768</v>
      </c>
      <c r="J426" s="1779">
        <f>'Part III-Sources of Funds'!J49</f>
        <v>0</v>
      </c>
      <c r="K426" s="1710"/>
      <c r="L426" s="1723">
        <f>'Part IV-A-Uses of Funds'!$J$175*10*'Part IV-A-Uses of Funds'!$N$168</f>
        <v>16625923.199999999</v>
      </c>
      <c r="M426" s="1723"/>
      <c r="N426" s="1724">
        <f>I426-L426</f>
        <v>-1662.5923199988902</v>
      </c>
      <c r="O426" s="1724"/>
      <c r="P426" s="1725" t="s">
        <v>2560</v>
      </c>
      <c r="Q426" s="1647"/>
      <c r="R426" s="1710"/>
      <c r="S426" s="1708">
        <f>'Part III-Sources of Funds'!S49</f>
        <v>0</v>
      </c>
      <c r="T426" s="1708">
        <f>'Part III-Sources of Funds'!T49</f>
        <v>0</v>
      </c>
    </row>
    <row r="427" spans="1:20" ht="38.25">
      <c r="A427" s="1647"/>
      <c r="B427" s="1647" t="s">
        <v>803</v>
      </c>
      <c r="C427" s="1647"/>
      <c r="D427" s="1647"/>
      <c r="E427" s="1703" t="str">
        <f>'Part III-Sources of Funds'!E50</f>
        <v>Truist Community Capital</v>
      </c>
      <c r="F427" s="1703">
        <f>'Part III-Sources of Funds'!F50</f>
        <v>0</v>
      </c>
      <c r="G427" s="1703">
        <f>'Part III-Sources of Funds'!G50</f>
        <v>0</v>
      </c>
      <c r="H427" s="1703">
        <f>'Part III-Sources of Funds'!H50</f>
        <v>0</v>
      </c>
      <c r="I427" s="1779">
        <f>'Part III-Sources of Funds'!I50</f>
        <v>10737575.4</v>
      </c>
      <c r="J427" s="1779">
        <f>'Part III-Sources of Funds'!J50</f>
        <v>0</v>
      </c>
      <c r="K427" s="1710"/>
      <c r="L427" s="1723">
        <f>'Part IV-A-Uses of Funds'!$J$175*10*'Part IV-A-Uses of Funds'!$Q$168</f>
        <v>10737575.4</v>
      </c>
      <c r="M427" s="1723"/>
      <c r="N427" s="1724">
        <f>I427-L427</f>
        <v>0</v>
      </c>
      <c r="O427" s="1724"/>
      <c r="P427" s="1726">
        <f>I426/I436</f>
        <v>0.33249540766084634</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0.21475809325695563</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0.547253500917802</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49998467.101238482</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49998466.819839999</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0.28139848262071609</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Somersby,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Somersby,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22000</v>
      </c>
      <c r="H453" s="1729"/>
      <c r="I453" s="1647"/>
      <c r="J453" s="1729">
        <f>'Part IV-A-Uses of Funds'!J8</f>
        <v>22000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10000</v>
      </c>
      <c r="H454" s="1729"/>
      <c r="I454" s="1647"/>
      <c r="J454" s="1729">
        <f>'Part IV-A-Uses of Funds'!J9</f>
        <v>10000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43000</v>
      </c>
      <c r="H455" s="1729"/>
      <c r="I455" s="1647"/>
      <c r="J455" s="1729">
        <f>'Part IV-A-Uses of Funds'!J10</f>
        <v>43000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11500</v>
      </c>
      <c r="H456" s="1729"/>
      <c r="I456" s="1647"/>
      <c r="J456" s="1729">
        <f>'Part IV-A-Uses of Funds'!J11</f>
        <v>11500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7000</v>
      </c>
      <c r="H457" s="1729"/>
      <c r="I457" s="1647"/>
      <c r="J457" s="1729">
        <f>'Part IV-A-Uses of Funds'!J12</f>
        <v>7000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93500</v>
      </c>
      <c r="H462" s="1729"/>
      <c r="I462" s="1647"/>
      <c r="J462" s="1729">
        <f>SUM(J453:K461)</f>
        <v>93500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3726</v>
      </c>
      <c r="F464" s="1736">
        <f>IF('Part I-Project Information'!$O$37="","",G464/'Part I-Project Information'!$O$37)</f>
        <v>412371.13402061857</v>
      </c>
      <c r="G464" s="1729">
        <f>'Part IV-A-Uses of Funds'!G19</f>
        <v>3200000</v>
      </c>
      <c r="H464" s="1729"/>
      <c r="I464" s="1647"/>
      <c r="J464" s="1664"/>
      <c r="K464" s="1729"/>
      <c r="L464" s="1664"/>
      <c r="M464" s="1664"/>
      <c r="N464" s="1729"/>
      <c r="O464" s="1647"/>
      <c r="P464" s="1664"/>
      <c r="Q464" s="1729"/>
      <c r="R464" s="1647"/>
      <c r="S464" s="1729">
        <f>'Part IV-A-Uses of Funds'!S19</f>
        <v>3200000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3200000</v>
      </c>
      <c r="H468" s="1729"/>
      <c r="I468" s="1647"/>
      <c r="J468" s="1664"/>
      <c r="K468" s="1729"/>
      <c r="L468" s="1664"/>
      <c r="M468" s="1729">
        <f>SUM(M466:N467)</f>
        <v>0</v>
      </c>
      <c r="N468" s="1729"/>
      <c r="O468" s="1647"/>
      <c r="P468" s="1664"/>
      <c r="Q468" s="1729"/>
      <c r="R468" s="1647"/>
      <c r="S468" s="1729">
        <f>SUM(S464:T467)</f>
        <v>3200000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3726</v>
      </c>
      <c r="F470" s="1736">
        <f>IF('Part I-Project Information'!$O$37="","",G470/'Part I-Project Information'!$O$37)</f>
        <v>48324.742268041242</v>
      </c>
      <c r="G470" s="1729">
        <f>'Part IV-A-Uses of Funds'!G25</f>
        <v>375000</v>
      </c>
      <c r="H470" s="1729"/>
      <c r="I470" s="1647"/>
      <c r="J470" s="1729">
        <f>'Part IV-A-Uses of Funds'!J25</f>
        <v>225000</v>
      </c>
      <c r="K470" s="1729"/>
      <c r="L470" s="1664"/>
      <c r="M470" s="1729">
        <f>'Part IV-A-Uses of Funds'!M25</f>
        <v>0</v>
      </c>
      <c r="N470" s="1729"/>
      <c r="O470" s="1647"/>
      <c r="P470" s="1729">
        <f>'Part IV-A-Uses of Funds'!P25</f>
        <v>0</v>
      </c>
      <c r="Q470" s="1729"/>
      <c r="R470" s="1647"/>
      <c r="S470" s="1729">
        <f>'Part IV-A-Uses of Funds'!S25</f>
        <v>150000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50000</v>
      </c>
      <c r="H471" s="1729"/>
      <c r="I471" s="1647"/>
      <c r="J471" s="1729">
        <f>'Part IV-A-Uses of Funds'!J26</f>
        <v>0</v>
      </c>
      <c r="K471" s="1729"/>
      <c r="L471" s="2733"/>
      <c r="M471" s="1729"/>
      <c r="N471" s="1729"/>
      <c r="O471" s="1647"/>
      <c r="P471" s="1729"/>
      <c r="Q471" s="1729"/>
      <c r="R471" s="1647"/>
      <c r="S471" s="1729">
        <f>'Part IV-A-Uses of Funds'!S26</f>
        <v>50000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425000</v>
      </c>
      <c r="H472" s="1729"/>
      <c r="I472" s="1647"/>
      <c r="J472" s="1729">
        <f>SUM(J470:K471)</f>
        <v>225000</v>
      </c>
      <c r="K472" s="1729"/>
      <c r="L472" s="1664"/>
      <c r="M472" s="1729">
        <f>M470</f>
        <v>0</v>
      </c>
      <c r="N472" s="1729"/>
      <c r="O472" s="1647"/>
      <c r="P472" s="1729">
        <f>P470</f>
        <v>0</v>
      </c>
      <c r="Q472" s="1729"/>
      <c r="R472" s="1647"/>
      <c r="S472" s="1729">
        <f>SUM(S470:T471)</f>
        <v>200000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30277614.720000003</v>
      </c>
      <c r="H474" s="1729"/>
      <c r="I474" s="1647"/>
      <c r="J474" s="1729">
        <f>'Part IV-A-Uses of Funds'!J29</f>
        <v>30262614.720000003</v>
      </c>
      <c r="K474" s="1729"/>
      <c r="L474" s="1664"/>
      <c r="M474" s="1729">
        <f>'Part IV-A-Uses of Funds'!M29</f>
        <v>0</v>
      </c>
      <c r="N474" s="1729"/>
      <c r="O474" s="1647"/>
      <c r="P474" s="1729">
        <f>'Part IV-A-Uses of Funds'!P29</f>
        <v>0</v>
      </c>
      <c r="Q474" s="1729"/>
      <c r="R474" s="1647"/>
      <c r="S474" s="1729">
        <f>'Part IV-A-Uses of Funds'!S29</f>
        <v>15000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30277614.720000003</v>
      </c>
      <c r="H478" s="1729"/>
      <c r="I478" s="1647"/>
      <c r="J478" s="1729">
        <f>SUM(J474:K477)</f>
        <v>30262614.720000003</v>
      </c>
      <c r="K478" s="1729"/>
      <c r="L478" s="1664"/>
      <c r="M478" s="1729">
        <f>SUM(M474:N477)</f>
        <v>0</v>
      </c>
      <c r="N478" s="1729"/>
      <c r="O478" s="1647"/>
      <c r="P478" s="1729">
        <f>SUM(P474:Q477)</f>
        <v>0</v>
      </c>
      <c r="Q478" s="1729"/>
      <c r="R478" s="1647"/>
      <c r="S478" s="1729">
        <f>SUM(S474:T477)</f>
        <v>15000</v>
      </c>
      <c r="T478" s="1729"/>
      <c r="U478" s="1647"/>
      <c r="V478" s="1735">
        <f>SUM(V474:V477)</f>
        <v>0</v>
      </c>
      <c r="W478" s="1485">
        <f>'Part IV-A-Uses of Funds'!W33</f>
        <v>0</v>
      </c>
      <c r="X478" s="1485"/>
    </row>
    <row r="479" spans="1:24" ht="13.5">
      <c r="A479" s="1647"/>
      <c r="B479" s="1647" t="s">
        <v>2343</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1842156.8832</v>
      </c>
      <c r="F480" s="1742">
        <f>IF(($G$27+$G$33)=0,0,G480/($G$27+$G$33))</f>
        <v>0</v>
      </c>
      <c r="G480" s="1729">
        <f>'Part IV-A-Uses of Funds'!G35</f>
        <v>1842156.8831999998</v>
      </c>
      <c r="H480" s="1729"/>
      <c r="I480" s="1653"/>
      <c r="J480" s="1729">
        <f>'Part IV-A-Uses of Funds'!J35</f>
        <v>1842156.8831999998</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614052.29440000001</v>
      </c>
      <c r="F481" s="1742">
        <f>IF(($G$27+$G$33)=0,0,G481/($G$27+$G$33))</f>
        <v>0</v>
      </c>
      <c r="G481" s="1729">
        <f>'Part IV-A-Uses of Funds'!G36</f>
        <v>614052.29440000001</v>
      </c>
      <c r="H481" s="1729"/>
      <c r="I481" s="1653"/>
      <c r="J481" s="1729">
        <f>'Part IV-A-Uses of Funds'!J36</f>
        <v>614052.29440000001</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1842156.8832</v>
      </c>
      <c r="F482" s="1742">
        <f>IF(($G$27+$G$33)=0,0,G482/($G$27+$G$33))</f>
        <v>0</v>
      </c>
      <c r="G482" s="1729">
        <f>'Part IV-A-Uses of Funds'!G37</f>
        <v>1842156.8831999998</v>
      </c>
      <c r="H482" s="1729"/>
      <c r="I482" s="1653"/>
      <c r="J482" s="1729">
        <f>'Part IV-A-Uses of Funds'!J37</f>
        <v>1842156.8831999998</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3731</v>
      </c>
      <c r="C483" s="1647"/>
      <c r="D483" s="2736">
        <f>SUM(D480:D482)</f>
        <v>0.14000000000000001</v>
      </c>
      <c r="E483" s="2737">
        <f>SUM(E480:E482)</f>
        <v>4298366.0608000001</v>
      </c>
      <c r="F483" s="1761" t="s">
        <v>191</v>
      </c>
      <c r="G483" s="1729">
        <f>SUM(G480:H482)</f>
        <v>4298366.0608000001</v>
      </c>
      <c r="H483" s="1729"/>
      <c r="I483" s="1647"/>
      <c r="J483" s="1729">
        <f>SUM(J480:K482)</f>
        <v>4298366.0608000001</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4505</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Site Lighting</v>
      </c>
      <c r="D486" s="1810"/>
      <c r="E486" s="1810"/>
      <c r="F486" s="1810"/>
      <c r="G486" s="1729">
        <f>'Part IV-A-Uses of Funds'!G41</f>
        <v>90000</v>
      </c>
      <c r="H486" s="1729"/>
      <c r="I486" s="1647"/>
      <c r="J486" s="1729">
        <f>'Part IV-A-Uses of Funds'!J41</f>
        <v>90000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5149</v>
      </c>
      <c r="C488" s="1746"/>
      <c r="D488" s="1647"/>
      <c r="E488" s="1703" t="s">
        <v>2744</v>
      </c>
      <c r="F488" s="1747">
        <f>B489/'Part VI-Revenues &amp; Expenses'!$O$65</f>
        <v>143815.49500327869</v>
      </c>
      <c r="G488" s="1748" t="s">
        <v>4507</v>
      </c>
      <c r="H488" s="1647"/>
      <c r="I488" s="1647"/>
      <c r="J488" s="1749">
        <f>B489/'Part VI-Revenues &amp; Expenses'!$O$67</f>
        <v>143815.49500327869</v>
      </c>
      <c r="K488" s="1749"/>
      <c r="L488" s="1647"/>
      <c r="M488" s="1750" t="s">
        <v>1402</v>
      </c>
      <c r="N488" s="1750"/>
      <c r="O488" s="1647"/>
      <c r="P488" s="1749">
        <f>B489/'Part I-Project Information'!$P$75</f>
        <v>153.40185345177309</v>
      </c>
      <c r="Q488" s="1749"/>
      <c r="R488" s="1647"/>
      <c r="S488" s="1671" t="s">
        <v>2778</v>
      </c>
      <c r="T488" s="1671"/>
      <c r="U488" s="1647"/>
      <c r="V488" s="1735"/>
      <c r="W488" s="1485">
        <f>'Part IV-A-Uses of Funds'!W43</f>
        <v>0</v>
      </c>
      <c r="X488" s="1485"/>
    </row>
    <row r="489" spans="1:24">
      <c r="A489" s="1647"/>
      <c r="B489" s="1751">
        <f>G472+G478+G483+G486</f>
        <v>35090980.7808</v>
      </c>
      <c r="C489" s="1751"/>
      <c r="D489" s="1647"/>
      <c r="E489" s="1703"/>
      <c r="F489" s="1747">
        <f>B489/'Part VI-Revenues &amp; Expenses'!$O$154</f>
        <v>156.48012406043202</v>
      </c>
      <c r="G489" s="1671" t="s">
        <v>4508</v>
      </c>
      <c r="H489" s="1647"/>
      <c r="I489" s="1647"/>
      <c r="J489" s="1749">
        <f>B489/'Part VI-Revenues &amp; Expenses'!$O$156</f>
        <v>156.48012406043202</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4189</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1754549.0390400002</v>
      </c>
      <c r="F492" s="1755">
        <f>G492/B489</f>
        <v>4.9871761920018437E-2</v>
      </c>
      <c r="G492" s="1729">
        <f>'Part IV-A-Uses of Funds'!G47</f>
        <v>1750049.0390400002</v>
      </c>
      <c r="H492" s="1729"/>
      <c r="I492" s="1647"/>
      <c r="J492" s="1729">
        <f>'Part IV-A-Uses of Funds'!J47</f>
        <v>1750049.0390400002</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4509</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178036</v>
      </c>
      <c r="H499" s="1729"/>
      <c r="I499" s="1647"/>
      <c r="J499" s="1729">
        <f>'Part IV-A-Uses of Funds'!J54</f>
        <v>178036</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1453505</v>
      </c>
      <c r="H500" s="1729"/>
      <c r="I500" s="1647"/>
      <c r="J500" s="1729">
        <f>'Part IV-A-Uses of Funds'!J55</f>
        <v>1235479</v>
      </c>
      <c r="K500" s="1729"/>
      <c r="L500" s="1664"/>
      <c r="M500" s="1729">
        <f>'Part IV-A-Uses of Funds'!M55</f>
        <v>0</v>
      </c>
      <c r="N500" s="1729"/>
      <c r="O500" s="1647"/>
      <c r="P500" s="1729">
        <f>'Part IV-A-Uses of Funds'!P55</f>
        <v>0</v>
      </c>
      <c r="Q500" s="1729"/>
      <c r="R500" s="1647"/>
      <c r="S500" s="1729">
        <f>'Part IV-A-Uses of Funds'!S55</f>
        <v>218026</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35000</v>
      </c>
      <c r="H501" s="1729"/>
      <c r="I501" s="1647"/>
      <c r="J501" s="1729">
        <f>'Part IV-A-Uses of Funds'!J56</f>
        <v>35000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20000</v>
      </c>
      <c r="H502" s="1729"/>
      <c r="I502" s="1647"/>
      <c r="J502" s="1729">
        <f>'Part IV-A-Uses of Funds'!J57</f>
        <v>20000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25000</v>
      </c>
      <c r="H503" s="1729"/>
      <c r="I503" s="1647"/>
      <c r="J503" s="1729">
        <f>'Part IV-A-Uses of Funds'!J58</f>
        <v>25000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100000</v>
      </c>
      <c r="H504" s="1729"/>
      <c r="I504" s="1647"/>
      <c r="J504" s="1729">
        <f>'Part IV-A-Uses of Funds'!J59</f>
        <v>100000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75000</v>
      </c>
      <c r="H505" s="1729"/>
      <c r="I505" s="1647"/>
      <c r="J505" s="1729">
        <f>'Part IV-A-Uses of Funds'!J60</f>
        <v>37500</v>
      </c>
      <c r="K505" s="1729"/>
      <c r="L505" s="1664"/>
      <c r="M505" s="1729">
        <f>'Part IV-A-Uses of Funds'!M60</f>
        <v>0</v>
      </c>
      <c r="N505" s="1729"/>
      <c r="O505" s="1647"/>
      <c r="P505" s="1729">
        <f>'Part IV-A-Uses of Funds'!P60</f>
        <v>0</v>
      </c>
      <c r="Q505" s="1729"/>
      <c r="R505" s="1647"/>
      <c r="S505" s="1729">
        <f>'Part IV-A-Uses of Funds'!S60</f>
        <v>37500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1886541</v>
      </c>
      <c r="H509" s="1729"/>
      <c r="I509" s="1647"/>
      <c r="J509" s="1729">
        <f>SUM(J497:K508)</f>
        <v>1631015</v>
      </c>
      <c r="K509" s="1729"/>
      <c r="L509" s="1664"/>
      <c r="M509" s="1729">
        <f>SUM(M497:N508)</f>
        <v>0</v>
      </c>
      <c r="N509" s="1729"/>
      <c r="O509" s="1647"/>
      <c r="P509" s="1729">
        <f>SUM(P497:Q508)</f>
        <v>0</v>
      </c>
      <c r="Q509" s="1729"/>
      <c r="R509" s="1647"/>
      <c r="S509" s="1729">
        <f>SUM(S497:T508)</f>
        <v>255526</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250000</v>
      </c>
      <c r="H511" s="1729"/>
      <c r="I511" s="1647"/>
      <c r="J511" s="1729">
        <f>'Part IV-A-Uses of Funds'!J66</f>
        <v>250000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3847</v>
      </c>
      <c r="E513" s="1758">
        <f>'DCA Underwriting Assumptions'!R521</f>
        <v>0</v>
      </c>
      <c r="F513" s="1647" t="str">
        <f>IF(G513&gt;E513,"CHECK!!!","")</f>
        <v>CHECK!!!</v>
      </c>
      <c r="G513" s="1729">
        <f>'Part IV-A-Uses of Funds'!G68</f>
        <v>13368</v>
      </c>
      <c r="H513" s="1729"/>
      <c r="I513" s="1647"/>
      <c r="J513" s="1729">
        <f>'Part IV-A-Uses of Funds'!J68</f>
        <v>13368</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15000</v>
      </c>
      <c r="H515" s="1729"/>
      <c r="I515" s="1647"/>
      <c r="J515" s="1729">
        <f>'Part IV-A-Uses of Funds'!J70</f>
        <v>15000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150000</v>
      </c>
      <c r="H517" s="1729"/>
      <c r="I517" s="1647"/>
      <c r="J517" s="1729">
        <f>'Part IV-A-Uses of Funds'!J72</f>
        <v>150000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185000</v>
      </c>
      <c r="H518" s="1729"/>
      <c r="I518" s="1647"/>
      <c r="J518" s="1729">
        <f>'Part IV-A-Uses of Funds'!J73</f>
        <v>92500</v>
      </c>
      <c r="K518" s="1729"/>
      <c r="L518" s="1664"/>
      <c r="M518" s="1729">
        <f>'Part IV-A-Uses of Funds'!M73</f>
        <v>0</v>
      </c>
      <c r="N518" s="1729"/>
      <c r="O518" s="1647"/>
      <c r="P518" s="1729">
        <f>'Part IV-A-Uses of Funds'!P73</f>
        <v>0</v>
      </c>
      <c r="Q518" s="1729"/>
      <c r="R518" s="1647"/>
      <c r="S518" s="1729">
        <f>'Part IV-A-Uses of Funds'!S73</f>
        <v>92500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40000</v>
      </c>
      <c r="H519" s="1729"/>
      <c r="I519" s="1647"/>
      <c r="J519" s="1729">
        <f>'Part IV-A-Uses of Funds'!J74</f>
        <v>40000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Radon Testing</v>
      </c>
      <c r="D521" s="1659"/>
      <c r="E521" s="1659"/>
      <c r="F521" s="1659"/>
      <c r="G521" s="1729">
        <f>'Part IV-A-Uses of Funds'!G76</f>
        <v>3500</v>
      </c>
      <c r="H521" s="1729"/>
      <c r="I521" s="1647"/>
      <c r="J521" s="1729">
        <f>'Part IV-A-Uses of Funds'!J76</f>
        <v>3500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666868</v>
      </c>
      <c r="H522" s="1729"/>
      <c r="I522" s="1647"/>
      <c r="J522" s="1729">
        <f>SUM(J511:K521)</f>
        <v>574368</v>
      </c>
      <c r="K522" s="1729"/>
      <c r="L522" s="1664"/>
      <c r="M522" s="1729">
        <f>SUM(M511:N521)</f>
        <v>0</v>
      </c>
      <c r="N522" s="1729"/>
      <c r="O522" s="1647"/>
      <c r="P522" s="1729">
        <f>SUM(P511:Q521)</f>
        <v>0</v>
      </c>
      <c r="Q522" s="1729"/>
      <c r="R522" s="1647"/>
      <c r="S522" s="1729">
        <f>SUM(S511:T521)</f>
        <v>92500</v>
      </c>
      <c r="T522" s="1729"/>
      <c r="U522" s="1647"/>
      <c r="V522" s="1735">
        <f>SUM(V511:V521)</f>
        <v>0</v>
      </c>
      <c r="W522" s="1485">
        <f>'Part IV-A-Uses of Funds'!W77</f>
        <v>0</v>
      </c>
      <c r="X522" s="1485"/>
    </row>
    <row r="523" spans="1:24">
      <c r="A523" s="1647"/>
      <c r="B523" s="1647" t="s">
        <v>1269</v>
      </c>
      <c r="C523" s="1647"/>
      <c r="D523" s="1759" t="s">
        <v>3734</v>
      </c>
      <c r="E523" s="1760">
        <f>G528/'Part VI-Revenues &amp; Expenses'!$O$67</f>
        <v>2100.6147540983607</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173255</v>
      </c>
      <c r="H524" s="1729"/>
      <c r="I524" s="1647"/>
      <c r="J524" s="1729">
        <f>'Part IV-A-Uses of Funds'!J79</f>
        <v>173255</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31275</v>
      </c>
      <c r="H525" s="1729"/>
      <c r="I525" s="1647"/>
      <c r="J525" s="1729">
        <f>'Part IV-A-Uses of Funds'!J80</f>
        <v>31275</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138052</v>
      </c>
      <c r="H526" s="1729"/>
      <c r="I526" s="1653"/>
      <c r="J526" s="1729">
        <f>'Part IV-A-Uses of Funds'!J81</f>
        <v>138052</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169968</v>
      </c>
      <c r="H527" s="1729"/>
      <c r="I527" s="1653"/>
      <c r="J527" s="1729">
        <f>'Part IV-A-Uses of Funds'!J82</f>
        <v>169968</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512550</v>
      </c>
      <c r="H528" s="1729"/>
      <c r="I528" s="1647"/>
      <c r="J528" s="1729">
        <f>SUM(J524:K527)</f>
        <v>512550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263295</v>
      </c>
      <c r="H530" s="1729"/>
      <c r="I530" s="1647"/>
      <c r="J530" s="1729"/>
      <c r="K530" s="1729"/>
      <c r="L530" s="1664"/>
      <c r="M530" s="1729"/>
      <c r="N530" s="1729"/>
      <c r="O530" s="1647"/>
      <c r="P530" s="1729"/>
      <c r="Q530" s="1729"/>
      <c r="R530" s="1647"/>
      <c r="S530" s="1729">
        <f>'Part IV-A-Uses of Funds'!S85</f>
        <v>263295</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125000</v>
      </c>
      <c r="H531" s="1729"/>
      <c r="I531" s="1647"/>
      <c r="J531" s="1729"/>
      <c r="K531" s="1729"/>
      <c r="L531" s="1664"/>
      <c r="M531" s="1729"/>
      <c r="N531" s="1729"/>
      <c r="O531" s="1647"/>
      <c r="P531" s="1729"/>
      <c r="Q531" s="1729"/>
      <c r="R531" s="1647"/>
      <c r="S531" s="1729">
        <f>'Part IV-A-Uses of Funds'!S86</f>
        <v>125000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237715</v>
      </c>
      <c r="H534" s="1729"/>
      <c r="I534" s="1647"/>
      <c r="J534" s="1729"/>
      <c r="K534" s="1729"/>
      <c r="L534" s="1664"/>
      <c r="M534" s="1729"/>
      <c r="N534" s="1729"/>
      <c r="O534" s="1647"/>
      <c r="P534" s="1729"/>
      <c r="Q534" s="1729"/>
      <c r="R534" s="1647"/>
      <c r="S534" s="1729">
        <f>'Part IV-A-Uses of Funds'!S89</f>
        <v>237715</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Commitment and Standby Fee</v>
      </c>
      <c r="D535" s="1659"/>
      <c r="E535" s="1659"/>
      <c r="F535" s="1659"/>
      <c r="G535" s="1729">
        <f>'Part IV-A-Uses of Funds'!G90</f>
        <v>452867</v>
      </c>
      <c r="H535" s="1729"/>
      <c r="I535" s="1647"/>
      <c r="J535" s="1729"/>
      <c r="K535" s="1729"/>
      <c r="L535" s="1664"/>
      <c r="M535" s="1729"/>
      <c r="N535" s="1729"/>
      <c r="O535" s="1647"/>
      <c r="P535" s="1729"/>
      <c r="Q535" s="1729"/>
      <c r="R535" s="1647"/>
      <c r="S535" s="1729">
        <f>'Part IV-A-Uses of Funds'!S90</f>
        <v>452867</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1078877</v>
      </c>
      <c r="H536" s="1729"/>
      <c r="I536" s="1647"/>
      <c r="J536" s="1729"/>
      <c r="K536" s="1729"/>
      <c r="L536" s="1664"/>
      <c r="M536" s="1729"/>
      <c r="N536" s="1729"/>
      <c r="O536" s="1647"/>
      <c r="P536" s="1729"/>
      <c r="Q536" s="1729"/>
      <c r="R536" s="1647"/>
      <c r="S536" s="1729">
        <f>SUM(S530:T535)</f>
        <v>1078877</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4510</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3950</v>
      </c>
      <c r="C543" s="1647"/>
      <c r="D543" s="1647"/>
      <c r="E543" s="1647"/>
      <c r="F543" s="1647"/>
      <c r="G543" s="1729">
        <f>'Part IV-A-Uses of Funds'!G98</f>
        <v>1000</v>
      </c>
      <c r="H543" s="1729"/>
      <c r="I543" s="1647"/>
      <c r="J543" s="1664"/>
      <c r="K543" s="1664"/>
      <c r="L543" s="1762"/>
      <c r="M543" s="1664"/>
      <c r="N543" s="1664"/>
      <c r="O543" s="1647"/>
      <c r="P543" s="1664"/>
      <c r="Q543" s="1664"/>
      <c r="R543" s="1647"/>
      <c r="S543" s="1729">
        <f>'Part IV-A-Uses of Funds'!S98</f>
        <v>1000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138549.36000000002</v>
      </c>
      <c r="F544" s="1763"/>
      <c r="G544" s="1729">
        <f>'Part IV-A-Uses of Funds'!G99</f>
        <v>138550</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138550</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244000</v>
      </c>
      <c r="F545" s="1763"/>
      <c r="G545" s="1729">
        <f>'Part IV-A-Uses of Funds'!G100</f>
        <v>244000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244000</v>
      </c>
      <c r="T545" s="1729"/>
      <c r="U545" s="1647"/>
      <c r="V545" s="1735">
        <f>'Part IV-A-Uses of Funds'!V100</f>
        <v>0</v>
      </c>
      <c r="W545" s="1485">
        <f>'Part IV-A-Uses of Funds'!W100</f>
        <v>0</v>
      </c>
      <c r="X545" s="1485"/>
    </row>
    <row r="546" spans="1:24">
      <c r="A546" s="1647"/>
      <c r="B546" s="1647" t="s">
        <v>4241</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4242</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394550</v>
      </c>
      <c r="H550" s="1729"/>
      <c r="I550" s="1647"/>
      <c r="J550" s="1664"/>
      <c r="K550" s="1664"/>
      <c r="L550" s="1664"/>
      <c r="M550" s="1664"/>
      <c r="N550" s="1664"/>
      <c r="O550" s="1647"/>
      <c r="P550" s="1664"/>
      <c r="Q550" s="1664"/>
      <c r="R550" s="1647"/>
      <c r="S550" s="1729">
        <f>SUM(S541:T549)</f>
        <v>394550</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25000</v>
      </c>
      <c r="H552" s="1729"/>
      <c r="I552" s="1647"/>
      <c r="J552" s="1729"/>
      <c r="K552" s="1729"/>
      <c r="L552" s="1664"/>
      <c r="M552" s="1729"/>
      <c r="N552" s="1729"/>
      <c r="O552" s="1647"/>
      <c r="P552" s="1729"/>
      <c r="Q552" s="1729"/>
      <c r="R552" s="1647"/>
      <c r="S552" s="1729">
        <f>'Part IV-A-Uses of Funds'!S107</f>
        <v>25000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25000</v>
      </c>
      <c r="H554" s="1729"/>
      <c r="I554" s="1647"/>
      <c r="J554" s="1729"/>
      <c r="K554" s="1729"/>
      <c r="L554" s="1664"/>
      <c r="M554" s="1729"/>
      <c r="N554" s="1729"/>
      <c r="O554" s="1647"/>
      <c r="P554" s="1729"/>
      <c r="Q554" s="1729"/>
      <c r="R554" s="1647"/>
      <c r="S554" s="1729">
        <f>'Part IV-A-Uses of Funds'!S109</f>
        <v>25000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50000</v>
      </c>
      <c r="H556" s="1729"/>
      <c r="I556" s="1647"/>
      <c r="J556" s="1729"/>
      <c r="K556" s="1729"/>
      <c r="L556" s="1664"/>
      <c r="M556" s="1729"/>
      <c r="N556" s="1729"/>
      <c r="O556" s="1647"/>
      <c r="P556" s="1729"/>
      <c r="Q556" s="1729"/>
      <c r="R556" s="1647"/>
      <c r="S556" s="1729">
        <f>SUM(S552:T555)</f>
        <v>50000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1750000</v>
      </c>
      <c r="H558" s="1729"/>
      <c r="I558" s="1647"/>
      <c r="J558" s="1729">
        <f>'Part IV-A-Uses of Funds'!J113</f>
        <v>1750000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4197</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1750000</v>
      </c>
      <c r="H562" s="1729"/>
      <c r="I562" s="1647"/>
      <c r="J562" s="1729">
        <f>'Part IV-A-Uses of Funds'!J117</f>
        <v>1750000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3500000</v>
      </c>
      <c r="H563" s="2740"/>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75000</v>
      </c>
      <c r="H565" s="1729"/>
      <c r="I565" s="1647"/>
      <c r="J565" s="1762"/>
      <c r="K565" s="1762"/>
      <c r="L565" s="1762"/>
      <c r="M565" s="1762"/>
      <c r="N565" s="1762"/>
      <c r="O565" s="1647"/>
      <c r="P565" s="1762"/>
      <c r="Q565" s="1762"/>
      <c r="R565" s="1647"/>
      <c r="S565" s="1729">
        <f>'Part IV-A-Uses of Funds'!S120</f>
        <v>75000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311292.75</v>
      </c>
      <c r="G566" s="1729">
        <f>'Part IV-A-Uses of Funds'!G121</f>
        <v>311293</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311293</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1152257.6821691217</v>
      </c>
      <c r="G567" s="1729">
        <f>'Part IV-A-Uses of Funds'!G122</f>
        <v>1152258</v>
      </c>
      <c r="H567" s="1729"/>
      <c r="I567" s="1647"/>
      <c r="J567" s="1803" t="str">
        <f>IF(E567&gt;G567,"WARNING! ODR proposed is below minimum - add comment.","")</f>
        <v/>
      </c>
      <c r="K567" s="1762"/>
      <c r="L567" s="1762"/>
      <c r="M567" s="1762"/>
      <c r="N567" s="1762"/>
      <c r="O567" s="1647"/>
      <c r="P567" s="1762"/>
      <c r="Q567" s="1762"/>
      <c r="R567" s="1647"/>
      <c r="S567" s="1729">
        <f>'Part IV-A-Uses of Funds'!S122</f>
        <v>1152258</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3566</v>
      </c>
      <c r="F569" s="1736">
        <f>IF('Part VI-Revenues &amp; Expenses'!$O$67=0,0,G569/'Part VI-Revenues &amp; Expenses'!$O$67)</f>
        <v>721.31147540983602</v>
      </c>
      <c r="G569" s="1729">
        <f>'Part IV-A-Uses of Funds'!G124</f>
        <v>176000</v>
      </c>
      <c r="H569" s="1729"/>
      <c r="I569" s="1647"/>
      <c r="J569" s="1729">
        <f>'Part IV-A-Uses of Funds'!J124</f>
        <v>176000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Tax and Insurance Escrow</v>
      </c>
      <c r="D570" s="1659"/>
      <c r="E570" s="1659"/>
      <c r="F570" s="1659"/>
      <c r="G570" s="1729">
        <f>'Part IV-A-Uses of Funds'!G125</f>
        <v>60000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60000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1774551</v>
      </c>
      <c r="H571" s="1729"/>
      <c r="I571" s="1647"/>
      <c r="J571" s="1729">
        <f>SUM(J569:K570)</f>
        <v>176000</v>
      </c>
      <c r="K571" s="1729"/>
      <c r="L571" s="1664"/>
      <c r="M571" s="1729">
        <f>SUM(M569:N570)</f>
        <v>0</v>
      </c>
      <c r="N571" s="1729"/>
      <c r="O571" s="1647"/>
      <c r="P571" s="1729">
        <f>SUM(P569:Q570)</f>
        <v>0</v>
      </c>
      <c r="Q571" s="1729"/>
      <c r="R571" s="1647"/>
      <c r="S571" s="1729">
        <f>SUM(S565:T570)</f>
        <v>1598551</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5150</v>
      </c>
      <c r="C577" s="1647"/>
      <c r="D577" s="1647"/>
      <c r="E577" s="1647"/>
      <c r="F577" s="1647"/>
      <c r="G577" s="1729">
        <f>G462+G468+G472+G478+G483+G486+G492+G509+G522+G528+G536+G550+G556+G563+G571+G575</f>
        <v>49998466.819839999</v>
      </c>
      <c r="H577" s="1729"/>
      <c r="I577" s="1647"/>
      <c r="J577" s="1729">
        <f>J462+J468+J472+J478+J483+J486+J492+J509+J522+J528+J536+J550+J556+J563+J571+J575</f>
        <v>43113462.819839999</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6885004</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5100</v>
      </c>
      <c r="C579" s="1746"/>
      <c r="D579" s="1773">
        <f>IF('Part VI-Revenues &amp; Expenses'!$O$67=0,0,G577/'Part VI-Revenues &amp; Expenses'!$O$67)</f>
        <v>204911.74926163934</v>
      </c>
      <c r="E579" s="1773"/>
      <c r="F579" s="1774" t="s">
        <v>2763</v>
      </c>
      <c r="G579" s="1773">
        <f>IF('Part I-Project Information'!$P$75=0,0,G577/'Part I-Project Information'!$P$75)</f>
        <v>218.57062154577883</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43113462.819839999</v>
      </c>
      <c r="K594" s="1779"/>
      <c r="L594" s="1647"/>
      <c r="M594" s="1779">
        <f>M577</f>
        <v>0</v>
      </c>
      <c r="N594" s="1779"/>
      <c r="O594" s="1647"/>
      <c r="P594" s="1779">
        <f>P577</f>
        <v>0</v>
      </c>
      <c r="Q594" s="1779"/>
      <c r="R594" s="1785" t="s">
        <v>4731</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43113462.819839999</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56047501.665792003</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56047501.665792003</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3.09E-2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1731867.8014729728</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1731867</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5151</v>
      </c>
      <c r="C607" s="1647"/>
      <c r="D607" s="1647"/>
      <c r="E607" s="1647"/>
      <c r="F607" s="1647"/>
      <c r="G607" s="1652" t="str">
        <f>IF(J608&gt;J607,"TDC exceeds QAP PUCL!","")</f>
        <v/>
      </c>
      <c r="H607" s="1652"/>
      <c r="I607" s="1652"/>
      <c r="J607" s="1784">
        <f>'Part VIII-Threshold Criteria'!$P$63</f>
        <v>51930500</v>
      </c>
      <c r="K607" s="1784"/>
      <c r="L607" s="1784"/>
      <c r="M607" s="1785" t="s">
        <v>2746</v>
      </c>
      <c r="N607" s="1785"/>
      <c r="O607" s="1785"/>
      <c r="P607" s="1785"/>
      <c r="Q607" s="1785"/>
      <c r="R607" s="1785"/>
      <c r="S607" s="1785" t="s">
        <v>3674</v>
      </c>
      <c r="T607" s="1785"/>
      <c r="U607" s="1647"/>
      <c r="V607" s="1735">
        <f>'Part IV-A-Uses of Funds'!V162</f>
        <v>0</v>
      </c>
      <c r="W607" s="1485">
        <f>'Part IV-A-Uses of Funds'!W162</f>
        <v>0</v>
      </c>
      <c r="X607" s="1485"/>
    </row>
    <row r="608" spans="1:24">
      <c r="A608" s="1647"/>
      <c r="B608" s="1647" t="s">
        <v>5152</v>
      </c>
      <c r="C608" s="1647"/>
      <c r="D608" s="1647"/>
      <c r="E608" s="1647"/>
      <c r="F608" s="1647"/>
      <c r="G608" s="1647"/>
      <c r="H608" s="1647"/>
      <c r="I608" s="1647"/>
      <c r="J608" s="1779">
        <f>'Part IV-A-Uses of Funds'!J163</f>
        <v>49998466.819839999</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21063604.093558483</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28934862.726281516</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2893486.2726281518</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5101</v>
      </c>
      <c r="C613" s="1647"/>
      <c r="D613" s="1647"/>
      <c r="E613" s="1647"/>
      <c r="F613" s="1647"/>
      <c r="G613" s="1647"/>
      <c r="H613" s="1647"/>
      <c r="I613" s="1647"/>
      <c r="J613" s="1788">
        <f>N613+Q613</f>
        <v>1.58</v>
      </c>
      <c r="K613" s="1788"/>
      <c r="L613" s="1788"/>
      <c r="M613" s="1651" t="s">
        <v>1289</v>
      </c>
      <c r="N613" s="2138">
        <f>'Part IV-A-Uses of Funds'!N168</f>
        <v>0.96</v>
      </c>
      <c r="O613" s="2138"/>
      <c r="P613" s="1651" t="s">
        <v>612</v>
      </c>
      <c r="Q613" s="2138">
        <f>'Part IV-A-Uses of Funds'!Q168</f>
        <v>0.62</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1831320</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5102</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1731867</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5103</v>
      </c>
      <c r="C618" s="1647"/>
      <c r="D618" s="1647"/>
      <c r="E618" s="1647"/>
      <c r="F618" s="1647"/>
      <c r="G618" s="1647"/>
      <c r="H618" s="1647"/>
      <c r="I618" s="1647"/>
      <c r="J618" s="1779">
        <f>'Part IV-A-Uses of Funds'!J173</f>
        <v>1731867</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5153</v>
      </c>
      <c r="C620" s="1647"/>
      <c r="D620" s="1653"/>
      <c r="E620" s="1653"/>
      <c r="F620" s="1654"/>
      <c r="G620" s="1647"/>
      <c r="H620" s="1647"/>
      <c r="I620" s="1647"/>
      <c r="J620" s="1779">
        <f>IF(J618="",0,+MIN(J616,J618))</f>
        <v>1731867</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Construction cost estimate is based off of our historical cost to deliver similar projects that are currenlty under construction. $15,000 is excluded from basis to pay for the commercial component at the property.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Somersby  -  College Park  -  Fulton,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5104</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3707</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3706</v>
      </c>
      <c r="B651" s="1797"/>
      <c r="C651" s="1797"/>
      <c r="D651" s="1797"/>
      <c r="E651" s="1797"/>
      <c r="F651" s="1797"/>
      <c r="G651" s="1797"/>
      <c r="H651" s="2141"/>
    </row>
    <row r="652" spans="1:8" ht="12.75" customHeight="1">
      <c r="A652" s="1798" t="str">
        <f>'Part IV-A-Uses of Funds'!$C$41</f>
        <v>Site Lighting</v>
      </c>
      <c r="B652" s="1798"/>
      <c r="C652" s="1798"/>
      <c r="D652" s="1798"/>
      <c r="E652" s="1797"/>
      <c r="F652" s="2142" t="str">
        <f>'Part IV-B-Other Items'!F25</f>
        <v>Fee required for construction of site lighting.</v>
      </c>
      <c r="G652" s="1797"/>
      <c r="H652" s="2142" t="str">
        <f>'Part IV-B-Other Items'!H25</f>
        <v>100% of the work is related to construction work.</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90000</v>
      </c>
      <c r="C655" s="1799" t="s">
        <v>1790</v>
      </c>
      <c r="D655" s="1800">
        <f>'Part IV-A-Uses of Funds'!$J$41+'Part IV-A-Uses of Funds'!$M$41+'Part IV-A-Uses of Funds'!$P$41</f>
        <v>90000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Radon Testing</v>
      </c>
      <c r="B669" s="1798"/>
      <c r="C669" s="1798"/>
      <c r="D669" s="1798"/>
      <c r="E669" s="2141"/>
      <c r="F669" s="2142" t="str">
        <f>'Part IV-B-Other Items'!F42</f>
        <v>Radon testing is a requirement of our investors</v>
      </c>
      <c r="G669" s="1797"/>
      <c r="H669" s="2142" t="str">
        <f>'Part IV-B-Other Items'!H42</f>
        <v>100% of the work is related to construction.</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3500</v>
      </c>
      <c r="C672" s="1799" t="s">
        <v>1790</v>
      </c>
      <c r="D672" s="1800">
        <f>'Part IV-A-Uses of Funds'!$J$76+'Part IV-A-Uses of Funds'!$M$76+'Part IV-A-Uses of Funds'!$P$76</f>
        <v>3500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Commitment and Standby Fee</v>
      </c>
      <c r="B675" s="1798"/>
      <c r="C675" s="1798"/>
      <c r="D675" s="1798"/>
      <c r="E675" s="2141"/>
      <c r="F675" s="2142" t="str">
        <f>'Part IV-B-Other Items'!F48</f>
        <v>Commitment and Standy Fees are a requirement of Freddie Mac. This is not included in basis.</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3707</v>
      </c>
      <c r="B678" s="1800">
        <f>'Part IV-A-Uses of Funds'!$G$90</f>
        <v>452867</v>
      </c>
      <c r="C678" s="1804"/>
      <c r="D678" s="1804"/>
      <c r="E678" s="1797"/>
      <c r="F678" s="2142"/>
      <c r="G678" s="1797"/>
      <c r="H678" s="2141"/>
    </row>
    <row r="679" spans="1:8" ht="13.5">
      <c r="A679" s="1797"/>
      <c r="B679" s="1797"/>
      <c r="C679" s="1797"/>
      <c r="D679" s="1797"/>
      <c r="E679" s="1797"/>
      <c r="F679" s="2142"/>
      <c r="G679" s="1802"/>
      <c r="H679" s="2141"/>
    </row>
    <row r="680" spans="1:8" ht="13.5">
      <c r="A680" s="1794" t="s">
        <v>5105</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3707</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5106</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3707</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Tax and Insurance Escrow</v>
      </c>
      <c r="B698" s="1798"/>
      <c r="C698" s="1798"/>
      <c r="D698" s="1798"/>
      <c r="E698" s="2141"/>
      <c r="F698" s="2142" t="str">
        <f>'Part IV-B-Other Items'!F71</f>
        <v>First Year tax and insurance reserve is a requirement of our investors.</v>
      </c>
      <c r="G698" s="1797"/>
      <c r="H698" s="2142" t="str">
        <f>'Part IV-B-Other Items'!H71</f>
        <v>This item is not in basis.</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60000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5107</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Somersby,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4610</v>
      </c>
      <c r="I713" s="1947" t="str">
        <f>VLOOKUP('Part I-Project Information'!$J$39,'DCA Underwriting Assumptions'!$G$158:$H$317,2)</f>
        <v>Local PHA</v>
      </c>
    </row>
    <row r="715" spans="1:13">
      <c r="A715" s="1806" t="s">
        <v>3804</v>
      </c>
    </row>
    <row r="717" spans="1:13" ht="25.5">
      <c r="A717" s="742" t="s">
        <v>616</v>
      </c>
      <c r="B717" s="742" t="s">
        <v>2227</v>
      </c>
      <c r="F717" s="742" t="s">
        <v>2519</v>
      </c>
      <c r="I717" s="1635" t="str">
        <f>'Part V-Utility Allowances'!I7</f>
        <v>HUD Utility Model</v>
      </c>
      <c r="J717" s="1635"/>
      <c r="K717" s="1635"/>
      <c r="L717" s="1635"/>
      <c r="M717" s="1635"/>
    </row>
    <row r="718" spans="1:13">
      <c r="F718" s="742" t="s">
        <v>636</v>
      </c>
      <c r="I718" s="2143">
        <f>'Part V-Utility Allowances'!I8</f>
        <v>44124</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t="str">
        <f>'Part V-Utility Allowances'!F12</f>
        <v>X</v>
      </c>
      <c r="G722" s="2749">
        <f>'Part V-Utility Allowances'!G12</f>
        <v>0</v>
      </c>
      <c r="I722" s="1637">
        <f>'Part V-Utility Allowances'!I12</f>
        <v>0</v>
      </c>
      <c r="J722" s="1637">
        <f>'Part V-Utility Allowances'!J12</f>
        <v>10</v>
      </c>
      <c r="K722" s="1637">
        <f>'Part V-Utility Allowances'!K12</f>
        <v>11</v>
      </c>
      <c r="L722" s="1637">
        <f>'Part V-Utility Allowances'!L12</f>
        <v>13</v>
      </c>
      <c r="M722" s="1637">
        <f>'Part V-Utility Allowances'!M12</f>
        <v>0</v>
      </c>
    </row>
    <row r="723" spans="1:13">
      <c r="B723" s="742" t="s">
        <v>1597</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5</v>
      </c>
      <c r="K723" s="1637">
        <f>'Part V-Utility Allowances'!K13</f>
        <v>7</v>
      </c>
      <c r="L723" s="1637">
        <f>'Part V-Utility Allowances'!L13</f>
        <v>9</v>
      </c>
      <c r="M723" s="1637">
        <f>'Part V-Utility Allowances'!M13</f>
        <v>0</v>
      </c>
    </row>
    <row r="724" spans="1:13">
      <c r="B724" s="742" t="s">
        <v>1598</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11</v>
      </c>
      <c r="K724" s="1637">
        <f>'Part V-Utility Allowances'!K14</f>
        <v>15</v>
      </c>
      <c r="L724" s="1637">
        <f>'Part V-Utility Allowances'!L14</f>
        <v>19</v>
      </c>
      <c r="M724" s="1637">
        <f>'Part V-Utility Allowances'!M14</f>
        <v>0</v>
      </c>
    </row>
    <row r="725" spans="1:13">
      <c r="B725" s="742" t="s">
        <v>467</v>
      </c>
      <c r="D725" s="742" t="s">
        <v>1596</v>
      </c>
      <c r="F725" s="2749" t="str">
        <f>'Part V-Utility Allowances'!F15</f>
        <v>X</v>
      </c>
      <c r="G725" s="2749">
        <f>'Part V-Utility Allowances'!G15</f>
        <v>0</v>
      </c>
      <c r="I725" s="1637">
        <f>'Part V-Utility Allowances'!I15</f>
        <v>0</v>
      </c>
      <c r="J725" s="1637">
        <f>'Part V-Utility Allowances'!J15</f>
        <v>10</v>
      </c>
      <c r="K725" s="1637">
        <f>'Part V-Utility Allowances'!K15</f>
        <v>17</v>
      </c>
      <c r="L725" s="1637">
        <f>'Part V-Utility Allowances'!L15</f>
        <v>22</v>
      </c>
      <c r="M725" s="1637">
        <f>'Part V-Utility Allowances'!M15</f>
        <v>0</v>
      </c>
    </row>
    <row r="726" spans="1:13">
      <c r="B726" s="742" t="s">
        <v>3801</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3802</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3803</v>
      </c>
      <c r="D728" s="742" t="s">
        <v>1596</v>
      </c>
      <c r="F728" s="2749" t="str">
        <f>'Part V-Utility Allowances'!F18</f>
        <v>X</v>
      </c>
      <c r="G728" s="2749">
        <f>'Part V-Utility Allowances'!G18</f>
        <v>0</v>
      </c>
      <c r="I728" s="1637">
        <f>'Part V-Utility Allowances'!I18</f>
        <v>0</v>
      </c>
      <c r="J728" s="1637">
        <f>'Part V-Utility Allowances'!J18</f>
        <v>28</v>
      </c>
      <c r="K728" s="1637">
        <f>'Part V-Utility Allowances'!K18</f>
        <v>36</v>
      </c>
      <c r="L728" s="1637">
        <f>'Part V-Utility Allowances'!L18</f>
        <v>43</v>
      </c>
      <c r="M728" s="1637">
        <f>'Part V-Utility Allowances'!M18</f>
        <v>0</v>
      </c>
    </row>
    <row r="729" spans="1:13">
      <c r="B729" s="742" t="s">
        <v>1370</v>
      </c>
      <c r="D729" s="742" t="s">
        <v>4523</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64</v>
      </c>
      <c r="K732" s="1637">
        <f>IF(SUM(K722:K731)=0,0,IF(OR($D722="&lt;&lt;Select Fuel &gt;&gt;",$D723="&lt;&lt;Select Fuel &gt;&gt;",$D724="&lt;&lt;Select Fuel &gt;&gt;"),"Select Fuel",IF($E729="&lt;Select&gt;","Submeter?",SUM(K722:K731))))</f>
        <v>86</v>
      </c>
      <c r="L732" s="1637">
        <f>IF(SUM(L722:L731)=0,0,IF(OR($D722="&lt;&lt;Select Fuel &gt;&gt;",$D723="&lt;&lt;Select Fuel &gt;&gt;",$D724="&lt;&lt;Select Fuel &gt;&gt;"),"Select Fuel",IF($E729="&lt;Select&gt;","Submeter?",SUM(L722:L731))))</f>
        <v>106</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3801</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3802</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3803</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4523</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4524</v>
      </c>
      <c r="F751" s="1637"/>
      <c r="G751" s="1637"/>
      <c r="I751" s="1637"/>
      <c r="J751" s="1637"/>
      <c r="K751" s="1637"/>
      <c r="L751" s="1637"/>
      <c r="M751" s="1637"/>
    </row>
    <row r="752" spans="2:13">
      <c r="B752" s="742" t="s">
        <v>572</v>
      </c>
    </row>
    <row r="753" spans="1:357" ht="252">
      <c r="B753" s="1485" t="str">
        <f>'Part V-Utility Allowances'!B43</f>
        <v>The HUD Utility Schedule Model is an allowed utility allowance for a Tax Credit Building per Threshold Section 1 Feasibility, Subsection 7 Operating Utility Allowance.</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Somersby,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Somersby,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4525</v>
      </c>
      <c r="Q766" s="2716"/>
      <c r="R766" s="1636"/>
      <c r="S766" s="1636"/>
      <c r="T766" s="1636"/>
      <c r="U766" s="1636"/>
      <c r="V766" s="1631"/>
      <c r="W766" s="1810" t="s">
        <v>4624</v>
      </c>
      <c r="X766" s="1810" t="s">
        <v>4625</v>
      </c>
      <c r="Y766" s="1810" t="s">
        <v>4626</v>
      </c>
      <c r="Z766" s="1810" t="s">
        <v>4627</v>
      </c>
      <c r="AA766" s="1810" t="s">
        <v>4628</v>
      </c>
      <c r="AB766" s="1810" t="s">
        <v>4629</v>
      </c>
      <c r="AC766" s="1810" t="s">
        <v>4630</v>
      </c>
      <c r="AD766" s="1810" t="s">
        <v>4631</v>
      </c>
      <c r="AE766" s="1810" t="s">
        <v>4632</v>
      </c>
      <c r="AF766" s="1810" t="s">
        <v>4633</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4635</v>
      </c>
      <c r="AR766" s="1810" t="s">
        <v>4636</v>
      </c>
      <c r="AS766" s="1810" t="s">
        <v>4637</v>
      </c>
      <c r="AT766" s="1810" t="s">
        <v>4638</v>
      </c>
      <c r="AU766" s="1810" t="s">
        <v>4634</v>
      </c>
      <c r="AV766" s="1810" t="s">
        <v>921</v>
      </c>
      <c r="AW766" s="1810" t="s">
        <v>2314</v>
      </c>
      <c r="AX766" s="1810" t="s">
        <v>2315</v>
      </c>
      <c r="AY766" s="1810" t="s">
        <v>2316</v>
      </c>
      <c r="AZ766" s="1810" t="s">
        <v>2317</v>
      </c>
      <c r="BA766" s="1810" t="s">
        <v>4639</v>
      </c>
      <c r="BB766" s="1810" t="s">
        <v>4640</v>
      </c>
      <c r="BC766" s="1810" t="s">
        <v>4641</v>
      </c>
      <c r="BD766" s="1810" t="s">
        <v>4642</v>
      </c>
      <c r="BE766" s="1810" t="s">
        <v>4643</v>
      </c>
      <c r="BF766" s="1810" t="s">
        <v>129</v>
      </c>
      <c r="BG766" s="1810" t="s">
        <v>2318</v>
      </c>
      <c r="BH766" s="1810" t="s">
        <v>2319</v>
      </c>
      <c r="BI766" s="1810" t="s">
        <v>2320</v>
      </c>
      <c r="BJ766" s="1810" t="s">
        <v>1148</v>
      </c>
      <c r="BK766" s="1810" t="s">
        <v>4644</v>
      </c>
      <c r="BL766" s="1810" t="s">
        <v>4645</v>
      </c>
      <c r="BM766" s="1810" t="s">
        <v>4646</v>
      </c>
      <c r="BN766" s="1810" t="s">
        <v>4647</v>
      </c>
      <c r="BO766" s="1810" t="s">
        <v>4648</v>
      </c>
      <c r="BP766" s="1810" t="s">
        <v>556</v>
      </c>
      <c r="BQ766" s="1810" t="s">
        <v>557</v>
      </c>
      <c r="BR766" s="1810" t="s">
        <v>577</v>
      </c>
      <c r="BS766" s="1810" t="s">
        <v>578</v>
      </c>
      <c r="BT766" s="1810" t="s">
        <v>579</v>
      </c>
      <c r="BU766" s="1810" t="s">
        <v>4649</v>
      </c>
      <c r="BV766" s="1810" t="s">
        <v>4650</v>
      </c>
      <c r="BW766" s="1810" t="s">
        <v>4651</v>
      </c>
      <c r="BX766" s="1810" t="s">
        <v>4652</v>
      </c>
      <c r="BY766" s="1810" t="s">
        <v>4653</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4659</v>
      </c>
      <c r="CK766" s="1810" t="s">
        <v>4660</v>
      </c>
      <c r="CL766" s="1810" t="s">
        <v>4661</v>
      </c>
      <c r="CM766" s="1810" t="s">
        <v>4662</v>
      </c>
      <c r="CN766" s="1810" t="s">
        <v>4663</v>
      </c>
      <c r="CO766" s="1810" t="s">
        <v>4654</v>
      </c>
      <c r="CP766" s="1810" t="s">
        <v>4655</v>
      </c>
      <c r="CQ766" s="1810" t="s">
        <v>4656</v>
      </c>
      <c r="CR766" s="1810" t="s">
        <v>4657</v>
      </c>
      <c r="CS766" s="1810" t="s">
        <v>4658</v>
      </c>
      <c r="CT766" s="1810" t="s">
        <v>4664</v>
      </c>
      <c r="CU766" s="1810" t="s">
        <v>4665</v>
      </c>
      <c r="CV766" s="1810" t="s">
        <v>4666</v>
      </c>
      <c r="CW766" s="1810" t="s">
        <v>4667</v>
      </c>
      <c r="CX766" s="1810" t="s">
        <v>4668</v>
      </c>
      <c r="CY766" s="1810" t="s">
        <v>496</v>
      </c>
      <c r="CZ766" s="1810" t="s">
        <v>497</v>
      </c>
      <c r="DA766" s="1810" t="s">
        <v>498</v>
      </c>
      <c r="DB766" s="1810" t="s">
        <v>499</v>
      </c>
      <c r="DC766" s="1810" t="s">
        <v>500</v>
      </c>
      <c r="DD766" s="1810" t="s">
        <v>4669</v>
      </c>
      <c r="DE766" s="1810" t="s">
        <v>4670</v>
      </c>
      <c r="DF766" s="1810" t="s">
        <v>4671</v>
      </c>
      <c r="DG766" s="1810" t="s">
        <v>4672</v>
      </c>
      <c r="DH766" s="1810" t="s">
        <v>4673</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4674</v>
      </c>
      <c r="DT766" s="1810" t="s">
        <v>4675</v>
      </c>
      <c r="DU766" s="1810" t="s">
        <v>4676</v>
      </c>
      <c r="DV766" s="1810" t="s">
        <v>4677</v>
      </c>
      <c r="DW766" s="1810" t="s">
        <v>4678</v>
      </c>
      <c r="DX766" s="1810" t="s">
        <v>4679</v>
      </c>
      <c r="DY766" s="1810" t="s">
        <v>4680</v>
      </c>
      <c r="DZ766" s="1810" t="s">
        <v>4681</v>
      </c>
      <c r="EA766" s="1810" t="s">
        <v>4682</v>
      </c>
      <c r="EB766" s="1810" t="s">
        <v>4683</v>
      </c>
      <c r="EC766" s="1810" t="s">
        <v>2430</v>
      </c>
      <c r="ED766" s="1810" t="s">
        <v>2431</v>
      </c>
      <c r="EE766" s="1810" t="s">
        <v>2432</v>
      </c>
      <c r="EF766" s="1810" t="s">
        <v>2433</v>
      </c>
      <c r="EG766" s="1810" t="s">
        <v>2434</v>
      </c>
      <c r="EH766" s="1810" t="s">
        <v>4684</v>
      </c>
      <c r="EI766" s="1810" t="s">
        <v>4685</v>
      </c>
      <c r="EJ766" s="1810" t="s">
        <v>4686</v>
      </c>
      <c r="EK766" s="1810" t="s">
        <v>4687</v>
      </c>
      <c r="EL766" s="1810" t="s">
        <v>4688</v>
      </c>
      <c r="EM766" s="1810" t="s">
        <v>4689</v>
      </c>
      <c r="EN766" s="1810" t="s">
        <v>4690</v>
      </c>
      <c r="EO766" s="1810" t="s">
        <v>4691</v>
      </c>
      <c r="EP766" s="1810" t="s">
        <v>4692</v>
      </c>
      <c r="EQ766" s="1810" t="s">
        <v>4693</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4694</v>
      </c>
      <c r="FC766" s="1810" t="s">
        <v>4695</v>
      </c>
      <c r="FD766" s="1810" t="s">
        <v>4696</v>
      </c>
      <c r="FE766" s="1810" t="s">
        <v>4697</v>
      </c>
      <c r="FF766" s="1810" t="s">
        <v>4698</v>
      </c>
      <c r="FG766" s="1635" t="s">
        <v>131</v>
      </c>
      <c r="FH766" s="1635" t="s">
        <v>911</v>
      </c>
      <c r="FI766" s="1635" t="s">
        <v>912</v>
      </c>
      <c r="FJ766" s="1635" t="s">
        <v>913</v>
      </c>
      <c r="FK766" s="1635" t="s">
        <v>914</v>
      </c>
      <c r="FL766" s="1810" t="s">
        <v>4699</v>
      </c>
      <c r="FM766" s="1810" t="s">
        <v>4700</v>
      </c>
      <c r="FN766" s="1810" t="s">
        <v>4701</v>
      </c>
      <c r="FO766" s="1810" t="s">
        <v>4702</v>
      </c>
      <c r="FP766" s="1810" t="s">
        <v>4703</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576</v>
      </c>
      <c r="N767" s="1631"/>
      <c r="O767" s="1630" t="s">
        <v>5154</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No</v>
      </c>
      <c r="G768" s="1633" t="s">
        <v>3664</v>
      </c>
      <c r="H768" s="1810" t="s">
        <v>3889</v>
      </c>
      <c r="I768" s="1633" t="s">
        <v>798</v>
      </c>
      <c r="J768" s="1633" t="s">
        <v>3667</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4706</v>
      </c>
      <c r="C769" s="1631"/>
      <c r="D769" s="1631"/>
      <c r="E769" s="1631"/>
      <c r="F769" s="1631"/>
      <c r="G769" s="1633" t="s">
        <v>3665</v>
      </c>
      <c r="H769" s="1810"/>
      <c r="I769" s="1633" t="s">
        <v>799</v>
      </c>
      <c r="J769" s="1633" t="s">
        <v>3668</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4707</v>
      </c>
      <c r="C770" s="1633" t="s">
        <v>172</v>
      </c>
      <c r="D770" s="1633" t="s">
        <v>545</v>
      </c>
      <c r="E770" s="1633" t="s">
        <v>1476</v>
      </c>
      <c r="F770" s="1633" t="s">
        <v>1476</v>
      </c>
      <c r="G770" s="1633" t="s">
        <v>1478</v>
      </c>
      <c r="H770" s="1633" t="s">
        <v>3665</v>
      </c>
      <c r="I770" s="2755" t="s">
        <v>5070</v>
      </c>
      <c r="J770" s="1633" t="s">
        <v>5155</v>
      </c>
      <c r="K770" s="1634" t="s">
        <v>145</v>
      </c>
      <c r="L770" s="1634"/>
      <c r="M770" s="1633" t="s">
        <v>2367</v>
      </c>
      <c r="N770" s="1633" t="s">
        <v>532</v>
      </c>
      <c r="O770" s="1633" t="s">
        <v>383</v>
      </c>
      <c r="P770" s="1810"/>
      <c r="Q770" s="1634" t="s">
        <v>3573</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5072</v>
      </c>
      <c r="C771" s="1633" t="s">
        <v>171</v>
      </c>
      <c r="D771" s="1633" t="s">
        <v>173</v>
      </c>
      <c r="E771" s="1633" t="s">
        <v>1477</v>
      </c>
      <c r="F771" s="1633" t="s">
        <v>1279</v>
      </c>
      <c r="G771" s="1633" t="s">
        <v>3666</v>
      </c>
      <c r="H771" s="1633" t="s">
        <v>1478</v>
      </c>
      <c r="I771" s="2755"/>
      <c r="J771" s="1821" t="s">
        <v>350</v>
      </c>
      <c r="K771" s="1633" t="s">
        <v>1530</v>
      </c>
      <c r="L771" s="1633" t="s">
        <v>539</v>
      </c>
      <c r="M771" s="1633" t="s">
        <v>1476</v>
      </c>
      <c r="N771" s="1633" t="s">
        <v>3315</v>
      </c>
      <c r="O771" s="1633" t="s">
        <v>384</v>
      </c>
      <c r="P771" s="1810"/>
      <c r="Q771" s="1633" t="s">
        <v>3574</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50</v>
      </c>
      <c r="C779" s="2146">
        <f>'Part VI-Revenues &amp; Expenses'!C17</f>
        <v>1</v>
      </c>
      <c r="D779" s="2147">
        <f>'Part VI-Revenues &amp; Expenses'!D17</f>
        <v>1</v>
      </c>
      <c r="E779" s="2148">
        <f>'Part VI-Revenues &amp; Expenses'!E17</f>
        <v>12</v>
      </c>
      <c r="F779" s="2148">
        <f>'Part VI-Revenues &amp; Expenses'!F17</f>
        <v>653</v>
      </c>
      <c r="G779" s="2148">
        <f>'Part VI-Revenues &amp; Expenses'!G17</f>
        <v>775</v>
      </c>
      <c r="H779" s="2148">
        <f>'Part VI-Revenues &amp; Expenses'!H17</f>
        <v>742</v>
      </c>
      <c r="I779" s="2148">
        <f>'Part VI-Revenues &amp; Expenses'!I17</f>
        <v>64</v>
      </c>
      <c r="J779" s="2149">
        <f>'Part VI-Revenues &amp; Expenses'!J17</f>
        <v>0</v>
      </c>
      <c r="K779" s="1822">
        <f t="shared" si="1"/>
        <v>678</v>
      </c>
      <c r="L779" s="1822">
        <f t="shared" si="2"/>
        <v>8136</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29680</v>
      </c>
      <c r="R779" s="1824">
        <f>'Part VI-Revenues &amp; Expenses'!R17</f>
        <v>0.52905525846702317</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f t="shared" si="19"/>
        <v>12</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f t="shared" si="314"/>
        <v>7836</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12</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12</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12</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12</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50</v>
      </c>
      <c r="C780" s="2146">
        <f>'Part VI-Revenues &amp; Expenses'!C18</f>
        <v>2</v>
      </c>
      <c r="D780" s="2147">
        <f>'Part VI-Revenues &amp; Expenses'!D18</f>
        <v>2</v>
      </c>
      <c r="E780" s="2148">
        <f>'Part VI-Revenues &amp; Expenses'!E18</f>
        <v>24</v>
      </c>
      <c r="F780" s="2148">
        <f>'Part VI-Revenues &amp; Expenses'!F18</f>
        <v>963</v>
      </c>
      <c r="G780" s="2148">
        <f>'Part VI-Revenues &amp; Expenses'!G18</f>
        <v>931</v>
      </c>
      <c r="H780" s="2148">
        <f>'Part VI-Revenues &amp; Expenses'!H18</f>
        <v>898</v>
      </c>
      <c r="I780" s="2148">
        <f>'Part VI-Revenues &amp; Expenses'!I18</f>
        <v>86</v>
      </c>
      <c r="J780" s="2149">
        <f>'Part VI-Revenues &amp; Expenses'!J18</f>
        <v>0</v>
      </c>
      <c r="K780" s="1822">
        <f t="shared" si="1"/>
        <v>812</v>
      </c>
      <c r="L780" s="1822">
        <f t="shared" si="2"/>
        <v>19488</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35920</v>
      </c>
      <c r="R780" s="1824">
        <f>'Part VI-Revenues &amp; Expenses'!R18</f>
        <v>0.53357100415923941</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f t="shared" si="20"/>
        <v>24</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f t="shared" si="315"/>
        <v>23112</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24</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24</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24</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24</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50</v>
      </c>
      <c r="C781" s="2146">
        <f>'Part VI-Revenues &amp; Expenses'!C19</f>
        <v>3</v>
      </c>
      <c r="D781" s="2147">
        <f>'Part VI-Revenues &amp; Expenses'!D19</f>
        <v>2</v>
      </c>
      <c r="E781" s="2148">
        <f>'Part VI-Revenues &amp; Expenses'!E19</f>
        <v>12</v>
      </c>
      <c r="F781" s="2148">
        <f>'Part VI-Revenues &amp; Expenses'!F19</f>
        <v>1115</v>
      </c>
      <c r="G781" s="2148">
        <f>'Part VI-Revenues &amp; Expenses'!G19</f>
        <v>1075</v>
      </c>
      <c r="H781" s="2148">
        <f>'Part VI-Revenues &amp; Expenses'!H19</f>
        <v>1052</v>
      </c>
      <c r="I781" s="2148">
        <f>'Part VI-Revenues &amp; Expenses'!I19</f>
        <v>106</v>
      </c>
      <c r="J781" s="2149">
        <f>'Part VI-Revenues &amp; Expenses'!J19</f>
        <v>0</v>
      </c>
      <c r="K781" s="1822">
        <f t="shared" si="1"/>
        <v>946</v>
      </c>
      <c r="L781" s="1822">
        <f t="shared" si="2"/>
        <v>11352</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42080</v>
      </c>
      <c r="R781" s="1824">
        <f>'Part VI-Revenues &amp; Expenses'!R19</f>
        <v>0.54092965857671738</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f t="shared" si="21"/>
        <v>12</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f t="shared" si="316"/>
        <v>13380</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12</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12</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12</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12</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46</v>
      </c>
      <c r="F782" s="2148">
        <f>'Part VI-Revenues &amp; Expenses'!F20</f>
        <v>653</v>
      </c>
      <c r="G782" s="2148">
        <f>'Part VI-Revenues &amp; Expenses'!G20</f>
        <v>930</v>
      </c>
      <c r="H782" s="2148">
        <f>'Part VI-Revenues &amp; Expenses'!H20</f>
        <v>872</v>
      </c>
      <c r="I782" s="2148">
        <f>'Part VI-Revenues &amp; Expenses'!I20</f>
        <v>64</v>
      </c>
      <c r="J782" s="2149">
        <f>'Part VI-Revenues &amp; Expenses'!J20</f>
        <v>0</v>
      </c>
      <c r="K782" s="1822">
        <f t="shared" si="1"/>
        <v>808</v>
      </c>
      <c r="L782" s="1822">
        <f t="shared" si="2"/>
        <v>37168</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34880</v>
      </c>
      <c r="R782" s="1824">
        <f>'Part VI-Revenues &amp; Expenses'!R20</f>
        <v>0.62174688057040994</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46</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30038</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46</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46</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46</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46</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2</v>
      </c>
      <c r="E783" s="2148">
        <f>'Part VI-Revenues &amp; Expenses'!E21</f>
        <v>84</v>
      </c>
      <c r="F783" s="2148">
        <f>'Part VI-Revenues &amp; Expenses'!F21</f>
        <v>963</v>
      </c>
      <c r="G783" s="2148">
        <f>'Part VI-Revenues &amp; Expenses'!G21</f>
        <v>1117</v>
      </c>
      <c r="H783" s="2148">
        <f>'Part VI-Revenues &amp; Expenses'!H21</f>
        <v>1059</v>
      </c>
      <c r="I783" s="2148">
        <f>'Part VI-Revenues &amp; Expenses'!I21</f>
        <v>86</v>
      </c>
      <c r="J783" s="2149">
        <f>'Part VI-Revenues &amp; Expenses'!J21</f>
        <v>0</v>
      </c>
      <c r="K783" s="1822">
        <f t="shared" si="1"/>
        <v>973</v>
      </c>
      <c r="L783" s="1822">
        <f t="shared" si="2"/>
        <v>81732</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42360</v>
      </c>
      <c r="R783" s="1824">
        <f>'Part VI-Revenues &amp; Expenses'!R21</f>
        <v>0.6292335115864528</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84</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80892</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84</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84</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84</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84</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60</v>
      </c>
      <c r="C784" s="2146">
        <f>'Part VI-Revenues &amp; Expenses'!C22</f>
        <v>3</v>
      </c>
      <c r="D784" s="2147">
        <f>'Part VI-Revenues &amp; Expenses'!D22</f>
        <v>2</v>
      </c>
      <c r="E784" s="2148">
        <f>'Part VI-Revenues &amp; Expenses'!E22</f>
        <v>42</v>
      </c>
      <c r="F784" s="2148">
        <f>'Part VI-Revenues &amp; Expenses'!F22</f>
        <v>1115</v>
      </c>
      <c r="G784" s="2148">
        <f>'Part VI-Revenues &amp; Expenses'!G22</f>
        <v>1290</v>
      </c>
      <c r="H784" s="2148">
        <f>'Part VI-Revenues &amp; Expenses'!H22</f>
        <v>1242</v>
      </c>
      <c r="I784" s="2148">
        <f>'Part VI-Revenues &amp; Expenses'!I22</f>
        <v>106</v>
      </c>
      <c r="J784" s="2149">
        <f>'Part VI-Revenues &amp; Expenses'!J22</f>
        <v>0</v>
      </c>
      <c r="K784" s="1822">
        <f t="shared" si="1"/>
        <v>1136</v>
      </c>
      <c r="L784" s="1822">
        <f t="shared" si="2"/>
        <v>47712</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49680</v>
      </c>
      <c r="R784" s="1824">
        <f>'Part VI-Revenues &amp; Expenses'!R22</f>
        <v>0.63862607980255037</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f t="shared" si="16"/>
        <v>42</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f t="shared" si="130"/>
        <v>46830</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f t="shared" si="160"/>
        <v>42</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f t="shared" si="205"/>
        <v>42</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f t="shared" si="280"/>
        <v>42</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42</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1</v>
      </c>
      <c r="D785" s="2147">
        <f>'Part VI-Revenues &amp; Expenses'!D23</f>
        <v>1</v>
      </c>
      <c r="E785" s="2148">
        <f>'Part VI-Revenues &amp; Expenses'!E23</f>
        <v>6</v>
      </c>
      <c r="F785" s="2148">
        <f>'Part VI-Revenues &amp; Expenses'!F23</f>
        <v>653</v>
      </c>
      <c r="G785" s="2148">
        <f>'Part VI-Revenues &amp; Expenses'!G23</f>
        <v>1241</v>
      </c>
      <c r="H785" s="2148">
        <f>'Part VI-Revenues &amp; Expenses'!H23</f>
        <v>1014</v>
      </c>
      <c r="I785" s="2148">
        <f>'Part VI-Revenues &amp; Expenses'!I23</f>
        <v>64</v>
      </c>
      <c r="J785" s="2149">
        <f>'Part VI-Revenues &amp; Expenses'!J23</f>
        <v>0</v>
      </c>
      <c r="K785" s="1822">
        <f t="shared" si="1"/>
        <v>950</v>
      </c>
      <c r="L785" s="1822">
        <f t="shared" si="2"/>
        <v>5700</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40560</v>
      </c>
      <c r="R785" s="1824">
        <f>'Part VI-Revenues &amp; Expenses'!R23</f>
        <v>0.72299465240641714</v>
      </c>
      <c r="S785" s="1823">
        <f>'Part VI-Revenues &amp; Expenses'!S23</f>
        <v>0</v>
      </c>
      <c r="T785" s="1824">
        <f>'Part VI-Revenues &amp; Expenses'!T23</f>
        <v>0</v>
      </c>
      <c r="U785" s="1838">
        <f>'Part VI-Revenues &amp; Expenses'!U23:V23</f>
        <v>0</v>
      </c>
      <c r="V785" s="1838"/>
      <c r="W785" s="742" t="str">
        <f t="shared" si="3"/>
        <v/>
      </c>
      <c r="X785" s="742">
        <f t="shared" si="4"/>
        <v>6</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f t="shared" si="74"/>
        <v>6</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f t="shared" si="118"/>
        <v>3918</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f t="shared" si="158"/>
        <v>6</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6</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6</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6</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2</v>
      </c>
      <c r="D786" s="2147">
        <f>'Part VI-Revenues &amp; Expenses'!D24</f>
        <v>2</v>
      </c>
      <c r="E786" s="2148">
        <f>'Part VI-Revenues &amp; Expenses'!E24</f>
        <v>12</v>
      </c>
      <c r="F786" s="2148">
        <f>'Part VI-Revenues &amp; Expenses'!F24</f>
        <v>963</v>
      </c>
      <c r="G786" s="2148">
        <f>'Part VI-Revenues &amp; Expenses'!G24</f>
        <v>1490</v>
      </c>
      <c r="H786" s="2148">
        <f>'Part VI-Revenues &amp; Expenses'!H24</f>
        <v>1136</v>
      </c>
      <c r="I786" s="2148">
        <f>'Part VI-Revenues &amp; Expenses'!I24</f>
        <v>86</v>
      </c>
      <c r="J786" s="2149">
        <f>'Part VI-Revenues &amp; Expenses'!J24</f>
        <v>0</v>
      </c>
      <c r="K786" s="1822">
        <f t="shared" si="1"/>
        <v>1050</v>
      </c>
      <c r="L786" s="1822">
        <f t="shared" si="2"/>
        <v>12600</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45440</v>
      </c>
      <c r="R786" s="1824">
        <f>'Part VI-Revenues &amp; Expenses'!R24</f>
        <v>0.67498514557338085</v>
      </c>
      <c r="S786" s="1823">
        <f>'Part VI-Revenues &amp; Expenses'!S24</f>
        <v>0</v>
      </c>
      <c r="T786" s="1824">
        <f>'Part VI-Revenues &amp; Expenses'!T24</f>
        <v>0</v>
      </c>
      <c r="U786" s="1838">
        <f>'Part VI-Revenues &amp; Expenses'!U24:V24</f>
        <v>0</v>
      </c>
      <c r="V786" s="1838"/>
      <c r="W786" s="742" t="str">
        <f t="shared" si="3"/>
        <v/>
      </c>
      <c r="X786" s="742" t="str">
        <f t="shared" si="4"/>
        <v/>
      </c>
      <c r="Y786" s="742">
        <f t="shared" si="5"/>
        <v>12</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f t="shared" si="75"/>
        <v>12</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f t="shared" si="119"/>
        <v>11556</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12</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12</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12</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12</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80</v>
      </c>
      <c r="C787" s="2146">
        <f>'Part VI-Revenues &amp; Expenses'!C25</f>
        <v>3</v>
      </c>
      <c r="D787" s="2147">
        <f>'Part VI-Revenues &amp; Expenses'!D25</f>
        <v>2</v>
      </c>
      <c r="E787" s="2148">
        <f>'Part VI-Revenues &amp; Expenses'!E25</f>
        <v>6</v>
      </c>
      <c r="F787" s="2148">
        <f>'Part VI-Revenues &amp; Expenses'!F25</f>
        <v>1115</v>
      </c>
      <c r="G787" s="2148">
        <f>'Part VI-Revenues &amp; Expenses'!G25</f>
        <v>1721</v>
      </c>
      <c r="H787" s="2148">
        <f>'Part VI-Revenues &amp; Expenses'!H25</f>
        <v>1306</v>
      </c>
      <c r="I787" s="2148">
        <f>'Part VI-Revenues &amp; Expenses'!I25</f>
        <v>106</v>
      </c>
      <c r="J787" s="2149">
        <f>'Part VI-Revenues &amp; Expenses'!J25</f>
        <v>0</v>
      </c>
      <c r="K787" s="1822">
        <f t="shared" si="1"/>
        <v>1200</v>
      </c>
      <c r="L787" s="1822">
        <f t="shared" si="2"/>
        <v>7200</v>
      </c>
      <c r="M787" s="2133" t="str">
        <f>'Part VI-Revenues &amp; Expenses'!M25</f>
        <v>No</v>
      </c>
      <c r="N787" s="2133" t="str">
        <f>'Part VI-Revenues &amp; Expenses'!N25</f>
        <v>3+ Story</v>
      </c>
      <c r="O787" s="2133" t="str">
        <f>'Part VI-Revenues &amp; Expenses'!O25</f>
        <v>New Construction</v>
      </c>
      <c r="P787" s="1633" t="str">
        <f>'Part VI-Revenues &amp; Expenses'!P25</f>
        <v>No</v>
      </c>
      <c r="Q787" s="1823">
        <f>'Part VI-Revenues &amp; Expenses'!Q25</f>
        <v>52240</v>
      </c>
      <c r="R787" s="1824">
        <f>'Part VI-Revenues &amp; Expenses'!R25</f>
        <v>0.67153434800493628</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f t="shared" si="6"/>
        <v>6</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f t="shared" si="76"/>
        <v>6</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f t="shared" si="120"/>
        <v>6690</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f t="shared" si="160"/>
        <v>6</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f t="shared" si="205"/>
        <v>6</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f t="shared" si="280"/>
        <v>6</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6</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4711</v>
      </c>
      <c r="C810" s="521"/>
      <c r="D810" s="1828" t="s">
        <v>1018</v>
      </c>
      <c r="E810" s="1827">
        <f>SUM(E772:E809)</f>
        <v>244</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224252</v>
      </c>
      <c r="G810" s="2759" t="s">
        <v>4708</v>
      </c>
      <c r="H810" s="1895" t="s">
        <v>4709</v>
      </c>
      <c r="I810" s="2760" t="str">
        <f>IF(O829=0,"",IF(SUM(O818:O824)/O829&gt;=0.4,"Pass","Fail"))</f>
        <v>Pass</v>
      </c>
      <c r="J810" s="522"/>
      <c r="K810" s="1828" t="s">
        <v>1302</v>
      </c>
      <c r="L810" s="1826">
        <f>SUM(L772:L809)</f>
        <v>231088</v>
      </c>
      <c r="M810" s="1631"/>
      <c r="N810" s="1631"/>
      <c r="O810" s="1631"/>
      <c r="P810" s="1631"/>
      <c r="Q810" s="1631"/>
      <c r="R810" s="1631"/>
      <c r="S810" s="1631"/>
      <c r="T810" s="1631"/>
      <c r="U810" s="1633"/>
      <c r="V810" s="1638"/>
      <c r="W810" s="1638">
        <f t="shared" ref="W810:EZ810" si="338">SUM(W772:W809)</f>
        <v>0</v>
      </c>
      <c r="X810" s="1638">
        <f t="shared" si="338"/>
        <v>6</v>
      </c>
      <c r="Y810" s="1638">
        <f t="shared" si="338"/>
        <v>12</v>
      </c>
      <c r="Z810" s="1638">
        <f t="shared" si="338"/>
        <v>6</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46</v>
      </c>
      <c r="AI810" s="1638">
        <f t="shared" si="338"/>
        <v>84</v>
      </c>
      <c r="AJ810" s="1638">
        <f t="shared" si="338"/>
        <v>42</v>
      </c>
      <c r="AK810" s="1638">
        <f t="shared" si="338"/>
        <v>0</v>
      </c>
      <c r="AL810" s="1638">
        <f>SUM(AL772:AL809)</f>
        <v>0</v>
      </c>
      <c r="AM810" s="1638">
        <f>SUM(AM772:AM809)</f>
        <v>12</v>
      </c>
      <c r="AN810" s="1638">
        <f>SUM(AN772:AN809)</f>
        <v>24</v>
      </c>
      <c r="AO810" s="1638">
        <f>SUM(AO772:AO809)</f>
        <v>12</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6</v>
      </c>
      <c r="CQ810" s="1638">
        <f t="shared" si="339"/>
        <v>12</v>
      </c>
      <c r="CR810" s="1638">
        <f t="shared" si="339"/>
        <v>6</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3918</v>
      </c>
      <c r="EJ810" s="1638">
        <f t="shared" si="338"/>
        <v>11556</v>
      </c>
      <c r="EK810" s="1638">
        <f t="shared" si="338"/>
        <v>6690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30038</v>
      </c>
      <c r="ET810" s="1638">
        <f t="shared" si="338"/>
        <v>80892</v>
      </c>
      <c r="EU810" s="1638">
        <f t="shared" si="338"/>
        <v>46830</v>
      </c>
      <c r="EV810" s="1638">
        <f t="shared" si="338"/>
        <v>0</v>
      </c>
      <c r="EW810" s="1638">
        <f t="shared" si="338"/>
        <v>0</v>
      </c>
      <c r="EX810" s="1638">
        <f t="shared" si="338"/>
        <v>7836</v>
      </c>
      <c r="EY810" s="1638">
        <f t="shared" si="338"/>
        <v>23112</v>
      </c>
      <c r="EZ810" s="1638">
        <f t="shared" si="338"/>
        <v>13380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64</v>
      </c>
      <c r="GH810" s="1638">
        <f t="shared" si="340"/>
        <v>120</v>
      </c>
      <c r="GI810" s="1638">
        <f t="shared" si="340"/>
        <v>60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64</v>
      </c>
      <c r="IA810" s="1638">
        <f t="shared" si="341"/>
        <v>120</v>
      </c>
      <c r="IB810" s="1638">
        <f t="shared" si="341"/>
        <v>60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64</v>
      </c>
      <c r="KX810" s="1638">
        <f t="shared" si="342"/>
        <v>120</v>
      </c>
      <c r="KY810" s="1638">
        <f t="shared" si="342"/>
        <v>60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64</v>
      </c>
      <c r="ML810" s="1638">
        <f t="shared" si="342"/>
        <v>120</v>
      </c>
      <c r="MM810" s="1638">
        <f t="shared" si="342"/>
        <v>60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4618</v>
      </c>
      <c r="E811" s="1827">
        <f>SUM(E779:E809)</f>
        <v>244</v>
      </c>
      <c r="F811" s="2758">
        <f>(E779*F779+E780*F780+E781*F781+E782*F782+E783*F783+E784*F784+E785*F785+E786*F786+E787*F787+E788*F788+E789*F789+E790*F790+E791*F791+E792*F792+E793*F793+E794*F794+E795*F795+E796*F796+E797*F797+E798*F798+E799*F799+E800*F800+E801*F801+E802*F802+E803*F803+E804*F804+E805*F805+E806*F806+E807*F807+E808*F808+E809*F809)</f>
        <v>224252</v>
      </c>
      <c r="G811" s="2759"/>
      <c r="H811" s="1895" t="s">
        <v>4710</v>
      </c>
      <c r="I811" s="2760" t="str">
        <f>IF(O829=0,"",IF(SUM(O818:O824)/O829&gt;=0.2,"Pass","Fail"))</f>
        <v>Pass</v>
      </c>
      <c r="J811" s="522"/>
      <c r="K811" s="1828" t="s">
        <v>814</v>
      </c>
      <c r="L811" s="1826">
        <f>L810*12</f>
        <v>2773056</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5156</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4619</v>
      </c>
      <c r="J818" s="1833">
        <f>W810</f>
        <v>0</v>
      </c>
      <c r="K818" s="1833">
        <f>X810</f>
        <v>6</v>
      </c>
      <c r="L818" s="1833">
        <f>Y810</f>
        <v>12</v>
      </c>
      <c r="M818" s="1833">
        <f>Z810</f>
        <v>6</v>
      </c>
      <c r="N818" s="1833">
        <f>AA810</f>
        <v>0</v>
      </c>
      <c r="O818" s="1833">
        <f t="shared" ref="O818:O829" si="343">SUM(J818:N818)</f>
        <v>24</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4620</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46</v>
      </c>
      <c r="L820" s="1833">
        <f>AI810</f>
        <v>84</v>
      </c>
      <c r="M820" s="1833">
        <f>AJ810</f>
        <v>42</v>
      </c>
      <c r="N820" s="1833">
        <f>AK810</f>
        <v>0</v>
      </c>
      <c r="O820" s="1833">
        <f t="shared" si="343"/>
        <v>172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12</v>
      </c>
      <c r="L821" s="1833">
        <f>AN810</f>
        <v>24</v>
      </c>
      <c r="M821" s="1833">
        <f>AO810</f>
        <v>12</v>
      </c>
      <c r="N821" s="1833">
        <f>AP810</f>
        <v>0</v>
      </c>
      <c r="O821" s="1833">
        <f t="shared" si="343"/>
        <v>48</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4705</v>
      </c>
      <c r="D825" s="1631"/>
      <c r="E825" s="1631"/>
      <c r="F825" s="1631"/>
      <c r="H825" s="1216"/>
      <c r="J825" s="1833">
        <f>SUM(J818:J824)</f>
        <v>0</v>
      </c>
      <c r="K825" s="1833">
        <f>SUM(K818:K824)</f>
        <v>64</v>
      </c>
      <c r="L825" s="1833">
        <f>SUM(L818:L824)</f>
        <v>120</v>
      </c>
      <c r="M825" s="1833">
        <f>SUM(M818:M824)</f>
        <v>60</v>
      </c>
      <c r="N825" s="1833">
        <f>SUM(N818:N824)</f>
        <v>0</v>
      </c>
      <c r="O825" s="1833">
        <f t="shared" si="343"/>
        <v>244</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64</v>
      </c>
      <c r="L827" s="2766">
        <f>SUM(L825:L826)</f>
        <v>120</v>
      </c>
      <c r="M827" s="2766">
        <f>SUM(M825:M826)</f>
        <v>60</v>
      </c>
      <c r="N827" s="2766">
        <f>SUM(N825:N826)</f>
        <v>0</v>
      </c>
      <c r="O827" s="2766">
        <f t="shared" si="343"/>
        <v>244</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64</v>
      </c>
      <c r="L829" s="1833">
        <f>SUM(L827:L828)</f>
        <v>120</v>
      </c>
      <c r="M829" s="1833">
        <f>SUM(M827:M828)</f>
        <v>60</v>
      </c>
      <c r="N829" s="1833">
        <f>SUM(N827:N828)</f>
        <v>0</v>
      </c>
      <c r="O829" s="1833">
        <f t="shared" si="343"/>
        <v>244</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4726</v>
      </c>
      <c r="D832" s="1838"/>
      <c r="E832" s="1838"/>
      <c r="F832" s="1838"/>
      <c r="G832" s="1634"/>
      <c r="H832" s="521"/>
      <c r="I832" s="2767" t="s">
        <v>4725</v>
      </c>
      <c r="J832" s="1836"/>
      <c r="O832" s="1836"/>
      <c r="P832" s="1216" t="s">
        <v>4724</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4619</v>
      </c>
      <c r="I833" s="2768" t="str">
        <f>'Part VI-Revenues &amp; Expenses'!I71</f>
        <v>Yes</v>
      </c>
      <c r="J833" s="2769">
        <f>'Part VI-Revenues &amp; Expenses'!J71</f>
        <v>0</v>
      </c>
      <c r="K833" s="2769">
        <f>'Part VI-Revenues &amp; Expenses'!K71</f>
        <v>9.375E-2</v>
      </c>
      <c r="L833" s="2769">
        <f>'Part VI-Revenues &amp; Expenses'!L71</f>
        <v>0.1</v>
      </c>
      <c r="M833" s="2769">
        <f>'Part VI-Revenues &amp; Expenses'!M71</f>
        <v>0.1</v>
      </c>
      <c r="N833" s="2769">
        <f>'Part VI-Revenues &amp; Expenses'!N71</f>
        <v>0</v>
      </c>
      <c r="O833" s="2769">
        <f>'Part VI-Revenues &amp; Expenses'!O71</f>
        <v>9.8360655737704916E-2</v>
      </c>
      <c r="P833" s="2770">
        <f>IF(O833=0,"",AVERAGEIF(J833:N833,"&gt;0"))</f>
        <v>9.7916666666666666E-2</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4620</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5157</v>
      </c>
      <c r="E835" s="1838"/>
      <c r="F835" s="1838"/>
      <c r="G835" s="1838"/>
      <c r="H835" s="521" t="s">
        <v>1149</v>
      </c>
      <c r="I835" s="2768" t="str">
        <f>'Part VI-Revenues &amp; Expenses'!I73</f>
        <v>No</v>
      </c>
      <c r="J835" s="2769">
        <f>'Part VI-Revenues &amp; Expenses'!J73</f>
        <v>0</v>
      </c>
      <c r="K835" s="2769">
        <f>'Part VI-Revenues &amp; Expenses'!K73</f>
        <v>0.71875</v>
      </c>
      <c r="L835" s="2769">
        <f>'Part VI-Revenues &amp; Expenses'!L73</f>
        <v>0.7</v>
      </c>
      <c r="M835" s="2769">
        <f>'Part VI-Revenues &amp; Expenses'!M73</f>
        <v>0.7</v>
      </c>
      <c r="N835" s="2769">
        <f>'Part VI-Revenues &amp; Expenses'!N73</f>
        <v>0</v>
      </c>
      <c r="O835" s="2769">
        <f>'Part VI-Revenues &amp; Expenses'!O73</f>
        <v>0.70491803278688525</v>
      </c>
      <c r="P835" s="2770">
        <f t="shared" si="344"/>
        <v>0.70624999999999993</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Yes</v>
      </c>
      <c r="J836" s="2769">
        <f>'Part VI-Revenues &amp; Expenses'!J74</f>
        <v>0</v>
      </c>
      <c r="K836" s="2769">
        <f>'Part VI-Revenues &amp; Expenses'!K74</f>
        <v>0.1875</v>
      </c>
      <c r="L836" s="2769">
        <f>'Part VI-Revenues &amp; Expenses'!L74</f>
        <v>0.2</v>
      </c>
      <c r="M836" s="2769">
        <f>'Part VI-Revenues &amp; Expenses'!M74</f>
        <v>0.2</v>
      </c>
      <c r="N836" s="2769">
        <f>'Part VI-Revenues &amp; Expenses'!N74</f>
        <v>0</v>
      </c>
      <c r="O836" s="2769">
        <f>'Part VI-Revenues &amp; Expenses'!O74</f>
        <v>0.19672131147540983</v>
      </c>
      <c r="P836" s="2770">
        <f t="shared" si="344"/>
        <v>0.19583333333333333</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4619</v>
      </c>
      <c r="J843" s="1844">
        <f>CO810</f>
        <v>0</v>
      </c>
      <c r="K843" s="1844">
        <f>CP810</f>
        <v>6</v>
      </c>
      <c r="L843" s="1844">
        <f>CQ810</f>
        <v>12</v>
      </c>
      <c r="M843" s="1844">
        <f>CR810</f>
        <v>6</v>
      </c>
      <c r="N843" s="1844">
        <f>CS810</f>
        <v>0</v>
      </c>
      <c r="O843" s="1833">
        <f t="shared" ref="O843:O850" si="345">SUM(J843:N843)</f>
        <v>24</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4620</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6</v>
      </c>
      <c r="L850" s="1833">
        <f>SUM(L843:L849)</f>
        <v>12</v>
      </c>
      <c r="M850" s="1833">
        <f>SUM(M843:M849)</f>
        <v>6</v>
      </c>
      <c r="N850" s="1833">
        <f>SUM(N843:N849)</f>
        <v>0</v>
      </c>
      <c r="O850" s="1833">
        <f t="shared" si="345"/>
        <v>24</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5158</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64</v>
      </c>
      <c r="L863" s="1833">
        <f>GH810</f>
        <v>120</v>
      </c>
      <c r="M863" s="1833">
        <f>GI810</f>
        <v>60</v>
      </c>
      <c r="N863" s="1833">
        <f>GJ810</f>
        <v>0</v>
      </c>
      <c r="O863" s="1833">
        <f t="shared" ref="O863:O873" si="347">SUM(J863:N863)</f>
        <v>244</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64</v>
      </c>
      <c r="L865" s="1833">
        <f>SUM(L863:L864)+GR810</f>
        <v>120</v>
      </c>
      <c r="M865" s="1833">
        <f>SUM(M863:M864)+GS810</f>
        <v>60</v>
      </c>
      <c r="N865" s="1833">
        <f>SUM(N863:N864)+GT810</f>
        <v>0</v>
      </c>
      <c r="O865" s="1833">
        <f t="shared" si="347"/>
        <v>244</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4528</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5159</v>
      </c>
      <c r="D877" s="1838"/>
      <c r="E877" s="1634" t="s">
        <v>39</v>
      </c>
      <c r="F877" s="1631"/>
      <c r="G877" s="1652"/>
      <c r="J877" s="1833">
        <f t="shared" ref="J877:O877" si="348">SUM(J878:J885)</f>
        <v>0</v>
      </c>
      <c r="K877" s="1833">
        <f t="shared" si="348"/>
        <v>64</v>
      </c>
      <c r="L877" s="1833">
        <f t="shared" si="348"/>
        <v>120</v>
      </c>
      <c r="M877" s="1833">
        <f t="shared" si="348"/>
        <v>60</v>
      </c>
      <c r="N877" s="1833">
        <f t="shared" si="348"/>
        <v>0</v>
      </c>
      <c r="O877" s="1833">
        <f t="shared" si="348"/>
        <v>244</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64</v>
      </c>
      <c r="L884" s="1833">
        <f>KX810</f>
        <v>120</v>
      </c>
      <c r="M884" s="1833">
        <f>KY810</f>
        <v>60</v>
      </c>
      <c r="N884" s="1833">
        <f>KZ810</f>
        <v>0</v>
      </c>
      <c r="O884" s="1833">
        <f t="shared" si="349"/>
        <v>244</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5158</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5160</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64</v>
      </c>
      <c r="L903" s="1833">
        <f t="shared" si="354"/>
        <v>120</v>
      </c>
      <c r="M903" s="1833">
        <f t="shared" si="354"/>
        <v>60</v>
      </c>
      <c r="N903" s="1833">
        <f t="shared" si="354"/>
        <v>0</v>
      </c>
      <c r="O903" s="1833">
        <f t="shared" si="351"/>
        <v>244</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5108</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4619</v>
      </c>
      <c r="J907" s="1844">
        <f>EH810</f>
        <v>0</v>
      </c>
      <c r="K907" s="1844">
        <f>EI810</f>
        <v>3918</v>
      </c>
      <c r="L907" s="1844">
        <f>EJ810</f>
        <v>11556</v>
      </c>
      <c r="M907" s="1844">
        <f>EK810</f>
        <v>6690</v>
      </c>
      <c r="N907" s="1844">
        <f>EL810</f>
        <v>0</v>
      </c>
      <c r="O907" s="1847">
        <f t="shared" ref="O907:O913" si="355">SUM(J907:N907)</f>
        <v>22164</v>
      </c>
      <c r="P907" s="1924">
        <f>'Part VI-Revenues &amp; Expenses'!P145</f>
        <v>923.5</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4620</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30038</v>
      </c>
      <c r="L909" s="1847">
        <f>ET810</f>
        <v>80892</v>
      </c>
      <c r="M909" s="1847">
        <f>EU810</f>
        <v>46830</v>
      </c>
      <c r="N909" s="1847">
        <f>EV810</f>
        <v>0</v>
      </c>
      <c r="O909" s="1847">
        <f t="shared" si="355"/>
        <v>157760</v>
      </c>
      <c r="P909" s="1924">
        <f>'Part VI-Revenues &amp; Expenses'!P147</f>
        <v>917.20930232558135</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7836</v>
      </c>
      <c r="L910" s="1847">
        <f>EY810</f>
        <v>23112</v>
      </c>
      <c r="M910" s="1847">
        <f>EZ810</f>
        <v>13380</v>
      </c>
      <c r="N910" s="1847">
        <f>FA810</f>
        <v>0</v>
      </c>
      <c r="O910" s="1847">
        <f t="shared" si="355"/>
        <v>44328</v>
      </c>
      <c r="P910" s="1924">
        <f>'Part VI-Revenues &amp; Expenses'!P148</f>
        <v>923.5</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4704</v>
      </c>
      <c r="J914" s="1847">
        <f>SUM(J907:J913)</f>
        <v>0</v>
      </c>
      <c r="K914" s="1847">
        <f>SUM(K907:K913)</f>
        <v>41792</v>
      </c>
      <c r="L914" s="1847">
        <f>SUM(L907:L913)</f>
        <v>115560</v>
      </c>
      <c r="M914" s="1847">
        <f>SUM(M907:M913)</f>
        <v>66900</v>
      </c>
      <c r="N914" s="1847">
        <f>SUM(N907:N913)</f>
        <v>0</v>
      </c>
      <c r="O914" s="1847">
        <f>SUM(J914:N914)</f>
        <v>224252</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41792</v>
      </c>
      <c r="L916" s="1847">
        <f>SUM(L914:L915)</f>
        <v>115560</v>
      </c>
      <c r="M916" s="1847">
        <f>SUM(M914:M915)</f>
        <v>66900</v>
      </c>
      <c r="N916" s="1847">
        <f>SUM(N914:N915)</f>
        <v>0</v>
      </c>
      <c r="O916" s="1847">
        <f>SUM(J916:N916)</f>
        <v>224252</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41792</v>
      </c>
      <c r="L918" s="1847">
        <f>SUM(L916:L917)</f>
        <v>115560</v>
      </c>
      <c r="M918" s="1847">
        <f>SUM(M916:M917)</f>
        <v>66900</v>
      </c>
      <c r="N918" s="1847">
        <f>SUM(N916:N917)</f>
        <v>0</v>
      </c>
      <c r="O918" s="1847">
        <f>SUM(J918:N918)</f>
        <v>224252</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5161</v>
      </c>
      <c r="D921" s="1631"/>
      <c r="E921" s="1631"/>
      <c r="F921" s="1631"/>
      <c r="G921" s="1631"/>
      <c r="H921" s="1631"/>
      <c r="I921" s="1631"/>
      <c r="J921" s="1862" t="str">
        <f>'Part VI-Revenues &amp; Expenses'!J159</f>
        <v/>
      </c>
      <c r="K921" s="1862">
        <f>'Part VI-Revenues &amp; Expenses'!K159</f>
        <v>653</v>
      </c>
      <c r="L921" s="1862">
        <f>'Part VI-Revenues &amp; Expenses'!L159</f>
        <v>963</v>
      </c>
      <c r="M921" s="1862">
        <f>'Part VI-Revenues &amp; Expenses'!M159</f>
        <v>1115</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4531</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55461.120000000003</v>
      </c>
      <c r="I935" s="2151"/>
      <c r="J935" s="1486"/>
      <c r="K935" s="1849" t="s">
        <v>5109</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5110</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5111</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5110</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5111</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5110</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5111</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5110</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5111</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85000</v>
      </c>
      <c r="G977" s="1847"/>
      <c r="H977" s="1631"/>
      <c r="I977" s="1631" t="s">
        <v>1378</v>
      </c>
      <c r="J977" s="1631"/>
      <c r="K977" s="1847">
        <f>'Part VI-Revenues &amp; Expenses'!K215</f>
        <v>0</v>
      </c>
      <c r="L977" s="1847"/>
      <c r="M977" s="1631"/>
      <c r="N977" s="1631" t="s">
        <v>929</v>
      </c>
      <c r="O977" s="1631"/>
      <c r="P977" s="1862">
        <f>'Part VI-Revenues &amp; Expenses'!P215</f>
        <v>400118</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60000</v>
      </c>
      <c r="G978" s="1847"/>
      <c r="H978" s="1631"/>
      <c r="I978" s="1631" t="s">
        <v>1379</v>
      </c>
      <c r="J978" s="1631"/>
      <c r="K978" s="1847">
        <f>'Part VI-Revenues &amp; Expenses'!K216</f>
        <v>0</v>
      </c>
      <c r="L978" s="1847"/>
      <c r="M978" s="1631"/>
      <c r="N978" s="1631" t="s">
        <v>147</v>
      </c>
      <c r="O978" s="1631"/>
      <c r="P978" s="1862">
        <f>'Part VI-Revenues &amp; Expenses'!P216</f>
        <v>94277</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Benefits, Payroll Taxes, W/C</v>
      </c>
      <c r="C980" s="521"/>
      <c r="D980" s="521"/>
      <c r="E980" s="521"/>
      <c r="F980" s="1847">
        <f>'Part VI-Revenues &amp; Expenses'!F218</f>
        <v>39150</v>
      </c>
      <c r="G980" s="1847"/>
      <c r="H980" s="1631"/>
      <c r="I980" s="1631"/>
      <c r="J980" s="1631"/>
      <c r="K980" s="1631"/>
      <c r="L980" s="1631"/>
      <c r="M980" s="1631"/>
      <c r="N980" s="2774" t="s">
        <v>191</v>
      </c>
      <c r="O980" s="1631"/>
      <c r="P980" s="1862">
        <f>SUM(P977:P979)</f>
        <v>494395</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184150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131526</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4800</v>
      </c>
      <c r="G984" s="1847"/>
      <c r="H984" s="1631"/>
      <c r="I984" s="1631" t="s">
        <v>1602</v>
      </c>
      <c r="J984" s="1631"/>
      <c r="K984" s="1847">
        <f>'Part VI-Revenues &amp; Expenses'!K222</f>
        <v>5000</v>
      </c>
      <c r="L984" s="1847"/>
      <c r="M984" s="1631"/>
      <c r="N984" s="1865">
        <f>+P983/(O829*0.93)</f>
        <v>579.61396086726597</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9600</v>
      </c>
      <c r="G985" s="1847"/>
      <c r="H985" s="1631"/>
      <c r="I985" s="1631" t="s">
        <v>2049</v>
      </c>
      <c r="J985" s="1631"/>
      <c r="K985" s="1847">
        <f>'Part VI-Revenues &amp; Expenses'!K223</f>
        <v>11500</v>
      </c>
      <c r="L985" s="1847"/>
      <c r="M985" s="1631"/>
      <c r="N985" s="1865">
        <f>+P983/(O829*0.93)/12</f>
        <v>48.3011634056055</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15000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Credit Reports</v>
      </c>
      <c r="J987" s="2154"/>
      <c r="K987" s="1847">
        <f>'Part VI-Revenues &amp; Expenses'!K225</f>
        <v>7500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39000</v>
      </c>
      <c r="L988" s="1862"/>
      <c r="M988" s="2038" t="str">
        <f>IF(P990="","",IF(P988&lt;P990, "WARNING! OE below required minimum.",""))</f>
        <v/>
      </c>
      <c r="N988" s="1631" t="s">
        <v>2186</v>
      </c>
      <c r="O988" s="1631"/>
      <c r="P988" s="1862">
        <f>F981+F990+F1001+K979+K988+K998+P980+P983</f>
        <v>1245171</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Admin, Software Costs, Compliance Fees</v>
      </c>
      <c r="C989" s="521"/>
      <c r="D989" s="521"/>
      <c r="E989" s="521"/>
      <c r="F989" s="1847">
        <f>'Part VI-Revenues &amp; Expenses'!F227</f>
        <v>11700</v>
      </c>
      <c r="G989" s="1847"/>
      <c r="H989" s="1631"/>
      <c r="I989" s="1631"/>
      <c r="J989" s="1833"/>
      <c r="K989" s="1631"/>
      <c r="L989" s="1631"/>
      <c r="M989" s="2038"/>
      <c r="N989" s="1866" t="s">
        <v>2758</v>
      </c>
      <c r="O989" s="1865">
        <f>+P988/O829</f>
        <v>5103.1598360655735</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26100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5015</v>
      </c>
      <c r="K992" s="1631"/>
      <c r="L992" s="1631"/>
      <c r="M992" s="1631"/>
      <c r="N992" s="1631" t="s">
        <v>3481</v>
      </c>
      <c r="O992" s="1631"/>
      <c r="P992" s="2155">
        <f>'Part VI-Revenues &amp; Expenses'!P230</f>
        <v>61000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40000</v>
      </c>
      <c r="G993" s="1847"/>
      <c r="H993" s="1631"/>
      <c r="I993" s="1631" t="s">
        <v>1368</v>
      </c>
      <c r="J993" s="1736">
        <f>K993/12/O829</f>
        <v>6.8306010928961749</v>
      </c>
      <c r="K993" s="1847">
        <f>'Part VI-Revenues &amp; Expenses'!K231</f>
        <v>20000</v>
      </c>
      <c r="L993" s="1847"/>
      <c r="M993" s="2038" t="str">
        <f>IF(P992&lt;P1001, "WARNING! RR proposed is below the DCA required minimum.","")</f>
        <v/>
      </c>
      <c r="N993" s="521" t="s">
        <v>5014</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10000</v>
      </c>
      <c r="G994" s="1847"/>
      <c r="H994" s="1631"/>
      <c r="I994" s="1631" t="s">
        <v>1369</v>
      </c>
      <c r="J994" s="1736">
        <f>K994/12/O829</f>
        <v>0</v>
      </c>
      <c r="K994" s="1847">
        <f>'Part VI-Revenues &amp; Expenses'!K232</f>
        <v>0</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35000</v>
      </c>
      <c r="G995" s="1847"/>
      <c r="H995" s="1631"/>
      <c r="I995" s="1631" t="s">
        <v>2352</v>
      </c>
      <c r="J995" s="1736">
        <f>K995/12/O829</f>
        <v>64.207650273224047</v>
      </c>
      <c r="K995" s="1847">
        <f>'Part VI-Revenues &amp; Expenses'!K233</f>
        <v>188000</v>
      </c>
      <c r="L995" s="1847"/>
      <c r="M995" s="2038"/>
      <c r="N995" s="1871" t="s">
        <v>2714</v>
      </c>
      <c r="O995" s="1872" t="s">
        <v>3848</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12000</v>
      </c>
      <c r="G996" s="1847"/>
      <c r="H996" s="1631"/>
      <c r="I996" s="1631" t="s">
        <v>1371</v>
      </c>
      <c r="J996" s="1631"/>
      <c r="K996" s="1847">
        <f>'Part VI-Revenues &amp; Expenses'!K234</f>
        <v>15000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25000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223000</v>
      </c>
      <c r="L998" s="1862"/>
      <c r="M998" s="2038"/>
      <c r="N998" s="1652" t="s">
        <v>3429</v>
      </c>
      <c r="O998" s="1874" t="str">
        <f>CONCATENATE(SUM(MJ810:MN810)," units x $",'DCA Underwriting Assumptions'!$Q$65," =")</f>
        <v>244 units x $250 =</v>
      </c>
      <c r="P998" s="1874">
        <f>SUM(MJ810:MN810)*'DCA Underwriting Assumptions'!$Q$65</f>
        <v>61000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25000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147000</v>
      </c>
      <c r="G1001" s="1847"/>
      <c r="H1001" s="1631"/>
      <c r="I1001" s="1631"/>
      <c r="J1001" s="1833"/>
      <c r="K1001" s="1631"/>
      <c r="L1001" s="1631"/>
      <c r="M1001" s="1631"/>
      <c r="N1001" s="1828" t="s">
        <v>2717</v>
      </c>
      <c r="O1001" s="1823">
        <f>SUM(ME810:MI810)+SUM(MJ810:MN810)+SUM(MO810:MS810)+O875</f>
        <v>244</v>
      </c>
      <c r="P1001" s="1823">
        <f>SUM(P997:P1000)</f>
        <v>61000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1306171</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5000</v>
      </c>
      <c r="C1005" s="2774"/>
      <c r="D1005" s="1631"/>
      <c r="E1005" s="1631"/>
      <c r="F1005" s="2775" t="s">
        <v>5001</v>
      </c>
      <c r="G1005" s="1833"/>
      <c r="H1005" s="1862">
        <f>'Part VI-Revenues &amp; Expenses'!H243</f>
        <v>0</v>
      </c>
      <c r="I1005" s="1862"/>
      <c r="J1005" s="1833"/>
      <c r="K1005" s="1941" t="s">
        <v>5002</v>
      </c>
      <c r="L1005" s="1924">
        <f>'Part VI-Revenues &amp; Expenses'!K243</f>
        <v>0</v>
      </c>
      <c r="M1005" s="1631"/>
      <c r="N1005" s="1631" t="s">
        <v>5004</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5076</v>
      </c>
      <c r="C1007" s="2774"/>
      <c r="F1007" s="1833"/>
      <c r="G1007" s="1833"/>
      <c r="I1007" s="1630" t="str">
        <f>'Part VI-Revenues &amp; Expenses'!I245</f>
        <v>&lt;&lt;Select&gt;&gt;</v>
      </c>
      <c r="J1007" s="2775" t="s">
        <v>5078</v>
      </c>
      <c r="K1007" s="1630" t="str">
        <f>'Part VI-Revenues &amp; Expenses'!K245</f>
        <v>&lt;&lt;Select&gt;&gt;</v>
      </c>
      <c r="L1007" s="1630" t="s">
        <v>5079</v>
      </c>
      <c r="M1007" s="1924" t="str">
        <f>'Part VI-Revenues &amp; Expenses'!L245</f>
        <v>Yrs in period</v>
      </c>
      <c r="N1007" s="1631" t="s">
        <v>5077</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4106</v>
      </c>
      <c r="B1009" s="742" t="s">
        <v>572</v>
      </c>
      <c r="M1009" s="742" t="s">
        <v>4999</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See Tab 1 of the LIHTC application for a full explanation of insurance and real estate tax estimates.   As per discussion with the tax office, the income approach to value is to be used and an 5.75% cap rate was applied to the projected NOI to establish appraised value.  Insurance estimates were provided by our insurance company.</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4105</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Somersby, ,  County</v>
      </c>
      <c r="B1016" s="2111"/>
      <c r="C1016" s="2111"/>
      <c r="D1016" s="2111"/>
      <c r="E1016" s="2111"/>
      <c r="F1016" s="2111"/>
      <c r="G1016" s="2111"/>
      <c r="H1016" s="2111"/>
      <c r="I1016" s="2111"/>
      <c r="J1016" s="2111"/>
      <c r="K1016" s="2111"/>
      <c r="L1016" s="1631"/>
      <c r="M1016" s="1631"/>
      <c r="N1016" s="1631" t="str">
        <f>A1016</f>
        <v>PART SEVEN - OPERATING PRO FORMA  -  2019-5 Somersby,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5112</v>
      </c>
      <c r="N1018" s="742" t="str">
        <f>A1018</f>
        <v>I.  OPERATING ASSUMPTIONS</v>
      </c>
      <c r="O1018" s="2111"/>
    </row>
    <row r="1019" spans="1:318">
      <c r="C1019" s="2776"/>
    </row>
    <row r="1020" spans="1:318" ht="12.75" customHeight="1">
      <c r="A1020" s="742" t="s">
        <v>2188</v>
      </c>
      <c r="B1020" s="1876">
        <v>0.02</v>
      </c>
      <c r="C1020" s="2776"/>
      <c r="D1020" s="1838" t="s">
        <v>4536</v>
      </c>
      <c r="E1020" s="1838"/>
      <c r="F1020" s="1838"/>
      <c r="G1020" s="2156">
        <f>'Part VII-Pro Forma'!G5</f>
        <v>5000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Yes</v>
      </c>
      <c r="H1023" s="1880" t="s">
        <v>1444</v>
      </c>
      <c r="K1023" s="2158">
        <f>'Part VII-Pro Forma'!K8</f>
        <v>131526</v>
      </c>
      <c r="N1023" s="1838">
        <f>'Part VII-Pro Forma'!N8</f>
        <v>0</v>
      </c>
      <c r="O1023" s="1838"/>
    </row>
    <row r="1024" spans="1:318">
      <c r="A1024" s="742" t="s">
        <v>1418</v>
      </c>
      <c r="B1024" s="1876">
        <v>0.02</v>
      </c>
      <c r="D1024" s="1631" t="s">
        <v>1718</v>
      </c>
      <c r="G1024" s="2157">
        <f>'Part VII-Pro Forma'!G9</f>
        <v>0</v>
      </c>
      <c r="H1024" s="1880" t="s">
        <v>2356</v>
      </c>
      <c r="K1024" s="2159">
        <f>'Part VII-Pro Forma'!K9</f>
        <v>0</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2773056</v>
      </c>
      <c r="C1029" s="1881">
        <f>'Part VII-Pro Forma'!C14</f>
        <v>2828517.12</v>
      </c>
      <c r="D1029" s="1881">
        <f>'Part VII-Pro Forma'!D14</f>
        <v>2885087.4624000001</v>
      </c>
      <c r="E1029" s="1881">
        <f>'Part VII-Pro Forma'!E14</f>
        <v>2942789.2116479999</v>
      </c>
      <c r="F1029" s="1881">
        <f>'Part VII-Pro Forma'!F14</f>
        <v>3001644.99588096</v>
      </c>
      <c r="G1029" s="1881">
        <f>'Part VII-Pro Forma'!G14</f>
        <v>3061677.8957985793</v>
      </c>
      <c r="H1029" s="1881">
        <f>'Part VII-Pro Forma'!H14</f>
        <v>3122911.4537145509</v>
      </c>
      <c r="I1029" s="1881">
        <f>'Part VII-Pro Forma'!I14</f>
        <v>3185369.6827888414</v>
      </c>
      <c r="J1029" s="1881">
        <f>'Part VII-Pro Forma'!J14</f>
        <v>3249077.0764446184</v>
      </c>
      <c r="K1029" s="1881">
        <f>'Part VII-Pro Forma'!K14</f>
        <v>3314058.6179735106</v>
      </c>
      <c r="N1029" s="1838">
        <f>'Part VII-Pro Forma'!N14</f>
        <v>0</v>
      </c>
      <c r="O1029" s="1838"/>
    </row>
    <row r="1030" spans="1:15">
      <c r="A1030" s="742" t="s">
        <v>1016</v>
      </c>
      <c r="B1030" s="1881">
        <f>'Part VII-Pro Forma'!B15</f>
        <v>55461.120000000003</v>
      </c>
      <c r="C1030" s="1881">
        <f>'Part VII-Pro Forma'!C15</f>
        <v>56570.342400000001</v>
      </c>
      <c r="D1030" s="1881">
        <f>'Part VII-Pro Forma'!D15</f>
        <v>57701.749248</v>
      </c>
      <c r="E1030" s="1881">
        <f>'Part VII-Pro Forma'!E15</f>
        <v>58855.784232959995</v>
      </c>
      <c r="F1030" s="1881">
        <f>'Part VII-Pro Forma'!F15</f>
        <v>60032.899917619201</v>
      </c>
      <c r="G1030" s="1881">
        <f>'Part VII-Pro Forma'!G15</f>
        <v>61233.557915971585</v>
      </c>
      <c r="H1030" s="1881">
        <f>'Part VII-Pro Forma'!H15</f>
        <v>62458.229074291019</v>
      </c>
      <c r="I1030" s="1881">
        <f>'Part VII-Pro Forma'!I15</f>
        <v>63707.393655776832</v>
      </c>
      <c r="J1030" s="1881">
        <f>'Part VII-Pro Forma'!J15</f>
        <v>64981.541528892369</v>
      </c>
      <c r="K1030" s="1881">
        <f>'Part VII-Pro Forma'!K15</f>
        <v>66281.17235947022</v>
      </c>
      <c r="N1030" s="1838">
        <f>'Part VII-Pro Forma'!N15</f>
        <v>0</v>
      </c>
      <c r="O1030" s="1838"/>
    </row>
    <row r="1031" spans="1:15">
      <c r="A1031" s="742" t="s">
        <v>2405</v>
      </c>
      <c r="B1031" s="1881">
        <f>'Part VII-Pro Forma'!B16</f>
        <v>-197996.19840000002</v>
      </c>
      <c r="C1031" s="1881">
        <f>'Part VII-Pro Forma'!C16</f>
        <v>-201956.12236800001</v>
      </c>
      <c r="D1031" s="1881">
        <f>'Part VII-Pro Forma'!D16</f>
        <v>-205995.24481536003</v>
      </c>
      <c r="E1031" s="1881">
        <f>'Part VII-Pro Forma'!E16</f>
        <v>-210115.14971166721</v>
      </c>
      <c r="F1031" s="1881">
        <f>'Part VII-Pro Forma'!F16</f>
        <v>-214317.45270590056</v>
      </c>
      <c r="G1031" s="1881">
        <f>'Part VII-Pro Forma'!G16</f>
        <v>-218603.8017600186</v>
      </c>
      <c r="H1031" s="1881">
        <f>'Part VII-Pro Forma'!H16</f>
        <v>-222975.87779521896</v>
      </c>
      <c r="I1031" s="1881">
        <f>'Part VII-Pro Forma'!I16</f>
        <v>-227435.3953511233</v>
      </c>
      <c r="J1031" s="1881">
        <f>'Part VII-Pro Forma'!J16</f>
        <v>-231984.10325814577</v>
      </c>
      <c r="K1031" s="1881">
        <f>'Part VII-Pro Forma'!K16</f>
        <v>-236623.78532330869</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4942</v>
      </c>
      <c r="B1034" s="1881">
        <f>'Part VII-Pro Forma'!B19</f>
        <v>2630520.9216</v>
      </c>
      <c r="C1034" s="1881">
        <f>'Part VII-Pro Forma'!C19</f>
        <v>2683131.3400320001</v>
      </c>
      <c r="D1034" s="1881">
        <f>'Part VII-Pro Forma'!D19</f>
        <v>2736793.9668326401</v>
      </c>
      <c r="E1034" s="1881">
        <f>'Part VII-Pro Forma'!E19</f>
        <v>2791529.8461692929</v>
      </c>
      <c r="F1034" s="1881">
        <f>'Part VII-Pro Forma'!F19</f>
        <v>2847360.4430926787</v>
      </c>
      <c r="G1034" s="1881">
        <f>'Part VII-Pro Forma'!G19</f>
        <v>2904307.6519545321</v>
      </c>
      <c r="H1034" s="1881">
        <f>'Part VII-Pro Forma'!H19</f>
        <v>2962393.8049936229</v>
      </c>
      <c r="I1034" s="1881">
        <f>'Part VII-Pro Forma'!I19</f>
        <v>3021641.6810934953</v>
      </c>
      <c r="J1034" s="1881">
        <f>'Part VII-Pro Forma'!J19</f>
        <v>3082074.5147153647</v>
      </c>
      <c r="K1034" s="1881">
        <f>'Part VII-Pro Forma'!K19</f>
        <v>3143716.0050096721</v>
      </c>
      <c r="N1034" s="1838">
        <f>'Part VII-Pro Forma'!N19</f>
        <v>0</v>
      </c>
      <c r="O1034" s="1838"/>
    </row>
    <row r="1035" spans="1:15">
      <c r="A1035" s="742" t="s">
        <v>614</v>
      </c>
      <c r="B1035" s="1881">
        <f>'Part VII-Pro Forma'!B20</f>
        <v>-1113645</v>
      </c>
      <c r="C1035" s="1881">
        <f>'Part VII-Pro Forma'!C20</f>
        <v>-1147054.3500000001</v>
      </c>
      <c r="D1035" s="1881">
        <f>'Part VII-Pro Forma'!D20</f>
        <v>-1181465.9805000001</v>
      </c>
      <c r="E1035" s="1881">
        <f>'Part VII-Pro Forma'!E20</f>
        <v>-1216909.959915</v>
      </c>
      <c r="F1035" s="1881">
        <f>'Part VII-Pro Forma'!F20</f>
        <v>-1253417.2587124498</v>
      </c>
      <c r="G1035" s="1881">
        <f>'Part VII-Pro Forma'!G20</f>
        <v>-1291019.7764738232</v>
      </c>
      <c r="H1035" s="1881">
        <f>'Part VII-Pro Forma'!H20</f>
        <v>-1329750.3697680382</v>
      </c>
      <c r="I1035" s="1881">
        <f>'Part VII-Pro Forma'!I20</f>
        <v>-1369642.8808610793</v>
      </c>
      <c r="J1035" s="1881">
        <f>'Part VII-Pro Forma'!J20</f>
        <v>-1410732.1672869115</v>
      </c>
      <c r="K1035" s="1881">
        <f>'Part VII-Pro Forma'!K20</f>
        <v>-1453054.132305519</v>
      </c>
      <c r="N1035" s="1838">
        <f>'Part VII-Pro Forma'!N20</f>
        <v>0</v>
      </c>
      <c r="O1035" s="1838"/>
    </row>
    <row r="1036" spans="1:15">
      <c r="A1036" s="742" t="s">
        <v>1115</v>
      </c>
      <c r="B1036" s="1881">
        <f>'Part VII-Pro Forma'!B21</f>
        <v>-131526</v>
      </c>
      <c r="C1036" s="1881">
        <f>'Part VII-Pro Forma'!C21</f>
        <v>-135472</v>
      </c>
      <c r="D1036" s="1881">
        <f>'Part VII-Pro Forma'!D21</f>
        <v>-139536</v>
      </c>
      <c r="E1036" s="1881">
        <f>'Part VII-Pro Forma'!E21</f>
        <v>-143722</v>
      </c>
      <c r="F1036" s="1881">
        <f>'Part VII-Pro Forma'!F21</f>
        <v>-148034</v>
      </c>
      <c r="G1036" s="1881">
        <f>'Part VII-Pro Forma'!G21</f>
        <v>-152475</v>
      </c>
      <c r="H1036" s="1881">
        <f>'Part VII-Pro Forma'!H21</f>
        <v>-157049</v>
      </c>
      <c r="I1036" s="1881">
        <f>'Part VII-Pro Forma'!I21</f>
        <v>-161760</v>
      </c>
      <c r="J1036" s="1881">
        <f>'Part VII-Pro Forma'!J21</f>
        <v>-166613</v>
      </c>
      <c r="K1036" s="1881">
        <f>'Part VII-Pro Forma'!K21</f>
        <v>-171612</v>
      </c>
      <c r="N1036" s="1838">
        <f>'Part VII-Pro Forma'!N21</f>
        <v>0</v>
      </c>
      <c r="O1036" s="1838"/>
    </row>
    <row r="1037" spans="1:15">
      <c r="A1037" s="742" t="s">
        <v>1202</v>
      </c>
      <c r="B1037" s="1881">
        <f>'Part VII-Pro Forma'!B22</f>
        <v>-61000</v>
      </c>
      <c r="C1037" s="1881">
        <f>'Part VII-Pro Forma'!C22</f>
        <v>-62830</v>
      </c>
      <c r="D1037" s="1881">
        <f>'Part VII-Pro Forma'!D22</f>
        <v>-64714.899999999994</v>
      </c>
      <c r="E1037" s="1881">
        <f>'Part VII-Pro Forma'!E22</f>
        <v>-66656.346999999994</v>
      </c>
      <c r="F1037" s="1881">
        <f>'Part VII-Pro Forma'!F22</f>
        <v>-68656.03740999999</v>
      </c>
      <c r="G1037" s="1881">
        <f>'Part VII-Pro Forma'!G22</f>
        <v>-70715.718532299987</v>
      </c>
      <c r="H1037" s="1881">
        <f>'Part VII-Pro Forma'!H22</f>
        <v>-72837.190088268995</v>
      </c>
      <c r="I1037" s="1881">
        <f>'Part VII-Pro Forma'!I22</f>
        <v>-75022.305790917075</v>
      </c>
      <c r="J1037" s="1881">
        <f>'Part VII-Pro Forma'!J22</f>
        <v>-77272.974964644571</v>
      </c>
      <c r="K1037" s="1881">
        <f>'Part VII-Pro Forma'!K22</f>
        <v>-79591.164213583907</v>
      </c>
      <c r="N1037" s="1838">
        <f>'Part VII-Pro Forma'!N22</f>
        <v>0</v>
      </c>
      <c r="O1037" s="1838"/>
    </row>
    <row r="1038" spans="1:15">
      <c r="A1038" s="742" t="s">
        <v>4941</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1324349.9216</v>
      </c>
      <c r="C1039" s="1881">
        <f t="shared" ref="C1039:J1039" si="363">SUM(C1034:C1038)</f>
        <v>1337774.990032</v>
      </c>
      <c r="D1039" s="1881">
        <f t="shared" si="363"/>
        <v>1351077.0863326401</v>
      </c>
      <c r="E1039" s="1881">
        <f t="shared" si="363"/>
        <v>1364241.5392542928</v>
      </c>
      <c r="F1039" s="1881">
        <f t="shared" si="363"/>
        <v>1377253.1469702288</v>
      </c>
      <c r="G1039" s="1881">
        <f t="shared" si="363"/>
        <v>1390097.1569484088</v>
      </c>
      <c r="H1039" s="1881">
        <f t="shared" si="363"/>
        <v>1402757.2451373157</v>
      </c>
      <c r="I1039" s="1881">
        <f t="shared" si="363"/>
        <v>1415216.494441499</v>
      </c>
      <c r="J1039" s="1881">
        <f t="shared" si="363"/>
        <v>1427456.3724638086</v>
      </c>
      <c r="K1039" s="1881">
        <f>SUM(K1034:K1038)</f>
        <v>1439458.7084905694</v>
      </c>
      <c r="N1039" s="1838">
        <f>'Part VII-Pro Forma'!N24</f>
        <v>0</v>
      </c>
      <c r="O1039" s="1838"/>
    </row>
    <row r="1040" spans="1:15">
      <c r="A1040" s="742" t="s">
        <v>1591</v>
      </c>
      <c r="B1040" s="1881">
        <f>'Part VII-Pro Forma'!B25</f>
        <v>-1059344.3643382434</v>
      </c>
      <c r="C1040" s="1881">
        <f>'Part VII-Pro Forma'!C25</f>
        <v>-1059344.3643382434</v>
      </c>
      <c r="D1040" s="1881">
        <f>'Part VII-Pro Forma'!D25</f>
        <v>-1059344.3643382434</v>
      </c>
      <c r="E1040" s="1881">
        <f>'Part VII-Pro Forma'!E25</f>
        <v>-1059344.3643382434</v>
      </c>
      <c r="F1040" s="1881">
        <f>'Part VII-Pro Forma'!F25</f>
        <v>-1059344.3643382434</v>
      </c>
      <c r="G1040" s="1881">
        <f>'Part VII-Pro Forma'!G25</f>
        <v>-1059344.3643382434</v>
      </c>
      <c r="H1040" s="1881">
        <f>'Part VII-Pro Forma'!H25</f>
        <v>-1059344.3643382434</v>
      </c>
      <c r="I1040" s="1881">
        <f>'Part VII-Pro Forma'!I25</f>
        <v>-1059344.3643382434</v>
      </c>
      <c r="J1040" s="1881">
        <f>'Part VII-Pro Forma'!J25</f>
        <v>-1059344.3643382434</v>
      </c>
      <c r="K1040" s="1881">
        <f>'Part VII-Pro Forma'!K25</f>
        <v>-1059344.3643382434</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-5000</v>
      </c>
      <c r="C1045" s="1881">
        <f>'Part VII-Pro Forma'!C30</f>
        <v>-5150</v>
      </c>
      <c r="D1045" s="1881">
        <f>'Part VII-Pro Forma'!D30</f>
        <v>-5304.5</v>
      </c>
      <c r="E1045" s="1881">
        <f>'Part VII-Pro Forma'!E30</f>
        <v>-5463.6350000000002</v>
      </c>
      <c r="F1045" s="1881">
        <f>'Part VII-Pro Forma'!F30</f>
        <v>-5627.5440500000004</v>
      </c>
      <c r="G1045" s="1881">
        <f>'Part VII-Pro Forma'!G30</f>
        <v>-5796.3703715000001</v>
      </c>
      <c r="H1045" s="1881">
        <f>'Part VII-Pro Forma'!H30</f>
        <v>-5970.2614826449999</v>
      </c>
      <c r="I1045" s="1881">
        <f>'Part VII-Pro Forma'!I30</f>
        <v>-6149.3693271243501</v>
      </c>
      <c r="J1045" s="1881">
        <f>'Part VII-Pro Forma'!J30</f>
        <v>-6333.8504069380806</v>
      </c>
      <c r="K1045" s="1881">
        <f>'Part VII-Pro Forma'!K30</f>
        <v>-6523.865919146223</v>
      </c>
      <c r="N1045" s="1838">
        <f>'Part VII-Pro Forma'!N30</f>
        <v>0</v>
      </c>
      <c r="O1045" s="1838"/>
    </row>
    <row r="1046" spans="1:15">
      <c r="A1046" s="742" t="s">
        <v>4084</v>
      </c>
      <c r="B1046" s="1881">
        <f>'Part VII-Pro Forma'!B31</f>
        <v>-260005.55726175662</v>
      </c>
      <c r="C1046" s="1881">
        <f>'Part VII-Pro Forma'!C31</f>
        <v>-273281</v>
      </c>
      <c r="D1046" s="1881">
        <f>'Part VII-Pro Forma'!D31</f>
        <v>-286428</v>
      </c>
      <c r="E1046" s="1881">
        <f>'Part VII-Pro Forma'!E31</f>
        <v>-299434</v>
      </c>
      <c r="F1046" s="1881">
        <f>'Part VII-Pro Forma'!F31</f>
        <v>-312281</v>
      </c>
      <c r="G1046" s="1881">
        <f>'Part VII-Pro Forma'!G31</f>
        <v>-141597</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0</v>
      </c>
      <c r="C1047" s="1881">
        <f>'Part VII-Pro Forma'!C32</f>
        <v>-0.37430624337866902</v>
      </c>
      <c r="D1047" s="1881">
        <f>'Part VII-Pro Forma'!D32</f>
        <v>0.22199439676478505</v>
      </c>
      <c r="E1047" s="1881">
        <f>'Part VII-Pro Forma'!E32</f>
        <v>-0.46008395054377615</v>
      </c>
      <c r="F1047" s="1881">
        <f>'Part VII-Pro Forma'!F32</f>
        <v>0.23858198535162956</v>
      </c>
      <c r="G1047" s="1881">
        <f>'Part VII-Pro Forma'!G32</f>
        <v>183359.42223866546</v>
      </c>
      <c r="H1047" s="1881">
        <f>'Part VII-Pro Forma'!H32</f>
        <v>337442.61931642733</v>
      </c>
      <c r="I1047" s="1881">
        <f>'Part VII-Pro Forma'!I32</f>
        <v>349722.7607761313</v>
      </c>
      <c r="J1047" s="1881">
        <f>'Part VII-Pro Forma'!J32</f>
        <v>361778.15771862719</v>
      </c>
      <c r="K1047" s="1881">
        <f>'Part VII-Pro Forma'!K32</f>
        <v>373590.47823317978</v>
      </c>
      <c r="N1047" s="1838">
        <f>'Part VII-Pro Forma'!N32</f>
        <v>0</v>
      </c>
      <c r="O1047" s="1838"/>
    </row>
    <row r="1048" spans="1:15">
      <c r="A1048" s="742" t="str">
        <f>IF('Part III-Sources of Funds'!$E$38 = "Neither", "", "DCR Mortgage A")</f>
        <v>DCR Mortgage A</v>
      </c>
      <c r="B1048" s="1882">
        <f>'Part VII-Pro Forma'!B33</f>
        <v>1.2501599726990587</v>
      </c>
      <c r="C1048" s="1882">
        <f>'Part VII-Pro Forma'!C33</f>
        <v>1.2628329701529002</v>
      </c>
      <c r="D1048" s="1882">
        <f>'Part VII-Pro Forma'!D33</f>
        <v>1.2753898843617655</v>
      </c>
      <c r="E1048" s="1882">
        <f>'Part VII-Pro Forma'!E33</f>
        <v>1.2878168659598375</v>
      </c>
      <c r="F1048" s="1882">
        <f>'Part VII-Pro Forma'!F33</f>
        <v>1.3000995647251856</v>
      </c>
      <c r="G1048" s="1882">
        <f>'Part VII-Pro Forma'!G33</f>
        <v>1.3122240545611263</v>
      </c>
      <c r="H1048" s="1882">
        <f>'Part VII-Pro Forma'!H33</f>
        <v>1.3241749258878601</v>
      </c>
      <c r="I1048" s="1882">
        <f>'Part VII-Pro Forma'!I33</f>
        <v>1.3359362093039158</v>
      </c>
      <c r="J1048" s="1882">
        <f>'Part VII-Pro Forma'!J33</f>
        <v>1.3474904105951602</v>
      </c>
      <c r="K1048" s="1882">
        <f>'Part VII-Pro Forma'!K33</f>
        <v>1.3588203769694642</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1.2501599726990587</v>
      </c>
      <c r="C1052" s="1882">
        <f>'Part VII-Pro Forma'!C37</f>
        <v>1.2628329701529002</v>
      </c>
      <c r="D1052" s="1882">
        <f>'Part VII-Pro Forma'!D37</f>
        <v>1.2753898843617655</v>
      </c>
      <c r="E1052" s="1882">
        <f>'Part VII-Pro Forma'!E37</f>
        <v>1.2878168659598375</v>
      </c>
      <c r="F1052" s="1882">
        <f>'Part VII-Pro Forma'!F37</f>
        <v>1.3000995647251856</v>
      </c>
      <c r="G1052" s="1882">
        <f>'Part VII-Pro Forma'!G37</f>
        <v>1.3122240545611263</v>
      </c>
      <c r="H1052" s="1882">
        <f>'Part VII-Pro Forma'!H37</f>
        <v>1.3241749258878601</v>
      </c>
      <c r="I1052" s="1882">
        <f>'Part VII-Pro Forma'!I37</f>
        <v>1.3359362093039158</v>
      </c>
      <c r="J1052" s="1882">
        <f>'Part VII-Pro Forma'!J37</f>
        <v>1.3474904105951602</v>
      </c>
      <c r="K1052" s="1882">
        <f>'Part VII-Pro Forma'!K37</f>
        <v>1.3588203769694642</v>
      </c>
      <c r="N1052" s="1838">
        <f>'Part VII-Pro Forma'!N37</f>
        <v>0</v>
      </c>
      <c r="O1052" s="1838"/>
    </row>
    <row r="1053" spans="1:15">
      <c r="A1053" s="742" t="s">
        <v>770</v>
      </c>
      <c r="B1053" s="1883">
        <f>'Part VII-Pro Forma'!B38</f>
        <v>2.0139177195022704</v>
      </c>
      <c r="C1053" s="1883">
        <f>'Part VII-Pro Forma'!C38</f>
        <v>1.9943647941543516</v>
      </c>
      <c r="D1053" s="1883">
        <f>'Part VII-Pro Forma'!D38</f>
        <v>1.9750022572036063</v>
      </c>
      <c r="E1053" s="1883">
        <f>'Part VII-Pro Forma'!E38</f>
        <v>1.9558275876322568</v>
      </c>
      <c r="F1053" s="1883">
        <f>'Part VII-Pro Forma'!F38</f>
        <v>1.9368385223329392</v>
      </c>
      <c r="G1053" s="1883">
        <f>'Part VII-Pro Forma'!G38</f>
        <v>1.9180342901683476</v>
      </c>
      <c r="H1053" s="1883">
        <f>'Part VII-Pro Forma'!H38</f>
        <v>1.8994129024947677</v>
      </c>
      <c r="I1053" s="1883">
        <f>'Part VII-Pro Forma'!I38</f>
        <v>1.8809725508543591</v>
      </c>
      <c r="J1053" s="1883">
        <f>'Part VII-Pro Forma'!J38</f>
        <v>1.8627104562756502</v>
      </c>
      <c r="K1053" s="1883">
        <f>'Part VII-Pro Forma'!K38</f>
        <v>1.8446252284972597</v>
      </c>
      <c r="N1053" s="1838">
        <f>'Part VII-Pro Forma'!N38</f>
        <v>0</v>
      </c>
      <c r="O1053" s="1838"/>
    </row>
    <row r="1054" spans="1:15">
      <c r="A1054" s="742" t="s">
        <v>2617</v>
      </c>
      <c r="B1054" s="1881">
        <f>'Part VII-Pro Forma'!B39</f>
        <v>20757532.064481884</v>
      </c>
      <c r="C1054" s="1881">
        <f>'Part VII-Pro Forma'!C39</f>
        <v>20440257.805174336</v>
      </c>
      <c r="D1054" s="1881">
        <f>'Part VII-Pro Forma'!D39</f>
        <v>20111371.3142302</v>
      </c>
      <c r="E1054" s="1881">
        <f>'Part VII-Pro Forma'!E39</f>
        <v>19770447.584200475</v>
      </c>
      <c r="F1054" s="1881">
        <f>'Part VII-Pro Forma'!F39</f>
        <v>19417046.052371908</v>
      </c>
      <c r="G1054" s="1881">
        <f>'Part VII-Pro Forma'!G39</f>
        <v>19050710.03144462</v>
      </c>
      <c r="H1054" s="1881">
        <f>'Part VII-Pro Forma'!H39</f>
        <v>18670966.119372562</v>
      </c>
      <c r="I1054" s="1881">
        <f>'Part VII-Pro Forma'!I39</f>
        <v>18277323.587604128</v>
      </c>
      <c r="J1054" s="1881">
        <f>'Part VII-Pro Forma'!J39</f>
        <v>17869273.746932402</v>
      </c>
      <c r="K1054" s="1881">
        <f>'Part VII-Pro Forma'!K39</f>
        <v>17446289.290135514</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4085</v>
      </c>
      <c r="B1058" s="1881">
        <f>'Part VII-Pro Forma'!B43</f>
        <v>1313021.4427382434</v>
      </c>
      <c r="C1058" s="1881">
        <f>'Part VII-Pro Forma'!C43</f>
        <v>1039740.4427382434</v>
      </c>
      <c r="D1058" s="1881">
        <f>'Part VII-Pro Forma'!D43</f>
        <v>753312.44273824338</v>
      </c>
      <c r="E1058" s="1881">
        <f>'Part VII-Pro Forma'!E43</f>
        <v>453878.44273824338</v>
      </c>
      <c r="F1058" s="1881">
        <f>'Part VII-Pro Forma'!F43</f>
        <v>141597.44273824338</v>
      </c>
      <c r="G1058" s="1881">
        <f>'Part VII-Pro Forma'!G43</f>
        <v>0.44273824337869883</v>
      </c>
      <c r="H1058" s="1881">
        <f>'Part VII-Pro Forma'!H43</f>
        <v>0.44273824337869883</v>
      </c>
      <c r="I1058" s="1881">
        <f>'Part VII-Pro Forma'!I43</f>
        <v>0.44273824337869883</v>
      </c>
      <c r="J1058" s="1881">
        <f>'Part VII-Pro Forma'!J43</f>
        <v>0.44273824337869883</v>
      </c>
      <c r="K1058" s="1881">
        <f>'Part VII-Pro Forma'!K43</f>
        <v>0.44273824337869883</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3380339.7903329814</v>
      </c>
      <c r="C1061" s="1881">
        <f>'Part VII-Pro Forma'!C46</f>
        <v>3447946.5861396403</v>
      </c>
      <c r="D1061" s="1881">
        <f>'Part VII-Pro Forma'!D46</f>
        <v>3516905.5178624336</v>
      </c>
      <c r="E1061" s="1881">
        <f>'Part VII-Pro Forma'!E46</f>
        <v>3587243.6282196818</v>
      </c>
      <c r="F1061" s="1881">
        <f>'Part VII-Pro Forma'!F46</f>
        <v>3658988.5007840758</v>
      </c>
      <c r="G1061" s="1881">
        <f>'Part VII-Pro Forma'!G46</f>
        <v>3732168.2707997565</v>
      </c>
      <c r="H1061" s="1881">
        <f>'Part VII-Pro Forma'!H46</f>
        <v>3806811.6362157525</v>
      </c>
      <c r="I1061" s="1881">
        <f>'Part VII-Pro Forma'!I46</f>
        <v>3882947.8689400675</v>
      </c>
      <c r="J1061" s="1881">
        <f>'Part VII-Pro Forma'!J46</f>
        <v>3960606.8263188684</v>
      </c>
      <c r="K1061" s="1881">
        <f>'Part VII-Pro Forma'!K46</f>
        <v>4039818.9628452458</v>
      </c>
      <c r="N1061" s="1838">
        <f>'Part VII-Pro Forma'!N46</f>
        <v>0</v>
      </c>
      <c r="O1061" s="1838"/>
    </row>
    <row r="1062" spans="1:15">
      <c r="A1062" s="742" t="s">
        <v>1016</v>
      </c>
      <c r="B1062" s="1881">
        <f>'Part VII-Pro Forma'!B47</f>
        <v>67606.795806659633</v>
      </c>
      <c r="C1062" s="1881">
        <f>'Part VII-Pro Forma'!C47</f>
        <v>68958.931722792811</v>
      </c>
      <c r="D1062" s="1881">
        <f>'Part VII-Pro Forma'!D47</f>
        <v>70338.110357248675</v>
      </c>
      <c r="E1062" s="1881">
        <f>'Part VII-Pro Forma'!E47</f>
        <v>71744.872564393649</v>
      </c>
      <c r="F1062" s="1881">
        <f>'Part VII-Pro Forma'!F47</f>
        <v>73179.770015681526</v>
      </c>
      <c r="G1062" s="1881">
        <f>'Part VII-Pro Forma'!G47</f>
        <v>74643.36541599514</v>
      </c>
      <c r="H1062" s="1881">
        <f>'Part VII-Pro Forma'!H47</f>
        <v>76136.23272431505</v>
      </c>
      <c r="I1062" s="1881">
        <f>'Part VII-Pro Forma'!I47</f>
        <v>77658.957378801351</v>
      </c>
      <c r="J1062" s="1881">
        <f>'Part VII-Pro Forma'!J47</f>
        <v>79212.136526377377</v>
      </c>
      <c r="K1062" s="1881">
        <f>'Part VII-Pro Forma'!K47</f>
        <v>80796.379256904926</v>
      </c>
      <c r="N1062" s="1838">
        <f>'Part VII-Pro Forma'!N47</f>
        <v>0</v>
      </c>
      <c r="O1062" s="1838"/>
    </row>
    <row r="1063" spans="1:15">
      <c r="A1063" s="742" t="s">
        <v>2405</v>
      </c>
      <c r="B1063" s="1881">
        <f>'Part VII-Pro Forma'!B48</f>
        <v>-241356.26102977491</v>
      </c>
      <c r="C1063" s="1881">
        <f>'Part VII-Pro Forma'!C48</f>
        <v>-246183.38625037033</v>
      </c>
      <c r="D1063" s="1881">
        <f>'Part VII-Pro Forma'!D48</f>
        <v>-251107.05397537778</v>
      </c>
      <c r="E1063" s="1881">
        <f>'Part VII-Pro Forma'!E48</f>
        <v>-256129.19505488529</v>
      </c>
      <c r="F1063" s="1881">
        <f>'Part VII-Pro Forma'!F48</f>
        <v>-261251.77895598306</v>
      </c>
      <c r="G1063" s="1881">
        <f>'Part VII-Pro Forma'!G48</f>
        <v>-266476.81453510263</v>
      </c>
      <c r="H1063" s="1881">
        <f>'Part VII-Pro Forma'!H48</f>
        <v>-271806.35082580475</v>
      </c>
      <c r="I1063" s="1881">
        <f>'Part VII-Pro Forma'!I48</f>
        <v>-277242.47784232086</v>
      </c>
      <c r="J1063" s="1881">
        <f>'Part VII-Pro Forma'!J48</f>
        <v>-282787.32739916723</v>
      </c>
      <c r="K1063" s="1881">
        <f>'Part VII-Pro Forma'!K48</f>
        <v>-288443.07394715061</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4942</v>
      </c>
      <c r="B1066" s="1881">
        <f>'Part VII-Pro Forma'!B51</f>
        <v>3206590.3251098664</v>
      </c>
      <c r="C1066" s="1881">
        <f>'Part VII-Pro Forma'!C51</f>
        <v>3270722.1316120629</v>
      </c>
      <c r="D1066" s="1881">
        <f>'Part VII-Pro Forma'!D51</f>
        <v>3336136.5742443046</v>
      </c>
      <c r="E1066" s="1881">
        <f>'Part VII-Pro Forma'!E51</f>
        <v>3402859.3057291899</v>
      </c>
      <c r="F1066" s="1881">
        <f>'Part VII-Pro Forma'!F51</f>
        <v>3470916.4918437744</v>
      </c>
      <c r="G1066" s="1881">
        <f>'Part VII-Pro Forma'!G51</f>
        <v>3540334.8216806487</v>
      </c>
      <c r="H1066" s="1881">
        <f>'Part VII-Pro Forma'!H51</f>
        <v>3611141.5181142627</v>
      </c>
      <c r="I1066" s="1881">
        <f>'Part VII-Pro Forma'!I51</f>
        <v>3683364.3484765482</v>
      </c>
      <c r="J1066" s="1881">
        <f>'Part VII-Pro Forma'!J51</f>
        <v>3757031.6354460786</v>
      </c>
      <c r="K1066" s="1881">
        <f>'Part VII-Pro Forma'!K51</f>
        <v>3832172.2681550002</v>
      </c>
      <c r="N1066" s="1838">
        <f>'Part VII-Pro Forma'!N51</f>
        <v>0</v>
      </c>
      <c r="O1066" s="1838"/>
    </row>
    <row r="1067" spans="1:15">
      <c r="A1067" s="742" t="s">
        <v>614</v>
      </c>
      <c r="B1067" s="1881">
        <f>'Part VII-Pro Forma'!B52</f>
        <v>-1496645.7562746846</v>
      </c>
      <c r="C1067" s="1881">
        <f>'Part VII-Pro Forma'!C52</f>
        <v>-1541545.1289629252</v>
      </c>
      <c r="D1067" s="1881">
        <f>'Part VII-Pro Forma'!D52</f>
        <v>-1587791.4828318127</v>
      </c>
      <c r="E1067" s="1881">
        <f>'Part VII-Pro Forma'!E52</f>
        <v>-1635425.227316767</v>
      </c>
      <c r="F1067" s="1881">
        <f>'Part VII-Pro Forma'!F52</f>
        <v>-1684487.9841362701</v>
      </c>
      <c r="G1067" s="1881">
        <f>'Part VII-Pro Forma'!G52</f>
        <v>-1735022.6236603584</v>
      </c>
      <c r="H1067" s="1881">
        <f>'Part VII-Pro Forma'!H52</f>
        <v>-1787073.3023701687</v>
      </c>
      <c r="I1067" s="1881">
        <f>'Part VII-Pro Forma'!I52</f>
        <v>-1840685.5014412738</v>
      </c>
      <c r="J1067" s="1881">
        <f>'Part VII-Pro Forma'!J52</f>
        <v>-1895906.0664845121</v>
      </c>
      <c r="K1067" s="1881">
        <f>'Part VII-Pro Forma'!K52</f>
        <v>-1952783.2484790473</v>
      </c>
      <c r="N1067" s="1838">
        <f>'Part VII-Pro Forma'!N52</f>
        <v>0</v>
      </c>
      <c r="O1067" s="1838"/>
    </row>
    <row r="1068" spans="1:15">
      <c r="A1068" s="742" t="s">
        <v>1115</v>
      </c>
      <c r="B1068" s="1881">
        <f>'Part VII-Pro Forma'!B53</f>
        <v>-176760</v>
      </c>
      <c r="C1068" s="1881">
        <f>'Part VII-Pro Forma'!C53</f>
        <v>-182063</v>
      </c>
      <c r="D1068" s="1881">
        <f>'Part VII-Pro Forma'!D53</f>
        <v>-187525</v>
      </c>
      <c r="E1068" s="1881">
        <f>'Part VII-Pro Forma'!E53</f>
        <v>-193150</v>
      </c>
      <c r="F1068" s="1881">
        <f>'Part VII-Pro Forma'!F53</f>
        <v>-198945</v>
      </c>
      <c r="G1068" s="1881">
        <f>'Part VII-Pro Forma'!G53</f>
        <v>-204913</v>
      </c>
      <c r="H1068" s="1881">
        <f>'Part VII-Pro Forma'!H53</f>
        <v>-211061</v>
      </c>
      <c r="I1068" s="1881">
        <f>'Part VII-Pro Forma'!I53</f>
        <v>-217392</v>
      </c>
      <c r="J1068" s="1881">
        <f>'Part VII-Pro Forma'!J53</f>
        <v>-223914</v>
      </c>
      <c r="K1068" s="1881">
        <f>'Part VII-Pro Forma'!K53</f>
        <v>-230632</v>
      </c>
      <c r="N1068" s="1838">
        <f>'Part VII-Pro Forma'!N53</f>
        <v>0</v>
      </c>
      <c r="O1068" s="1838"/>
    </row>
    <row r="1069" spans="1:15">
      <c r="A1069" s="742" t="s">
        <v>1202</v>
      </c>
      <c r="B1069" s="1881">
        <f>'Part VII-Pro Forma'!B54</f>
        <v>-81978.899139991423</v>
      </c>
      <c r="C1069" s="1881">
        <f>'Part VII-Pro Forma'!C54</f>
        <v>-84438.266114191181</v>
      </c>
      <c r="D1069" s="1881">
        <f>'Part VII-Pro Forma'!D54</f>
        <v>-86971.4140976169</v>
      </c>
      <c r="E1069" s="1881">
        <f>'Part VII-Pro Forma'!E54</f>
        <v>-89580.556520545404</v>
      </c>
      <c r="F1069" s="1881">
        <f>'Part VII-Pro Forma'!F54</f>
        <v>-92267.973216161772</v>
      </c>
      <c r="G1069" s="1881">
        <f>'Part VII-Pro Forma'!G54</f>
        <v>-95036.012412646625</v>
      </c>
      <c r="H1069" s="1881">
        <f>'Part VII-Pro Forma'!H54</f>
        <v>-97887.092785026005</v>
      </c>
      <c r="I1069" s="1881">
        <f>'Part VII-Pro Forma'!I54</f>
        <v>-100823.7055685768</v>
      </c>
      <c r="J1069" s="1881">
        <f>'Part VII-Pro Forma'!J54</f>
        <v>-103848.41673563409</v>
      </c>
      <c r="K1069" s="1881">
        <f>'Part VII-Pro Forma'!K54</f>
        <v>-106963.86923770311</v>
      </c>
      <c r="N1069" s="1838">
        <f>'Part VII-Pro Forma'!N54</f>
        <v>0</v>
      </c>
      <c r="O1069" s="1838"/>
    </row>
    <row r="1070" spans="1:15">
      <c r="A1070" s="742" t="s">
        <v>4941</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1451205.6696951904</v>
      </c>
      <c r="C1071" s="1881">
        <f t="shared" ref="C1071:J1071" si="365">SUM(C1066:C1070)</f>
        <v>1462675.7365349466</v>
      </c>
      <c r="D1071" s="1881">
        <f t="shared" si="365"/>
        <v>1473848.6773148749</v>
      </c>
      <c r="E1071" s="1881">
        <f t="shared" si="365"/>
        <v>1484703.5218918775</v>
      </c>
      <c r="F1071" s="1881">
        <f t="shared" si="365"/>
        <v>1495215.5344913425</v>
      </c>
      <c r="G1071" s="1881">
        <f t="shared" si="365"/>
        <v>1505363.1856076438</v>
      </c>
      <c r="H1071" s="1881">
        <f t="shared" si="365"/>
        <v>1515120.122959068</v>
      </c>
      <c r="I1071" s="1881">
        <f t="shared" si="365"/>
        <v>1524463.1414666977</v>
      </c>
      <c r="J1071" s="1881">
        <f t="shared" si="365"/>
        <v>1533363.1522259326</v>
      </c>
      <c r="K1071" s="1881">
        <f>SUM(K1066:K1070)</f>
        <v>1541793.1504382498</v>
      </c>
      <c r="N1071" s="1838">
        <f>'Part VII-Pro Forma'!N56</f>
        <v>0</v>
      </c>
      <c r="O1071" s="1838"/>
    </row>
    <row r="1072" spans="1:15">
      <c r="A1072" s="742" t="str">
        <f>$A1040</f>
        <v>Mortgage A</v>
      </c>
      <c r="B1072" s="1881">
        <f>IF('Part III-Sources of Funds'!$P$38="", 0,-'Part III-Sources of Funds'!$P$38)</f>
        <v>-1059344.3643382434</v>
      </c>
      <c r="C1072" s="1881">
        <f>IF('Part III-Sources of Funds'!$P$38="", 0,-'Part III-Sources of Funds'!$P$38)</f>
        <v>-1059344.3643382434</v>
      </c>
      <c r="D1072" s="1881">
        <f>IF('Part III-Sources of Funds'!$P$38="", 0,-'Part III-Sources of Funds'!$P$38)</f>
        <v>-1059344.3643382434</v>
      </c>
      <c r="E1072" s="1881">
        <f>IF('Part III-Sources of Funds'!$P$38="", 0,-'Part III-Sources of Funds'!$P$38)</f>
        <v>-1059344.3643382434</v>
      </c>
      <c r="F1072" s="1881">
        <f>IF('Part III-Sources of Funds'!$P$38="", 0,-'Part III-Sources of Funds'!$P$38)</f>
        <v>-1059344.3643382434</v>
      </c>
      <c r="G1072" s="1881">
        <f>IF('Part III-Sources of Funds'!$P$38="", 0,-'Part III-Sources of Funds'!$P$38)</f>
        <v>-1059344.3643382434</v>
      </c>
      <c r="H1072" s="1881">
        <f>IF('Part III-Sources of Funds'!$P$38="", 0,-'Part III-Sources of Funds'!$P$38)</f>
        <v>-1059344.3643382434</v>
      </c>
      <c r="I1072" s="1881">
        <f>IF('Part III-Sources of Funds'!$P$38="", 0,-'Part III-Sources of Funds'!$P$38)</f>
        <v>-1059344.3643382434</v>
      </c>
      <c r="J1072" s="1881">
        <f>IF('Part III-Sources of Funds'!$P$38="", 0,-'Part III-Sources of Funds'!$P$38)</f>
        <v>-1059344.3643382434</v>
      </c>
      <c r="K1072" s="1881">
        <f>IF('Part III-Sources of Funds'!$P$38="", 0,-'Part III-Sources of Funds'!$P$38)</f>
        <v>-1059344.3643382434</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-6523.865919146223</v>
      </c>
      <c r="C1077" s="1881">
        <f t="shared" ref="C1077:K1077" si="366">+B1077</f>
        <v>-6523.865919146223</v>
      </c>
      <c r="D1077" s="1881">
        <f t="shared" si="366"/>
        <v>-6523.865919146223</v>
      </c>
      <c r="E1077" s="1881">
        <f t="shared" si="366"/>
        <v>-6523.865919146223</v>
      </c>
      <c r="F1077" s="1881">
        <f t="shared" si="366"/>
        <v>-6523.865919146223</v>
      </c>
      <c r="G1077" s="1881">
        <f t="shared" si="366"/>
        <v>-6523.865919146223</v>
      </c>
      <c r="H1077" s="1881">
        <f t="shared" si="366"/>
        <v>-6523.865919146223</v>
      </c>
      <c r="I1077" s="1881">
        <f t="shared" si="366"/>
        <v>-6523.865919146223</v>
      </c>
      <c r="J1077" s="1881">
        <f t="shared" si="366"/>
        <v>-6523.865919146223</v>
      </c>
      <c r="K1077" s="1881">
        <f t="shared" si="366"/>
        <v>-6523.865919146223</v>
      </c>
      <c r="N1077" s="1838">
        <f>'Part VII-Pro Forma'!N62</f>
        <v>0</v>
      </c>
      <c r="O1077" s="1838"/>
    </row>
    <row r="1078" spans="1:15">
      <c r="A1078" s="742" t="s">
        <v>4084</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385141.72346022638</v>
      </c>
      <c r="C1079" s="1881">
        <f>'Part VII-Pro Forma'!C64</f>
        <v>396410.20284308097</v>
      </c>
      <c r="D1079" s="1881">
        <f>'Part VII-Pro Forma'!D64</f>
        <v>407375.50854240067</v>
      </c>
      <c r="E1079" s="1881">
        <f>'Part VII-Pro Forma'!E64</f>
        <v>418016.48898637632</v>
      </c>
      <c r="F1079" s="1881">
        <f>'Part VII-Pro Forma'!F64</f>
        <v>428308.22152882355</v>
      </c>
      <c r="G1079" s="1881">
        <f>'Part VII-Pro Forma'!G64</f>
        <v>446018.82126940042</v>
      </c>
      <c r="H1079" s="1881">
        <f>'Part VII-Pro Forma'!H64</f>
        <v>455775.75862082466</v>
      </c>
      <c r="I1079" s="1881">
        <f>'Part VII-Pro Forma'!I64</f>
        <v>465118.7771284543</v>
      </c>
      <c r="J1079" s="1881">
        <f>'Part VII-Pro Forma'!J64</f>
        <v>474018.78788768919</v>
      </c>
      <c r="K1079" s="1881">
        <f>'Part VII-Pro Forma'!K64</f>
        <v>482448.78610000643</v>
      </c>
      <c r="N1079" s="1838">
        <f>'Part VII-Pro Forma'!N64</f>
        <v>0</v>
      </c>
      <c r="O1079" s="1838"/>
    </row>
    <row r="1080" spans="1:15">
      <c r="A1080" s="742" t="str">
        <f>$A1048</f>
        <v>DCR Mortgage A</v>
      </c>
      <c r="B1080" s="1882">
        <f>'Part VII-Pro Forma'!B65</f>
        <v>1.3699092745933821</v>
      </c>
      <c r="C1080" s="1882">
        <f>'Part VII-Pro Forma'!C65</f>
        <v>1.3807367894467992</v>
      </c>
      <c r="D1080" s="1882">
        <f>'Part VII-Pro Forma'!D65</f>
        <v>1.3912838232122622</v>
      </c>
      <c r="E1080" s="1882">
        <f>'Part VII-Pro Forma'!E65</f>
        <v>1.4015305804919722</v>
      </c>
      <c r="F1080" s="1882">
        <f>'Part VII-Pro Forma'!F65</f>
        <v>1.4114537112069137</v>
      </c>
      <c r="G1080" s="1882">
        <f>'Part VII-Pro Forma'!G65</f>
        <v>1.4210328919321922</v>
      </c>
      <c r="H1080" s="1882">
        <f>'Part VII-Pro Forma'!H65</f>
        <v>1.4302432466382553</v>
      </c>
      <c r="I1080" s="1882">
        <f>'Part VII-Pro Forma'!I65</f>
        <v>1.4390628701923638</v>
      </c>
      <c r="J1080" s="1882">
        <f>'Part VII-Pro Forma'!J65</f>
        <v>1.4474643032474164</v>
      </c>
      <c r="K1080" s="1882">
        <f>'Part VII-Pro Forma'!K65</f>
        <v>1.4554220538109768</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1.3699092745933821</v>
      </c>
      <c r="C1084" s="1882">
        <f>'Part VII-Pro Forma'!C69</f>
        <v>1.3807367894467992</v>
      </c>
      <c r="D1084" s="1882">
        <f>'Part VII-Pro Forma'!D69</f>
        <v>1.3912838232122622</v>
      </c>
      <c r="E1084" s="1882">
        <f>'Part VII-Pro Forma'!E69</f>
        <v>1.4015305804919722</v>
      </c>
      <c r="F1084" s="1882">
        <f>'Part VII-Pro Forma'!F69</f>
        <v>1.4114537112069137</v>
      </c>
      <c r="G1084" s="1882">
        <f>'Part VII-Pro Forma'!G69</f>
        <v>1.4210328919321922</v>
      </c>
      <c r="H1084" s="1882">
        <f>'Part VII-Pro Forma'!H69</f>
        <v>1.4302432466382553</v>
      </c>
      <c r="I1084" s="1882">
        <f>'Part VII-Pro Forma'!I69</f>
        <v>1.4390628701923638</v>
      </c>
      <c r="J1084" s="1882">
        <f>'Part VII-Pro Forma'!J69</f>
        <v>1.4474643032474164</v>
      </c>
      <c r="K1084" s="1882">
        <f>'Part VII-Pro Forma'!K69</f>
        <v>1.4554220538109768</v>
      </c>
      <c r="N1084" s="1838">
        <f>'Part VII-Pro Forma'!N69</f>
        <v>0</v>
      </c>
      <c r="O1084" s="1838"/>
    </row>
    <row r="1085" spans="1:15">
      <c r="A1085" s="742" t="s">
        <v>770</v>
      </c>
      <c r="B1085" s="1883">
        <f>'Part VII-Pro Forma'!B70</f>
        <v>1.8267166203252305</v>
      </c>
      <c r="C1085" s="1883">
        <f>'Part VII-Pro Forma'!C70</f>
        <v>1.8089813074030996</v>
      </c>
      <c r="D1085" s="1883">
        <f>'Part VII-Pro Forma'!D70</f>
        <v>1.7914182762745656</v>
      </c>
      <c r="E1085" s="1883">
        <f>'Part VII-Pro Forma'!E70</f>
        <v>1.7740265594704179</v>
      </c>
      <c r="F1085" s="1883">
        <f>'Part VII-Pro Forma'!F70</f>
        <v>1.7568025560381511</v>
      </c>
      <c r="G1085" s="1883">
        <f>'Part VII-Pro Forma'!G70</f>
        <v>1.7397465197660567</v>
      </c>
      <c r="H1085" s="1883">
        <f>'Part VII-Pro Forma'!H70</f>
        <v>1.7228552754571882</v>
      </c>
      <c r="I1085" s="1883">
        <f>'Part VII-Pro Forma'!I70</f>
        <v>1.7061291811393859</v>
      </c>
      <c r="J1085" s="1883">
        <f>'Part VII-Pro Forma'!J70</f>
        <v>1.6895646378031286</v>
      </c>
      <c r="K1085" s="1883">
        <f>'Part VII-Pro Forma'!K70</f>
        <v>1.6731606739303679</v>
      </c>
      <c r="N1085" s="1838">
        <f>'Part VII-Pro Forma'!N70</f>
        <v>0</v>
      </c>
      <c r="O1085" s="1838"/>
    </row>
    <row r="1086" spans="1:15">
      <c r="A1086" s="742" t="s">
        <v>2617</v>
      </c>
      <c r="B1086" s="1881">
        <f>'Part VII-Pro Forma'!B71</f>
        <v>17007823.610557675</v>
      </c>
      <c r="C1086" s="1881">
        <f>'Part VII-Pro Forma'!C71</f>
        <v>16553310.095750269</v>
      </c>
      <c r="D1086" s="1881">
        <f>'Part VII-Pro Forma'!D71</f>
        <v>16082161.395260222</v>
      </c>
      <c r="E1086" s="1881">
        <f>'Part VII-Pro Forma'!E71</f>
        <v>15593768.661619458</v>
      </c>
      <c r="F1086" s="1881">
        <f>'Part VII-Pro Forma'!F71</f>
        <v>15087500.763554577</v>
      </c>
      <c r="G1086" s="1881">
        <f>'Part VII-Pro Forma'!G71</f>
        <v>14562703.470400009</v>
      </c>
      <c r="H1086" s="1881">
        <f>'Part VII-Pro Forma'!H71</f>
        <v>14018698.60666072</v>
      </c>
      <c r="I1086" s="1881">
        <f>'Part VII-Pro Forma'!I71</f>
        <v>13454783.175631925</v>
      </c>
      <c r="J1086" s="1881">
        <f>'Part VII-Pro Forma'!J71</f>
        <v>12870228.450943306</v>
      </c>
      <c r="K1086" s="1881">
        <f>'Part VII-Pro Forma'!K71</f>
        <v>12264279.034853749</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4085</v>
      </c>
      <c r="B1090" s="1881">
        <f>'Part VII-Pro Forma'!B75</f>
        <v>0.44273824337869883</v>
      </c>
      <c r="C1090" s="1881">
        <f>'Part VII-Pro Forma'!C75</f>
        <v>0.44273824337869883</v>
      </c>
      <c r="D1090" s="1881">
        <f>'Part VII-Pro Forma'!D75</f>
        <v>0.44273824337869883</v>
      </c>
      <c r="E1090" s="1881">
        <f>'Part VII-Pro Forma'!E75</f>
        <v>0.44273824337869883</v>
      </c>
      <c r="F1090" s="1881">
        <f>'Part VII-Pro Forma'!F75</f>
        <v>0.44273824337869883</v>
      </c>
      <c r="G1090" s="1881">
        <f>'Part VII-Pro Forma'!G75</f>
        <v>0.44273824337869883</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4120615.3421021509</v>
      </c>
      <c r="C1093" s="1881">
        <f>'Part VII-Pro Forma'!C78</f>
        <v>4203027.6489441935</v>
      </c>
      <c r="D1093" s="1881">
        <f>'Part VII-Pro Forma'!D78</f>
        <v>4287088.2019230779</v>
      </c>
      <c r="E1093" s="1881">
        <f>'Part VII-Pro Forma'!E78</f>
        <v>4372829.9659615383</v>
      </c>
      <c r="F1093" s="1881">
        <f>'Part VII-Pro Forma'!F78</f>
        <v>4460286.56528077</v>
      </c>
      <c r="G1093" s="1881">
        <f>'Part VII-Pro Forma'!G78</f>
        <v>4549492.296586385</v>
      </c>
      <c r="H1093" s="1881">
        <f>'Part VII-Pro Forma'!H78</f>
        <v>4640482.1425181134</v>
      </c>
      <c r="I1093" s="1881">
        <f>'Part VII-Pro Forma'!I78</f>
        <v>4733291.7853684742</v>
      </c>
      <c r="J1093" s="1881">
        <f>'Part VII-Pro Forma'!J78</f>
        <v>4827957.6210758453</v>
      </c>
      <c r="K1093" s="1881">
        <f>'Part VII-Pro Forma'!K78</f>
        <v>4924516.7734973617</v>
      </c>
      <c r="N1093" s="1838">
        <f>'Part VII-Pro Forma'!N78</f>
        <v>0</v>
      </c>
      <c r="O1093" s="1838"/>
    </row>
    <row r="1094" spans="1:15">
      <c r="A1094" s="742" t="s">
        <v>1016</v>
      </c>
      <c r="B1094" s="1881">
        <f>'Part VII-Pro Forma'!B79</f>
        <v>82412.306842043021</v>
      </c>
      <c r="C1094" s="1881">
        <f>'Part VII-Pro Forma'!C79</f>
        <v>84060.552978883876</v>
      </c>
      <c r="D1094" s="1881">
        <f>'Part VII-Pro Forma'!D79</f>
        <v>85741.764038461566</v>
      </c>
      <c r="E1094" s="1881">
        <f>'Part VII-Pro Forma'!E79</f>
        <v>87456.59931923078</v>
      </c>
      <c r="F1094" s="1881">
        <f>'Part VII-Pro Forma'!F79</f>
        <v>89205.731305615394</v>
      </c>
      <c r="G1094" s="1881">
        <f>'Part VII-Pro Forma'!G79</f>
        <v>90989.845931727701</v>
      </c>
      <c r="H1094" s="1881">
        <f>'Part VII-Pro Forma'!H79</f>
        <v>92809.642850362274</v>
      </c>
      <c r="I1094" s="1881">
        <f>'Part VII-Pro Forma'!I79</f>
        <v>94665.835707369493</v>
      </c>
      <c r="J1094" s="1881">
        <f>'Part VII-Pro Forma'!J79</f>
        <v>96559.152421516905</v>
      </c>
      <c r="K1094" s="1881">
        <f>'Part VII-Pro Forma'!K79</f>
        <v>98490.335469947226</v>
      </c>
      <c r="N1094" s="1838">
        <f>'Part VII-Pro Forma'!N79</f>
        <v>0</v>
      </c>
      <c r="O1094" s="1838"/>
    </row>
    <row r="1095" spans="1:15">
      <c r="A1095" s="742" t="s">
        <v>2405</v>
      </c>
      <c r="B1095" s="1881">
        <f>'Part VII-Pro Forma'!B80</f>
        <v>-294211.93542609358</v>
      </c>
      <c r="C1095" s="1881">
        <f>'Part VII-Pro Forma'!C80</f>
        <v>-300096.1741346154</v>
      </c>
      <c r="D1095" s="1881">
        <f>'Part VII-Pro Forma'!D80</f>
        <v>-306098.09761730779</v>
      </c>
      <c r="E1095" s="1881">
        <f>'Part VII-Pro Forma'!E80</f>
        <v>-312220.05956965388</v>
      </c>
      <c r="F1095" s="1881">
        <f>'Part VII-Pro Forma'!F80</f>
        <v>-318464.46076104697</v>
      </c>
      <c r="G1095" s="1881">
        <f>'Part VII-Pro Forma'!G80</f>
        <v>-324833.74997626792</v>
      </c>
      <c r="H1095" s="1881">
        <f>'Part VII-Pro Forma'!H80</f>
        <v>-331330.42497579334</v>
      </c>
      <c r="I1095" s="1881">
        <f>'Part VII-Pro Forma'!I80</f>
        <v>-337957.03347530909</v>
      </c>
      <c r="J1095" s="1881">
        <f>'Part VII-Pro Forma'!J80</f>
        <v>-344716.17414481542</v>
      </c>
      <c r="K1095" s="1881">
        <f>'Part VII-Pro Forma'!K80</f>
        <v>-351610.49762771168</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4942</v>
      </c>
      <c r="B1098" s="1881">
        <f>'Part VII-Pro Forma'!B83</f>
        <v>3908815.7135180999</v>
      </c>
      <c r="C1098" s="1881">
        <f>'Part VII-Pro Forma'!C83</f>
        <v>3986992.0277884617</v>
      </c>
      <c r="D1098" s="1881">
        <f>'Part VII-Pro Forma'!D83</f>
        <v>4066731.8683442315</v>
      </c>
      <c r="E1098" s="1881">
        <f>'Part VII-Pro Forma'!E83</f>
        <v>4148066.505711115</v>
      </c>
      <c r="F1098" s="1881">
        <f>'Part VII-Pro Forma'!F83</f>
        <v>4231027.835825338</v>
      </c>
      <c r="G1098" s="1881">
        <f>'Part VII-Pro Forma'!G83</f>
        <v>4315648.3925418444</v>
      </c>
      <c r="H1098" s="1881">
        <f>'Part VII-Pro Forma'!H83</f>
        <v>4401961.3603926823</v>
      </c>
      <c r="I1098" s="1881">
        <f>'Part VII-Pro Forma'!I83</f>
        <v>4490000.5876005348</v>
      </c>
      <c r="J1098" s="1881">
        <f>'Part VII-Pro Forma'!J83</f>
        <v>4579800.599352547</v>
      </c>
      <c r="K1098" s="1881">
        <f>'Part VII-Pro Forma'!K83</f>
        <v>4671396.611339597</v>
      </c>
      <c r="N1098" s="1838">
        <f>'Part VII-Pro Forma'!N83</f>
        <v>0</v>
      </c>
      <c r="O1098" s="1838"/>
    </row>
    <row r="1099" spans="1:15">
      <c r="A1099" s="742" t="s">
        <v>614</v>
      </c>
      <c r="B1099" s="1881">
        <f>'Part VII-Pro Forma'!B84</f>
        <v>-2011366.7459334186</v>
      </c>
      <c r="C1099" s="1881">
        <f>'Part VII-Pro Forma'!C84</f>
        <v>-2071707.7483114211</v>
      </c>
      <c r="D1099" s="1881">
        <f>'Part VII-Pro Forma'!D84</f>
        <v>-2133858.9807607639</v>
      </c>
      <c r="E1099" s="1881">
        <f>'Part VII-Pro Forma'!E84</f>
        <v>-2197874.750183587</v>
      </c>
      <c r="F1099" s="1881">
        <f>'Part VII-Pro Forma'!F84</f>
        <v>-2263810.992689094</v>
      </c>
      <c r="G1099" s="1881">
        <f>'Part VII-Pro Forma'!G84</f>
        <v>-2331725.3224697672</v>
      </c>
      <c r="H1099" s="1881">
        <f>'Part VII-Pro Forma'!H84</f>
        <v>-2401677.0821438604</v>
      </c>
      <c r="I1099" s="1881">
        <f>'Part VII-Pro Forma'!I84</f>
        <v>-2473727.3946081758</v>
      </c>
      <c r="J1099" s="1881">
        <f>'Part VII-Pro Forma'!J84</f>
        <v>-2547939.2164464211</v>
      </c>
      <c r="K1099" s="1881">
        <f>'Part VII-Pro Forma'!K84</f>
        <v>-2624377.3929398134</v>
      </c>
      <c r="N1099" s="1838">
        <f>'Part VII-Pro Forma'!N84</f>
        <v>0</v>
      </c>
      <c r="O1099" s="1838"/>
    </row>
    <row r="1100" spans="1:15">
      <c r="A1100" s="742" t="s">
        <v>1115</v>
      </c>
      <c r="B1100" s="1881">
        <f>'Part VII-Pro Forma'!B85</f>
        <v>-237551</v>
      </c>
      <c r="C1100" s="1881">
        <f>'Part VII-Pro Forma'!C85</f>
        <v>-244677</v>
      </c>
      <c r="D1100" s="1881">
        <f>'Part VII-Pro Forma'!D85</f>
        <v>-252017</v>
      </c>
      <c r="E1100" s="1881">
        <f>'Part VII-Pro Forma'!E85</f>
        <v>-259578</v>
      </c>
      <c r="F1100" s="1881">
        <f>'Part VII-Pro Forma'!F85</f>
        <v>-267365</v>
      </c>
      <c r="G1100" s="1881">
        <f>'Part VII-Pro Forma'!G85</f>
        <v>-275386</v>
      </c>
      <c r="H1100" s="1881">
        <f>'Part VII-Pro Forma'!H85</f>
        <v>-283648</v>
      </c>
      <c r="I1100" s="1881">
        <f>'Part VII-Pro Forma'!I85</f>
        <v>-292157</v>
      </c>
      <c r="J1100" s="1881">
        <f>'Part VII-Pro Forma'!J85</f>
        <v>-300922</v>
      </c>
      <c r="K1100" s="1881">
        <f>'Part VII-Pro Forma'!K85</f>
        <v>-309950</v>
      </c>
      <c r="N1100" s="1838">
        <f>'Part VII-Pro Forma'!N85</f>
        <v>0</v>
      </c>
      <c r="O1100" s="1838"/>
    </row>
    <row r="1101" spans="1:15">
      <c r="A1101" s="742" t="s">
        <v>1202</v>
      </c>
      <c r="B1101" s="1881">
        <f>'Part VII-Pro Forma'!B86</f>
        <v>-110172.78531483421</v>
      </c>
      <c r="C1101" s="1881">
        <f>'Part VII-Pro Forma'!C86</f>
        <v>-113477.96887427922</v>
      </c>
      <c r="D1101" s="1881">
        <f>'Part VII-Pro Forma'!D86</f>
        <v>-116882.30794050761</v>
      </c>
      <c r="E1101" s="1881">
        <f>'Part VII-Pro Forma'!E86</f>
        <v>-120388.77717872284</v>
      </c>
      <c r="F1101" s="1881">
        <f>'Part VII-Pro Forma'!F86</f>
        <v>-124000.44049408451</v>
      </c>
      <c r="G1101" s="1881">
        <f>'Part VII-Pro Forma'!G86</f>
        <v>-127720.45370890705</v>
      </c>
      <c r="H1101" s="1881">
        <f>'Part VII-Pro Forma'!H86</f>
        <v>-131552.06732017428</v>
      </c>
      <c r="I1101" s="1881">
        <f>'Part VII-Pro Forma'!I86</f>
        <v>-135498.62933977949</v>
      </c>
      <c r="J1101" s="1881">
        <f>'Part VII-Pro Forma'!J86</f>
        <v>-139563.58821997288</v>
      </c>
      <c r="K1101" s="1881">
        <f>'Part VII-Pro Forma'!K86</f>
        <v>-143750.49586657205</v>
      </c>
      <c r="N1101" s="1838">
        <f>'Part VII-Pro Forma'!N86</f>
        <v>0</v>
      </c>
      <c r="O1101" s="1838"/>
    </row>
    <row r="1102" spans="1:15">
      <c r="A1102" s="742" t="s">
        <v>4941</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1549725.182269847</v>
      </c>
      <c r="C1103" s="1881">
        <f t="shared" ref="C1103:J1103" si="368">SUM(C1098:C1102)</f>
        <v>1557129.3106027613</v>
      </c>
      <c r="D1103" s="1881">
        <f t="shared" si="368"/>
        <v>1563973.5796429601</v>
      </c>
      <c r="E1103" s="1881">
        <f t="shared" si="368"/>
        <v>1570224.9783488051</v>
      </c>
      <c r="F1103" s="1881">
        <f t="shared" si="368"/>
        <v>1575851.4026421595</v>
      </c>
      <c r="G1103" s="1881">
        <f t="shared" si="368"/>
        <v>1580816.6163631701</v>
      </c>
      <c r="H1103" s="1881">
        <f t="shared" si="368"/>
        <v>1585084.2109286475</v>
      </c>
      <c r="I1103" s="1881">
        <f t="shared" si="368"/>
        <v>1588617.5636525794</v>
      </c>
      <c r="J1103" s="1881">
        <f t="shared" si="368"/>
        <v>1591375.7946861531</v>
      </c>
      <c r="K1103" s="1881">
        <f>SUM(K1098:K1102)</f>
        <v>1593318.7225332116</v>
      </c>
      <c r="N1103" s="1838">
        <f>'Part VII-Pro Forma'!N88</f>
        <v>0</v>
      </c>
      <c r="O1103" s="1838"/>
    </row>
    <row r="1104" spans="1:15">
      <c r="A1104" s="742" t="str">
        <f>$A1072</f>
        <v>Mortgage A</v>
      </c>
      <c r="B1104" s="1881">
        <f>IF('Part III-Sources of Funds'!$P$38="", 0,-'Part III-Sources of Funds'!$P$38)</f>
        <v>-1059344.3643382434</v>
      </c>
      <c r="C1104" s="1881">
        <f>IF('Part III-Sources of Funds'!$P$38="", 0,-'Part III-Sources of Funds'!$P$38)</f>
        <v>-1059344.3643382434</v>
      </c>
      <c r="D1104" s="1881">
        <f>IF('Part III-Sources of Funds'!$P$38="", 0,-'Part III-Sources of Funds'!$P$38)</f>
        <v>-1059344.3643382434</v>
      </c>
      <c r="E1104" s="1881">
        <f>IF('Part III-Sources of Funds'!$P$38="", 0,-'Part III-Sources of Funds'!$P$38)</f>
        <v>-1059344.3643382434</v>
      </c>
      <c r="F1104" s="1881">
        <f>IF('Part III-Sources of Funds'!$P$38="", 0,-'Part III-Sources of Funds'!$P$38)</f>
        <v>-1059344.3643382434</v>
      </c>
      <c r="G1104" s="1881">
        <f>IF('Part III-Sources of Funds'!$P$38="", 0,-'Part III-Sources of Funds'!$P$38)</f>
        <v>-1059344.3643382434</v>
      </c>
      <c r="H1104" s="1881">
        <f>IF('Part III-Sources of Funds'!$P$38="", 0,-'Part III-Sources of Funds'!$P$38)</f>
        <v>-1059344.3643382434</v>
      </c>
      <c r="I1104" s="1881">
        <f>IF('Part III-Sources of Funds'!$P$38="", 0,-'Part III-Sources of Funds'!$P$38)</f>
        <v>-1059344.3643382434</v>
      </c>
      <c r="J1104" s="1881">
        <f>IF('Part III-Sources of Funds'!$P$38="", 0,-'Part III-Sources of Funds'!$P$38)</f>
        <v>-1059344.3643382434</v>
      </c>
      <c r="K1104" s="1881">
        <f>IF('Part III-Sources of Funds'!$P$38="", 0,-'Part III-Sources of Funds'!$P$38)</f>
        <v>-1059344.3643382434</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-6523.865919146223</v>
      </c>
      <c r="C1109" s="1881">
        <f t="shared" ref="C1109:K1109" si="369">+B1109</f>
        <v>-6523.865919146223</v>
      </c>
      <c r="D1109" s="1881">
        <f t="shared" si="369"/>
        <v>-6523.865919146223</v>
      </c>
      <c r="E1109" s="1881">
        <f t="shared" si="369"/>
        <v>-6523.865919146223</v>
      </c>
      <c r="F1109" s="1881">
        <f t="shared" si="369"/>
        <v>-6523.865919146223</v>
      </c>
      <c r="G1109" s="1881">
        <f t="shared" si="369"/>
        <v>-6523.865919146223</v>
      </c>
      <c r="H1109" s="1881">
        <f t="shared" si="369"/>
        <v>-6523.865919146223</v>
      </c>
      <c r="I1109" s="1881">
        <f t="shared" si="369"/>
        <v>-6523.865919146223</v>
      </c>
      <c r="J1109" s="1881">
        <f t="shared" si="369"/>
        <v>-6523.865919146223</v>
      </c>
      <c r="K1109" s="1881">
        <f t="shared" si="369"/>
        <v>-6523.865919146223</v>
      </c>
      <c r="N1109" s="1838">
        <f>'Part VII-Pro Forma'!N94</f>
        <v>0</v>
      </c>
      <c r="O1109" s="1838"/>
    </row>
    <row r="1110" spans="1:15">
      <c r="A1110" s="742" t="s">
        <v>1164</v>
      </c>
      <c r="B1110" s="1881">
        <f>'Part VII-Pro Forma'!B95</f>
        <v>490380.81793160364</v>
      </c>
      <c r="C1110" s="1881">
        <f>'Part VII-Pro Forma'!C95</f>
        <v>497784.94626451796</v>
      </c>
      <c r="D1110" s="1881">
        <f>'Part VII-Pro Forma'!D95</f>
        <v>504629.21530471672</v>
      </c>
      <c r="E1110" s="1881">
        <f>'Part VII-Pro Forma'!E95</f>
        <v>510880.61401056172</v>
      </c>
      <c r="F1110" s="1881">
        <f>'Part VII-Pro Forma'!F95</f>
        <v>516507.03830391611</v>
      </c>
      <c r="G1110" s="1881">
        <f>'Part VII-Pro Forma'!G95</f>
        <v>521472.25202492671</v>
      </c>
      <c r="H1110" s="1881">
        <f>'Part VII-Pro Forma'!H95</f>
        <v>525739.84659040417</v>
      </c>
      <c r="I1110" s="1881">
        <f>'Part VII-Pro Forma'!I95</f>
        <v>529273.19931433606</v>
      </c>
      <c r="J1110" s="1881">
        <f>'Part VII-Pro Forma'!J95</f>
        <v>532031.43034790969</v>
      </c>
      <c r="K1110" s="1881">
        <f>'Part VII-Pro Forma'!K95</f>
        <v>533974.3581949682</v>
      </c>
      <c r="N1110" s="1838">
        <f>'Part VII-Pro Forma'!N95</f>
        <v>0</v>
      </c>
      <c r="O1110" s="1838"/>
    </row>
    <row r="1111" spans="1:15">
      <c r="A1111" s="742" t="str">
        <f>$A1080</f>
        <v>DCR Mortgage A</v>
      </c>
      <c r="B1111" s="1882">
        <f>'Part VII-Pro Forma'!B96</f>
        <v>1.4629097340201902</v>
      </c>
      <c r="C1111" s="1882">
        <f>'Part VII-Pro Forma'!C96</f>
        <v>1.4698990838314194</v>
      </c>
      <c r="D1111" s="1882">
        <f>'Part VII-Pro Forma'!D96</f>
        <v>1.4763599376109875</v>
      </c>
      <c r="E1111" s="1882">
        <f>'Part VII-Pro Forma'!E96</f>
        <v>1.4822611335924756</v>
      </c>
      <c r="F1111" s="1882">
        <f>'Part VII-Pro Forma'!F96</f>
        <v>1.4875723661649631</v>
      </c>
      <c r="G1111" s="1882">
        <f>'Part VII-Pro Forma'!G96</f>
        <v>1.4922594291146134</v>
      </c>
      <c r="H1111" s="1882">
        <f>'Part VII-Pro Forma'!H96</f>
        <v>1.4962879534633915</v>
      </c>
      <c r="I1111" s="1882">
        <f>'Part VII-Pro Forma'!I96</f>
        <v>1.499623368124458</v>
      </c>
      <c r="J1111" s="1882">
        <f>'Part VII-Pro Forma'!J96</f>
        <v>1.5022270833340032</v>
      </c>
      <c r="K1111" s="1882">
        <f>'Part VII-Pro Forma'!K96</f>
        <v>1.5040611685592287</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1.4629097340201902</v>
      </c>
      <c r="C1115" s="1882">
        <f>'Part VII-Pro Forma'!C100</f>
        <v>1.4698990838314194</v>
      </c>
      <c r="D1115" s="1882">
        <f>'Part VII-Pro Forma'!D100</f>
        <v>1.4763599376109875</v>
      </c>
      <c r="E1115" s="1882">
        <f>'Part VII-Pro Forma'!E100</f>
        <v>1.4822611335924756</v>
      </c>
      <c r="F1115" s="1882">
        <f>'Part VII-Pro Forma'!F100</f>
        <v>1.4875723661649631</v>
      </c>
      <c r="G1115" s="1882">
        <f>'Part VII-Pro Forma'!G100</f>
        <v>1.4922594291146134</v>
      </c>
      <c r="H1115" s="1882">
        <f>'Part VII-Pro Forma'!H100</f>
        <v>1.4962879534633915</v>
      </c>
      <c r="I1115" s="1882">
        <f>'Part VII-Pro Forma'!I100</f>
        <v>1.499623368124458</v>
      </c>
      <c r="J1115" s="1882">
        <f>'Part VII-Pro Forma'!J100</f>
        <v>1.5022270833340032</v>
      </c>
      <c r="K1115" s="1882">
        <f>'Part VII-Pro Forma'!K100</f>
        <v>1.5040611685592287</v>
      </c>
      <c r="N1115" s="1838">
        <f>'Part VII-Pro Forma'!N100</f>
        <v>0</v>
      </c>
      <c r="O1115" s="1838"/>
    </row>
    <row r="1116" spans="1:15">
      <c r="A1116" s="742" t="s">
        <v>770</v>
      </c>
      <c r="B1116" s="1883">
        <f>'Part VII-Pro Forma'!B101</f>
        <v>1.6569163674485392</v>
      </c>
      <c r="C1116" s="1883">
        <f>'Part VII-Pro Forma'!C101</f>
        <v>1.6408301586709595</v>
      </c>
      <c r="D1116" s="1883">
        <f>'Part VII-Pro Forma'!D101</f>
        <v>1.6248999700464624</v>
      </c>
      <c r="E1116" s="1883">
        <f>'Part VII-Pro Forma'!E101</f>
        <v>1.6091239363171737</v>
      </c>
      <c r="F1116" s="1883">
        <f>'Part VII-Pro Forma'!F101</f>
        <v>1.593501577879304</v>
      </c>
      <c r="G1116" s="1883">
        <f>'Part VII-Pro Forma'!G101</f>
        <v>1.5780306599230807</v>
      </c>
      <c r="H1116" s="1883">
        <f>'Part VII-Pro Forma'!H101</f>
        <v>1.5627097409023467</v>
      </c>
      <c r="I1116" s="1883">
        <f>'Part VII-Pro Forma'!I101</f>
        <v>1.5475380363572004</v>
      </c>
      <c r="J1116" s="1883">
        <f>'Part VII-Pro Forma'!J101</f>
        <v>1.5325132465107492</v>
      </c>
      <c r="K1116" s="1883">
        <f>'Part VII-Pro Forma'!K101</f>
        <v>1.5176343094914559</v>
      </c>
      <c r="N1116" s="1838">
        <f>'Part VII-Pro Forma'!N101</f>
        <v>0</v>
      </c>
      <c r="O1116" s="1838"/>
    </row>
    <row r="1117" spans="1:15">
      <c r="A1117" s="742" t="s">
        <v>2617</v>
      </c>
      <c r="B1117" s="1881">
        <f>'Part VII-Pro Forma'!B102</f>
        <v>11636151.882079709</v>
      </c>
      <c r="C1117" s="1881">
        <f>'Part VII-Pro Forma'!C102</f>
        <v>10985035.287895702</v>
      </c>
      <c r="D1117" s="1881">
        <f>'Part VII-Pro Forma'!D102</f>
        <v>10310087.839199286</v>
      </c>
      <c r="E1117" s="1881">
        <f>'Part VII-Pro Forma'!E102</f>
        <v>9610437.3271850571</v>
      </c>
      <c r="F1117" s="1881">
        <f>'Part VII-Pro Forma'!F102</f>
        <v>8885179.6202225275</v>
      </c>
      <c r="G1117" s="1881">
        <f>'Part VII-Pro Forma'!G102</f>
        <v>8133377.495481356</v>
      </c>
      <c r="H1117" s="1881">
        <f>'Part VII-Pro Forma'!H102</f>
        <v>7354059.427794083</v>
      </c>
      <c r="I1117" s="1881">
        <f>'Part VII-Pro Forma'!I102</f>
        <v>6546218.334191272</v>
      </c>
      <c r="J1117" s="1881">
        <f>'Part VII-Pro Forma'!J102</f>
        <v>5708810.2724866569</v>
      </c>
      <c r="K1117" s="1881">
        <f>'Part VII-Pro Forma'!K102</f>
        <v>4840753.0922305323</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2404</v>
      </c>
      <c r="B1123" s="1881">
        <f>'Part VII-Pro Forma'!B108</f>
        <v>5023007.1089673089</v>
      </c>
      <c r="C1123" s="1881">
        <f>'Part VII-Pro Forma'!C108</f>
        <v>5123467.2511466537</v>
      </c>
      <c r="D1123" s="1881">
        <f>'Part VII-Pro Forma'!D108</f>
        <v>5225936.5961695882</v>
      </c>
      <c r="E1123" s="1881">
        <f>'Part VII-Pro Forma'!E108</f>
        <v>5330455.3280929802</v>
      </c>
      <c r="F1123" s="1881">
        <f>'Part VII-Pro Forma'!F108</f>
        <v>5437064.4346548393</v>
      </c>
      <c r="G1123" s="1881"/>
      <c r="H1123" s="1881"/>
      <c r="I1123" s="1881"/>
      <c r="J1123" s="1881"/>
      <c r="K1123" s="1881"/>
      <c r="N1123" s="1838">
        <f>'Part VII-Pro Forma'!N108</f>
        <v>0</v>
      </c>
      <c r="O1123" s="1838"/>
    </row>
    <row r="1124" spans="1:15">
      <c r="A1124" s="742" t="s">
        <v>1016</v>
      </c>
      <c r="B1124" s="1881">
        <f>'Part VII-Pro Forma'!B109</f>
        <v>100460.14217934618</v>
      </c>
      <c r="C1124" s="1881">
        <f>'Part VII-Pro Forma'!C109</f>
        <v>102469.34502293308</v>
      </c>
      <c r="D1124" s="1881">
        <f>'Part VII-Pro Forma'!D109</f>
        <v>104518.73192339177</v>
      </c>
      <c r="E1124" s="1881">
        <f>'Part VII-Pro Forma'!E109</f>
        <v>106609.1065618596</v>
      </c>
      <c r="F1124" s="1881">
        <f>'Part VII-Pro Forma'!F109</f>
        <v>108741.28869309679</v>
      </c>
      <c r="G1124" s="1881"/>
      <c r="H1124" s="1881"/>
      <c r="I1124" s="1881"/>
      <c r="J1124" s="1881"/>
      <c r="K1124" s="1881"/>
      <c r="N1124" s="1838">
        <f>'Part VII-Pro Forma'!N109</f>
        <v>0</v>
      </c>
      <c r="O1124" s="1838"/>
    </row>
    <row r="1125" spans="1:15">
      <c r="A1125" s="742" t="s">
        <v>2405</v>
      </c>
      <c r="B1125" s="1881">
        <f>'Part VII-Pro Forma'!B110</f>
        <v>-358642.70758026594</v>
      </c>
      <c r="C1125" s="1881">
        <f>'Part VII-Pro Forma'!C110</f>
        <v>-365815.5617318711</v>
      </c>
      <c r="D1125" s="1881">
        <f>'Part VII-Pro Forma'!D110</f>
        <v>-373131.87296650867</v>
      </c>
      <c r="E1125" s="1881">
        <f>'Part VII-Pro Forma'!E110</f>
        <v>-380594.51042583882</v>
      </c>
      <c r="F1125" s="1881">
        <f>'Part VII-Pro Forma'!F110</f>
        <v>-388206.40063435555</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4942</v>
      </c>
      <c r="B1128" s="1881">
        <f>'Part VII-Pro Forma'!B113</f>
        <v>4764824.5435663899</v>
      </c>
      <c r="C1128" s="1881">
        <f>'Part VII-Pro Forma'!C113</f>
        <v>4860121.0344377151</v>
      </c>
      <c r="D1128" s="1881">
        <f>'Part VII-Pro Forma'!D113</f>
        <v>4957323.4551264718</v>
      </c>
      <c r="E1128" s="1881">
        <f>'Part VII-Pro Forma'!E113</f>
        <v>5056469.9242290007</v>
      </c>
      <c r="F1128" s="1881">
        <f>'Part VII-Pro Forma'!F113</f>
        <v>5157599.32271358</v>
      </c>
      <c r="G1128" s="1881"/>
      <c r="H1128" s="1881"/>
      <c r="I1128" s="1881"/>
      <c r="J1128" s="1881"/>
      <c r="K1128" s="1881"/>
      <c r="N1128" s="1838">
        <f>'Part VII-Pro Forma'!N113</f>
        <v>0</v>
      </c>
      <c r="O1128" s="1838"/>
    </row>
    <row r="1129" spans="1:15">
      <c r="A1129" s="742" t="s">
        <v>614</v>
      </c>
      <c r="B1129" s="1881">
        <f>'Part VII-Pro Forma'!B114</f>
        <v>-2703108.714728008</v>
      </c>
      <c r="C1129" s="1881">
        <f>'Part VII-Pro Forma'!C114</f>
        <v>-2784201.9761698488</v>
      </c>
      <c r="D1129" s="1881">
        <f>'Part VII-Pro Forma'!D114</f>
        <v>-2867728.0354549433</v>
      </c>
      <c r="E1129" s="1881">
        <f>'Part VII-Pro Forma'!E114</f>
        <v>-2953759.8765185918</v>
      </c>
      <c r="F1129" s="1881">
        <f>'Part VII-Pro Forma'!F114</f>
        <v>-3042372.6728141494</v>
      </c>
      <c r="G1129" s="1881"/>
      <c r="H1129" s="1881"/>
      <c r="I1129" s="1881"/>
      <c r="J1129" s="1881"/>
      <c r="K1129" s="1881"/>
      <c r="N1129" s="1838">
        <f>'Part VII-Pro Forma'!N114</f>
        <v>0</v>
      </c>
      <c r="O1129" s="1838"/>
    </row>
    <row r="1130" spans="1:15">
      <c r="A1130" s="742" t="s">
        <v>1115</v>
      </c>
      <c r="B1130" s="1881">
        <f>'Part VII-Pro Forma'!B115</f>
        <v>-319248</v>
      </c>
      <c r="C1130" s="1881">
        <f>'Part VII-Pro Forma'!C115</f>
        <v>-328826</v>
      </c>
      <c r="D1130" s="1881">
        <f>'Part VII-Pro Forma'!D115</f>
        <v>-338690</v>
      </c>
      <c r="E1130" s="1881">
        <f>'Part VII-Pro Forma'!E115</f>
        <v>-348851</v>
      </c>
      <c r="F1130" s="1881">
        <f>'Part VII-Pro Forma'!F115</f>
        <v>-359317</v>
      </c>
      <c r="G1130" s="1881"/>
      <c r="H1130" s="1881"/>
      <c r="I1130" s="1881"/>
      <c r="J1130" s="1881"/>
      <c r="K1130" s="1881"/>
      <c r="N1130" s="1838">
        <f>'Part VII-Pro Forma'!N115</f>
        <v>0</v>
      </c>
      <c r="O1130" s="1838"/>
    </row>
    <row r="1131" spans="1:15">
      <c r="A1131" s="742" t="s">
        <v>1202</v>
      </c>
      <c r="B1131" s="1881">
        <f>'Part VII-Pro Forma'!B116</f>
        <v>-148063.0107425692</v>
      </c>
      <c r="C1131" s="1881">
        <f>'Part VII-Pro Forma'!C116</f>
        <v>-152504.90106484632</v>
      </c>
      <c r="D1131" s="1881">
        <f>'Part VII-Pro Forma'!D116</f>
        <v>-157080.04809679167</v>
      </c>
      <c r="E1131" s="1881">
        <f>'Part VII-Pro Forma'!E116</f>
        <v>-161792.44953969543</v>
      </c>
      <c r="F1131" s="1881">
        <f>'Part VII-Pro Forma'!F116</f>
        <v>-166646.22302588625</v>
      </c>
      <c r="G1131" s="1881"/>
      <c r="H1131" s="1881"/>
      <c r="I1131" s="1881"/>
      <c r="J1131" s="1881"/>
      <c r="K1131" s="1881"/>
      <c r="N1131" s="1838">
        <f>'Part VII-Pro Forma'!N116</f>
        <v>0</v>
      </c>
      <c r="O1131" s="1838"/>
    </row>
    <row r="1132" spans="1:15">
      <c r="A1132" s="742" t="s">
        <v>4941</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1594404.8180958128</v>
      </c>
      <c r="C1133" s="1881">
        <f t="shared" si="370"/>
        <v>1594588.1572030201</v>
      </c>
      <c r="D1133" s="1881">
        <f t="shared" si="370"/>
        <v>1593825.3715747369</v>
      </c>
      <c r="E1133" s="1881">
        <f t="shared" si="370"/>
        <v>1592066.5981707135</v>
      </c>
      <c r="F1133" s="1881">
        <f>SUM(F1128:F1132)</f>
        <v>1589263.4268735442</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-1059344.3643382434</v>
      </c>
      <c r="C1134" s="1881">
        <f>IF('Part III-Sources of Funds'!$P$38="", 0,-'Part III-Sources of Funds'!$P$38)</f>
        <v>-1059344.3643382434</v>
      </c>
      <c r="D1134" s="1881">
        <f>IF('Part III-Sources of Funds'!$P$38="", 0,-'Part III-Sources of Funds'!$P$38)</f>
        <v>-1059344.3643382434</v>
      </c>
      <c r="E1134" s="1881">
        <f>IF('Part III-Sources of Funds'!$P$38="", 0,-'Part III-Sources of Funds'!$P$38)</f>
        <v>-1059344.3643382434</v>
      </c>
      <c r="F1134" s="1881">
        <f>IF('Part III-Sources of Funds'!$P$38="", 0,-'Part III-Sources of Funds'!$P$38)</f>
        <v>-1059344.3643382434</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-6523.865919146223</v>
      </c>
      <c r="C1139" s="1881">
        <f>+B1139</f>
        <v>-6523.865919146223</v>
      </c>
      <c r="D1139" s="1881">
        <f>+C1139</f>
        <v>-6523.865919146223</v>
      </c>
      <c r="E1139" s="1881">
        <f>+D1139</f>
        <v>-6523.865919146223</v>
      </c>
      <c r="F1139" s="1881">
        <f>+E1139</f>
        <v>-6523.865919146223</v>
      </c>
      <c r="G1139" s="1881"/>
      <c r="H1139" s="1881"/>
      <c r="I1139" s="1881"/>
      <c r="J1139" s="1881"/>
      <c r="K1139" s="1881"/>
      <c r="N1139" s="1838">
        <f>'Part VII-Pro Forma'!N124</f>
        <v>0</v>
      </c>
      <c r="O1139" s="1838"/>
    </row>
    <row r="1140" spans="1:15">
      <c r="A1140" s="742" t="s">
        <v>1164</v>
      </c>
      <c r="B1140" s="1881">
        <f>'Part VII-Pro Forma'!B125</f>
        <v>535060.45375756943</v>
      </c>
      <c r="C1140" s="1881">
        <f>'Part VII-Pro Forma'!C125</f>
        <v>535243.79286477668</v>
      </c>
      <c r="D1140" s="1881">
        <f>'Part VII-Pro Forma'!D125</f>
        <v>534481.00723649352</v>
      </c>
      <c r="E1140" s="1881">
        <f>'Part VII-Pro Forma'!E125</f>
        <v>532722.23383247014</v>
      </c>
      <c r="F1140" s="1881">
        <f>'Part VII-Pro Forma'!F125</f>
        <v>529919.06253530085</v>
      </c>
      <c r="G1140" s="1881"/>
      <c r="H1140" s="1881"/>
      <c r="I1140" s="1881"/>
      <c r="J1140" s="1881"/>
      <c r="K1140" s="1881"/>
      <c r="N1140" s="1838">
        <f>'Part VII-Pro Forma'!N125</f>
        <v>0</v>
      </c>
      <c r="O1140" s="1838"/>
    </row>
    <row r="1141" spans="1:15">
      <c r="A1141" s="742" t="str">
        <f>$A1111</f>
        <v>DCR Mortgage A</v>
      </c>
      <c r="B1141" s="1882">
        <f>'Part VII-Pro Forma'!B126</f>
        <v>1.5050864211580657</v>
      </c>
      <c r="C1141" s="1882">
        <f>'Part VII-Pro Forma'!C126</f>
        <v>1.5052594896269973</v>
      </c>
      <c r="D1141" s="1882">
        <f>'Part VII-Pro Forma'!D126</f>
        <v>1.5045394351725994</v>
      </c>
      <c r="E1141" s="1882">
        <f>'Part VII-Pro Forma'!E126</f>
        <v>1.5028791880771026</v>
      </c>
      <c r="F1141" s="1882">
        <f>'Part VII-Pro Forma'!F126</f>
        <v>1.500233050152991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1.5050864211580657</v>
      </c>
      <c r="C1145" s="1882">
        <f>'Part VII-Pro Forma'!C130</f>
        <v>1.5052594896269973</v>
      </c>
      <c r="D1145" s="1882">
        <f>'Part VII-Pro Forma'!D130</f>
        <v>1.5045394351725994</v>
      </c>
      <c r="E1145" s="1882">
        <f>'Part VII-Pro Forma'!E130</f>
        <v>1.5028791880771026</v>
      </c>
      <c r="F1145" s="1882">
        <f>'Part VII-Pro Forma'!F130</f>
        <v>1.500233050152991</v>
      </c>
      <c r="G1145" s="1881"/>
      <c r="H1145" s="1881"/>
      <c r="I1145" s="1881"/>
      <c r="J1145" s="1881"/>
      <c r="K1145" s="1881"/>
      <c r="N1145" s="1838">
        <f>'Part VII-Pro Forma'!N130</f>
        <v>0</v>
      </c>
      <c r="O1145" s="1838"/>
    </row>
    <row r="1146" spans="1:15">
      <c r="A1146" s="742" t="s">
        <v>770</v>
      </c>
      <c r="B1146" s="1883">
        <f>'Part VII-Pro Forma'!B131</f>
        <v>1.5029002328261629</v>
      </c>
      <c r="C1146" s="1883">
        <f>'Part VII-Pro Forma'!C131</f>
        <v>1.4883087132025272</v>
      </c>
      <c r="D1146" s="1883">
        <f>'Part VII-Pro Forma'!D131</f>
        <v>1.4738594558352516</v>
      </c>
      <c r="E1146" s="1883">
        <f>'Part VII-Pro Forma'!E131</f>
        <v>1.4595500143403128</v>
      </c>
      <c r="F1146" s="1883">
        <f>'Part VII-Pro Forma'!F131</f>
        <v>1.4453794354747564</v>
      </c>
      <c r="G1146" s="1881"/>
      <c r="H1146" s="1881"/>
      <c r="I1146" s="1881"/>
      <c r="J1146" s="1881"/>
      <c r="K1146" s="1881"/>
      <c r="N1146" s="1838">
        <f>'Part VII-Pro Forma'!N131</f>
        <v>0</v>
      </c>
      <c r="O1146" s="1838"/>
    </row>
    <row r="1147" spans="1:15">
      <c r="A1147" s="742" t="s">
        <v>2617</v>
      </c>
      <c r="B1147" s="1881">
        <f>'Part VII-Pro Forma'!B132</f>
        <v>3940925.036288064</v>
      </c>
      <c r="C1147" s="1881">
        <f>'Part VII-Pro Forma'!C132</f>
        <v>3008163.2912353952</v>
      </c>
      <c r="D1147" s="1881">
        <f>'Part VII-Pro Forma'!D132</f>
        <v>2041262.484700277</v>
      </c>
      <c r="E1147" s="1881">
        <f>'Part VII-Pro Forma'!E132</f>
        <v>1038973.1277053966</v>
      </c>
      <c r="F1147" s="1881">
        <f>'Part VII-Pro Forma'!F132</f>
        <v>1.5015248209238052E-6</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The debt service payments do not deviate from the amount shown the Souces of Funds tab. The development meets Threshold Feasibility requirements.</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Somersby,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4537</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303.75">
      <c r="A1190" s="1900"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3634</v>
      </c>
      <c r="L1195" s="521"/>
      <c r="M1195" s="521"/>
      <c r="N1195" s="521"/>
    </row>
    <row r="1196" spans="1:22" ht="13.5">
      <c r="A1196" s="1902"/>
      <c r="B1196" s="1902"/>
      <c r="C1196" s="1902"/>
      <c r="D1196" s="1902"/>
      <c r="E1196" s="1902"/>
      <c r="F1196" s="1902"/>
      <c r="G1196" s="1652" t="s">
        <v>346</v>
      </c>
      <c r="H1196" s="1652"/>
      <c r="I1196" s="521"/>
      <c r="J1196" s="1631"/>
      <c r="K1196" s="521" t="s">
        <v>3635</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5042</v>
      </c>
      <c r="H1198" s="1904"/>
      <c r="I1198" s="1904"/>
      <c r="K1198" s="1904" t="s">
        <v>3453</v>
      </c>
      <c r="L1198" s="1904" t="s">
        <v>5041</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3891</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5040</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49998466.819839999</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5162</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4088</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64</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64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51930500</v>
      </c>
      <c r="Q1221" s="2791"/>
      <c r="R1221" s="1631"/>
      <c r="S1221" s="1631"/>
      <c r="V1221" s="1631"/>
    </row>
    <row r="1222" spans="1:22" ht="12.75" customHeight="1">
      <c r="C1222" s="1631"/>
      <c r="D1222" s="1906" t="s">
        <v>2441</v>
      </c>
      <c r="E1222" s="1895">
        <v>2</v>
      </c>
      <c r="F1222" s="1907">
        <f>IF('Part VI-Revenues &amp; Expenses'!$L$141 =0,"",'Part VI-Revenues &amp; Expenses'!$L$141)</f>
        <v>120</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120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60</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60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4539</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244</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244</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3753</v>
      </c>
      <c r="D1228" s="1842"/>
      <c r="E1228" s="1842"/>
      <c r="F1228" s="1842"/>
      <c r="G1228" s="1842"/>
      <c r="H1228" s="1841"/>
      <c r="I1228" s="1895"/>
      <c r="J1228" s="1895"/>
      <c r="K1228" s="1897" t="s">
        <v>1866</v>
      </c>
      <c r="L1228" s="1633"/>
      <c r="M1228" s="1633"/>
      <c r="N1228" s="1633"/>
      <c r="O1228" s="1633"/>
      <c r="P1228" s="1902"/>
      <c r="Q1228" s="1902"/>
    </row>
    <row r="1229" spans="1:22" ht="15">
      <c r="A1229" s="1900" t="str">
        <f>'Part VIII-Threshold Criteria'!A71</f>
        <v>The Project Cost Limit is $51,930,500 and the proposed property is below cost limits.</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3753</v>
      </c>
      <c r="D1232" s="1842"/>
      <c r="E1232" s="1842"/>
      <c r="F1232" s="1842"/>
      <c r="G1232" s="1842"/>
      <c r="H1232" s="1841"/>
      <c r="I1232" s="1895"/>
      <c r="J1232" s="1895"/>
      <c r="K1232" s="1897" t="s">
        <v>1866</v>
      </c>
      <c r="L1232" s="1633"/>
      <c r="M1232" s="1633"/>
      <c r="N1232" s="1633"/>
      <c r="O1232" s="1633"/>
      <c r="P1232" s="1633"/>
      <c r="Q1232" s="1633"/>
    </row>
    <row r="1233" spans="1:22" ht="15">
      <c r="A1233" s="1900" t="str">
        <f>'Part VIII-Threshold Criteria'!A75</f>
        <v>This development is a family development.</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4754</v>
      </c>
      <c r="M1235" s="2795" t="s">
        <v>4755</v>
      </c>
      <c r="O1235" s="2784" t="s">
        <v>1867</v>
      </c>
      <c r="P1235" s="1634"/>
      <c r="Q1235" s="1634"/>
    </row>
    <row r="1237" spans="1:22" ht="12.75" customHeight="1">
      <c r="A1237" s="1944" t="s">
        <v>1983</v>
      </c>
      <c r="B1237" s="1900" t="s">
        <v>4746</v>
      </c>
      <c r="C1237" s="1900"/>
      <c r="D1237" s="1900"/>
      <c r="E1237" s="1900"/>
      <c r="F1237" s="1900"/>
      <c r="G1237" s="1900"/>
      <c r="H1237" s="1900"/>
      <c r="I1237" s="1900"/>
      <c r="J1237" s="1900"/>
      <c r="L1237" s="1948" t="s">
        <v>2911</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4753</v>
      </c>
      <c r="M1238" s="1948">
        <v>4</v>
      </c>
      <c r="O1238" s="1900"/>
      <c r="P1238" s="521"/>
      <c r="Q1238" s="521"/>
    </row>
    <row r="1239" spans="1:22">
      <c r="A1239" s="1937" t="s">
        <v>1985</v>
      </c>
      <c r="B1239" s="1921" t="s">
        <v>4756</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4760</v>
      </c>
      <c r="D1240" s="1921"/>
      <c r="E1240" s="1921"/>
      <c r="F1240" s="1921"/>
      <c r="G1240" s="1921"/>
      <c r="H1240" s="1921"/>
      <c r="I1240" s="1921"/>
      <c r="J1240" s="1921"/>
      <c r="K1240" s="1900"/>
      <c r="L1240" s="1921"/>
      <c r="N1240" s="1921" t="s">
        <v>3696</v>
      </c>
      <c r="O1240" s="2796"/>
      <c r="P1240" s="1895" t="str">
        <f>'Part VIII-Threshold Criteria'!P82</f>
        <v>Agree</v>
      </c>
      <c r="Q1240" s="1895"/>
    </row>
    <row r="1241" spans="1:22">
      <c r="A1241" s="1937"/>
      <c r="B1241" s="1952" t="s">
        <v>1738</v>
      </c>
      <c r="C1241" s="1921" t="s">
        <v>4757</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1739</v>
      </c>
      <c r="C1242" s="1921" t="s">
        <v>4758</v>
      </c>
      <c r="E1242" s="1921"/>
      <c r="F1242" s="1921"/>
      <c r="G1242" s="1921"/>
      <c r="H1242" s="1921"/>
      <c r="I1242" s="1921"/>
      <c r="J1242" s="1921"/>
      <c r="K1242" s="1900"/>
      <c r="L1242" s="1921"/>
      <c r="M1242" s="2796"/>
      <c r="N1242" s="1921" t="s">
        <v>3696</v>
      </c>
      <c r="O1242" s="2796"/>
      <c r="P1242" s="1895" t="str">
        <f>'Part VIII-Threshold Criteria'!P84</f>
        <v>Agree</v>
      </c>
      <c r="Q1242" s="1895"/>
    </row>
    <row r="1243" spans="1:22">
      <c r="A1243" s="2079"/>
      <c r="B1243" s="1952" t="s">
        <v>2365</v>
      </c>
      <c r="C1243" s="1952" t="s">
        <v>4761</v>
      </c>
      <c r="D1243" s="1867"/>
      <c r="E1243" s="1867"/>
      <c r="F1243" s="1867"/>
      <c r="G1243" s="1867"/>
      <c r="H1243" s="1867"/>
      <c r="I1243" s="1631"/>
      <c r="J1243" s="1631"/>
      <c r="N1243" s="1921" t="s">
        <v>3696</v>
      </c>
      <c r="O1243" s="2796"/>
      <c r="P1243" s="1895">
        <f>'Part VIII-Threshold Criteria'!P85</f>
        <v>0</v>
      </c>
      <c r="Q1243" s="1895"/>
    </row>
    <row r="1244" spans="1:22">
      <c r="A1244" s="2079"/>
      <c r="B1244" s="1952"/>
      <c r="C1244" s="1921" t="s">
        <v>4762</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4759</v>
      </c>
      <c r="D1245" s="1900"/>
      <c r="E1245" s="1900"/>
      <c r="F1245" s="1900"/>
      <c r="G1245" s="1900"/>
      <c r="H1245" s="1900"/>
      <c r="I1245" s="1900"/>
      <c r="J1245" s="1900"/>
      <c r="K1245" s="1900"/>
      <c r="L1245" s="1900"/>
      <c r="M1245" s="1904"/>
      <c r="N1245" s="1921" t="s">
        <v>3696</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3753</v>
      </c>
      <c r="D1247" s="1842"/>
      <c r="E1247" s="1842"/>
      <c r="F1247" s="1842"/>
      <c r="G1247" s="1842"/>
      <c r="H1247" s="1841"/>
      <c r="I1247" s="1895"/>
      <c r="J1247" s="1895"/>
      <c r="K1247" s="1897" t="s">
        <v>1866</v>
      </c>
      <c r="L1247" s="1633"/>
      <c r="M1247" s="1633"/>
      <c r="N1247" s="1633"/>
      <c r="O1247" s="1633"/>
      <c r="P1247" s="1633"/>
      <c r="Q1247" s="1633"/>
    </row>
    <row r="1248" spans="1:22" ht="146.25">
      <c r="A1248" s="1900" t="str">
        <f>'Part VIII-Threshold Criteria'!A90</f>
        <v>Elmington Property Management will identify the needs of the community and provide social and recreational programming.</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Real Property Research Group</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11-12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0.98599999999999999</v>
      </c>
      <c r="N1254" s="2797">
        <f>'Part VIII-Threshold Criteria'!N96</f>
        <v>0</v>
      </c>
      <c r="O1254" s="2797">
        <f>'Part VIII-Threshold Criteria'!O96</f>
        <v>0</v>
      </c>
      <c r="P1254" s="2160">
        <f>'Part VIII-Threshold Criteria'!P96</f>
        <v>0</v>
      </c>
      <c r="Q1254" s="1895"/>
    </row>
    <row r="1255" spans="1:22">
      <c r="A1255" s="1937" t="s">
        <v>2115</v>
      </c>
      <c r="B1255" s="521" t="s">
        <v>3895</v>
      </c>
      <c r="D1255" s="1867"/>
      <c r="E1255" s="1867"/>
      <c r="F1255" s="1867"/>
      <c r="L1255" s="1937" t="s">
        <v>3896</v>
      </c>
      <c r="M1255" s="2798">
        <f>'Part VIII-Threshold Criteria'!M97</f>
        <v>5.1999999999999998E-2</v>
      </c>
      <c r="N1255" s="2797"/>
      <c r="O1255" s="1940" t="s">
        <v>4127</v>
      </c>
      <c r="P1255" s="2083" t="str">
        <f>'Part VIII-Threshold Criteria'!P97</f>
        <v>N/A</v>
      </c>
      <c r="Q1255" s="1895"/>
    </row>
    <row r="1256" spans="1:22">
      <c r="A1256" s="1944" t="s">
        <v>1735</v>
      </c>
      <c r="B1256" s="1921" t="s">
        <v>3894</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2004-517</v>
      </c>
      <c r="E1258" s="521" t="str">
        <f>'Part VIII-Threshold Criteria'!E100</f>
        <v>Brookside</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f>'Part VIII-Threshold Criteria'!D101</f>
        <v>0</v>
      </c>
      <c r="E1259" s="521">
        <f>'Part VIII-Threshold Criteria'!E101</f>
        <v>0</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3753</v>
      </c>
      <c r="D1261" s="1842"/>
      <c r="E1261" s="1842"/>
      <c r="F1261" s="1842"/>
      <c r="G1261" s="1842"/>
      <c r="H1261" s="1841"/>
      <c r="I1261" s="1895"/>
      <c r="J1261" s="1895"/>
      <c r="K1261" s="1895"/>
      <c r="L1261" s="1633"/>
      <c r="M1261" s="1633"/>
      <c r="N1261" s="1633"/>
      <c r="O1261" s="1633"/>
      <c r="P1261" s="1633"/>
      <c r="Q1261" s="1633"/>
    </row>
    <row r="1262" spans="1:22">
      <c r="A1262" s="1900" t="str">
        <f>'Part VIII-Threshold Criteria'!A104</f>
        <v>The development will include 244 units. The overall market has a very healthy occupancy of 98.6% and an overall capture rate of 5.2%. There has only been one LIHTC development funded in the Primary Market Area in DCA's history.</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4940</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Brian Neukam, Novogradac &amp; Company LLC</v>
      </c>
      <c r="N1270" s="521">
        <f>'Part VIII-Threshold Criteria'!N112</f>
        <v>0</v>
      </c>
      <c r="O1270" s="521">
        <f>'Part VIII-Threshold Criteria'!O112</f>
        <v>0</v>
      </c>
      <c r="P1270" s="1631">
        <f>'Part VIII-Threshold Criteria'!P112</f>
        <v>0</v>
      </c>
      <c r="Q1270" s="1895"/>
    </row>
    <row r="1271" spans="1:22">
      <c r="A1271" s="1895"/>
      <c r="B1271" s="1952" t="s">
        <v>1737</v>
      </c>
      <c r="C1271" s="1841" t="s">
        <v>4763</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3753</v>
      </c>
      <c r="D1281" s="1842"/>
      <c r="E1281" s="1842"/>
      <c r="F1281" s="1842"/>
      <c r="G1281" s="1842"/>
      <c r="H1281" s="1841"/>
      <c r="I1281" s="1895"/>
      <c r="J1281" s="1895"/>
      <c r="K1281" s="1895"/>
      <c r="L1281" s="1633"/>
      <c r="M1281" s="1633"/>
      <c r="N1281" s="1633"/>
      <c r="O1281" s="1633"/>
      <c r="P1281" s="1633"/>
      <c r="Q1281" s="1633"/>
    </row>
    <row r="1282" spans="1:22">
      <c r="A1282" s="1900" t="str">
        <f>'Part VIII-Threshold Criteria'!A124</f>
        <v>The appraisal has been provided by Novogradac &amp; Company LLC with a land value of $3,200,000 as of October 12, 2020, supporting the value. There is no identity of interest between the buyer and seller. The appraisal meets USPAP standards.</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3636</v>
      </c>
      <c r="D1287" s="1867"/>
      <c r="E1287" s="1867"/>
      <c r="F1287" s="1867"/>
      <c r="G1287" s="1867"/>
      <c r="H1287" s="1867"/>
      <c r="I1287" s="1631"/>
      <c r="J1287" s="1631"/>
      <c r="K1287" s="1937" t="s">
        <v>1983</v>
      </c>
      <c r="L1287" s="1634" t="str">
        <f>'Part VIII-Threshold Criteria'!L129</f>
        <v>Geotechnical &amp; Environmental Consulting,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Geotechnical &amp; Environmental Consulting,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70</v>
      </c>
      <c r="Q1291" s="1895"/>
    </row>
    <row r="1292" spans="1:22">
      <c r="A1292" s="1828"/>
      <c r="B1292" s="1841" t="s">
        <v>1739</v>
      </c>
      <c r="C1292" s="521" t="s">
        <v>4747</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4983</v>
      </c>
      <c r="I1304" s="1216" t="s">
        <v>2640</v>
      </c>
      <c r="L1304" s="1895" t="str">
        <f>'Part VIII-Threshold Criteria'!L146</f>
        <v>No</v>
      </c>
      <c r="M1304" s="1895"/>
      <c r="N1304" s="1937" t="s">
        <v>4987</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4984</v>
      </c>
      <c r="I1305" s="1216" t="s">
        <v>2641</v>
      </c>
      <c r="L1305" s="1895" t="str">
        <f>'Part VIII-Threshold Criteria'!L147</f>
        <v>No</v>
      </c>
      <c r="M1305" s="1895"/>
      <c r="N1305" s="1937" t="s">
        <v>4988</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4985</v>
      </c>
      <c r="I1306" s="1216" t="s">
        <v>3845</v>
      </c>
      <c r="L1306" s="1895" t="str">
        <f>'Part VIII-Threshold Criteria'!L148</f>
        <v>No</v>
      </c>
      <c r="M1306" s="1895"/>
      <c r="N1306" s="1937" t="s">
        <v>4989</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4986</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4965</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4540</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3753</v>
      </c>
      <c r="D1317" s="1842"/>
      <c r="E1317" s="1842"/>
      <c r="F1317" s="1842"/>
      <c r="G1317" s="1842"/>
      <c r="H1317" s="1841"/>
      <c r="I1317" s="1895"/>
      <c r="J1317" s="1895"/>
      <c r="K1317" s="1895"/>
      <c r="L1317" s="1633"/>
      <c r="M1317" s="1633"/>
      <c r="N1317" s="1633"/>
      <c r="O1317" s="1633"/>
      <c r="P1317" s="1633"/>
      <c r="Q1317" s="1633"/>
    </row>
    <row r="1318" spans="1:22" ht="15">
      <c r="A1318" s="1900" t="str">
        <f>'Part VIII-Threshold Criteria'!A160</f>
        <v>The Phase I Environmental reported only Noise concerns. A Noise Attenuation Plan has been submitted that meets the QAP requirements.</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5089</v>
      </c>
      <c r="D1324" s="521"/>
      <c r="E1324" s="521"/>
      <c r="F1324" s="521"/>
      <c r="G1324" s="521"/>
      <c r="H1324" s="521" t="s">
        <v>2707</v>
      </c>
      <c r="K1324" s="2800">
        <f>'Part VIII-Threshold Criteria'!K166</f>
        <v>44404</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Prestwick Land Holdings,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3753</v>
      </c>
      <c r="D1327" s="1842"/>
      <c r="E1327" s="1842"/>
      <c r="F1327" s="1842"/>
      <c r="G1327" s="1842"/>
      <c r="H1327" s="1841"/>
      <c r="I1327" s="1895"/>
      <c r="J1327" s="1895"/>
      <c r="K1327" s="1895"/>
      <c r="L1327" s="1633"/>
      <c r="M1327" s="1633"/>
      <c r="N1327" s="1633"/>
      <c r="O1327" s="1633"/>
      <c r="P1327" s="1633"/>
      <c r="Q1327" s="1633"/>
    </row>
    <row r="1328" spans="1:22">
      <c r="A1328" s="1900" t="str">
        <f>'Part VIII-Threshold Criteria'!A170</f>
        <v xml:space="preserve">The entity with site control has the authority to assign the contract to Somersby Family I, LP. </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4764</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749</v>
      </c>
      <c r="B1335" s="1900" t="s">
        <v>3743</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2115</v>
      </c>
      <c r="B1336" s="1900" t="s">
        <v>4910</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3753</v>
      </c>
      <c r="D1337" s="1842"/>
      <c r="E1337" s="1842"/>
      <c r="F1337" s="1842"/>
      <c r="G1337" s="1842"/>
      <c r="H1337" s="1841"/>
      <c r="I1337" s="1895"/>
      <c r="J1337" s="1895"/>
      <c r="K1337" s="1895"/>
      <c r="L1337" s="1633"/>
      <c r="M1337" s="1633"/>
      <c r="N1337" s="1633"/>
      <c r="O1337" s="1633"/>
      <c r="P1337" s="1633"/>
      <c r="Q1337" s="1633"/>
    </row>
    <row r="1338" spans="1:22">
      <c r="A1338" s="1900" t="str">
        <f>'Part VIII-Threshold Criteria'!A180</f>
        <v>The site entrance is legally accessible by paved roads.</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4927</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4542</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3897</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3753</v>
      </c>
      <c r="D1354" s="1842"/>
      <c r="E1354" s="1842"/>
      <c r="F1354" s="1842"/>
      <c r="G1354" s="1842"/>
      <c r="H1354" s="1841"/>
      <c r="I1354" s="1895"/>
      <c r="J1354" s="1895"/>
      <c r="K1354" s="1895"/>
      <c r="L1354" s="1633"/>
      <c r="M1354" s="1633"/>
      <c r="N1354" s="1633"/>
      <c r="O1354" s="1633"/>
      <c r="P1354" s="1633"/>
      <c r="Q1354" s="1633"/>
    </row>
    <row r="1355" spans="1:22">
      <c r="A1355" s="1900" t="str">
        <f>'Part VIII-Threshold Criteria'!A197</f>
        <v>The site is zoned for its intended use.</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5080</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3753</v>
      </c>
      <c r="C1362" s="1838"/>
      <c r="D1362" s="1838"/>
      <c r="E1362" s="1838"/>
      <c r="F1362" s="1838"/>
      <c r="H1362" s="1937" t="s">
        <v>1738</v>
      </c>
      <c r="I1362" s="521" t="s">
        <v>1596</v>
      </c>
      <c r="J1362" s="521" t="str">
        <f>'Part VIII-Threshold Criteria'!J204</f>
        <v>College Park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t="str">
        <f>'Part VIII-Threshold Criteria'!A205</f>
        <v>The proposed development will be 100% electric. No gas.</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Clayton County Water Authority</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Clayton County Water Authority</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3903</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749</v>
      </c>
      <c r="B1371" s="521" t="s">
        <v>3904</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3753</v>
      </c>
      <c r="D1372" s="1842"/>
      <c r="E1372" s="1842"/>
      <c r="F1372" s="1842"/>
      <c r="G1372" s="1842"/>
      <c r="H1372" s="1841"/>
      <c r="I1372" s="1895"/>
      <c r="J1372" s="1895"/>
      <c r="K1372" s="1895"/>
      <c r="L1372" s="1633"/>
      <c r="M1372" s="1633"/>
      <c r="N1372" s="1633"/>
      <c r="O1372" s="1633"/>
      <c r="P1372" s="1633"/>
      <c r="Q1372" s="1633"/>
    </row>
    <row r="1373" spans="1:22">
      <c r="A1373" s="1900" t="str">
        <f>'Part VIII-Threshold Criteria'!A215</f>
        <v>There is currently water and sewer available at the site.</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4543</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4749</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4752</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4751</v>
      </c>
      <c r="E1383" s="1841"/>
      <c r="F1383" s="1841"/>
      <c r="G1383" s="1841"/>
      <c r="H1383" s="1841"/>
      <c r="I1383" s="1631"/>
      <c r="J1383" s="1937" t="s">
        <v>4750</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f>'Part VIII-Threshold Criteria'!P226</f>
        <v>0</v>
      </c>
      <c r="Q1384" s="1895"/>
    </row>
    <row r="1385" spans="1:22">
      <c r="A1385" s="1937"/>
      <c r="B1385" s="521" t="s">
        <v>5113</v>
      </c>
      <c r="D1385" s="521"/>
      <c r="E1385" s="521"/>
      <c r="F1385" s="521"/>
      <c r="G1385" s="521"/>
      <c r="H1385" s="521"/>
      <c r="I1385" s="521"/>
      <c r="J1385" s="521"/>
      <c r="K1385" s="1631"/>
      <c r="L1385" s="1631"/>
      <c r="M1385" s="1631"/>
      <c r="N1385" s="1937" t="s">
        <v>3605</v>
      </c>
      <c r="O1385" s="2801">
        <f>'Part VI-Revenues &amp; Expenses'!$O$67</f>
        <v>244</v>
      </c>
      <c r="P1385" s="1955" t="s">
        <v>4980</v>
      </c>
      <c r="Q1385" s="1955"/>
    </row>
    <row r="1386" spans="1:22">
      <c r="A1386" s="1937"/>
      <c r="B1386" s="1841" t="s">
        <v>1737</v>
      </c>
      <c r="C1386" s="521" t="s">
        <v>4981</v>
      </c>
      <c r="D1386" s="521"/>
      <c r="E1386" s="521"/>
      <c r="F1386" s="521"/>
      <c r="H1386" s="1937" t="s">
        <v>4982</v>
      </c>
      <c r="I1386" s="521" t="s">
        <v>5163</v>
      </c>
      <c r="M1386" s="1631"/>
      <c r="N1386" s="1631"/>
      <c r="O1386" s="1956"/>
      <c r="P1386" s="2098" t="s">
        <v>773</v>
      </c>
      <c r="Q1386" s="2098" t="s">
        <v>4979</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Wellness Center</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 xml:space="preserve">Equipped Computer Center and WiFi </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4990</v>
      </c>
      <c r="C1390" s="1900" t="str">
        <f>'Part VIII-Threshold Criteria'!C232</f>
        <v>Furnished Exercise /Fitness Center</v>
      </c>
      <c r="D1390" s="1900">
        <f>'Part VIII-Threshold Criteria'!D232</f>
        <v>0</v>
      </c>
      <c r="E1390" s="1900">
        <f>'Part VIII-Threshold Criteria'!E232</f>
        <v>0</v>
      </c>
      <c r="F1390" s="1900">
        <f>'Part VIII-Threshold Criteria'!F232</f>
        <v>0</v>
      </c>
      <c r="G1390" s="1900">
        <f>'Part VIII-Threshold Criteria'!G232</f>
        <v>0</v>
      </c>
      <c r="H1390" s="1937" t="s">
        <v>4990</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f>'Part VIII-Threshold Criteria'!P233</f>
        <v>0</v>
      </c>
      <c r="Q1391" s="1895"/>
    </row>
    <row r="1392" spans="1:22">
      <c r="A1392" s="1937"/>
      <c r="B1392" s="1841" t="s">
        <v>1737</v>
      </c>
      <c r="C1392" s="521" t="s">
        <v>3465</v>
      </c>
      <c r="E1392" s="521"/>
      <c r="F1392" s="521"/>
      <c r="L1392" s="1631"/>
      <c r="M1392" s="1631"/>
      <c r="O1392" s="1937" t="s">
        <v>1737</v>
      </c>
      <c r="P1392" s="1895">
        <f>'Part VIII-Threshold Criteria'!P234</f>
        <v>0</v>
      </c>
      <c r="Q1392" s="1895"/>
    </row>
    <row r="1393" spans="1:22">
      <c r="B1393" s="1841" t="s">
        <v>1738</v>
      </c>
      <c r="C1393" s="1841" t="s">
        <v>2808</v>
      </c>
      <c r="E1393" s="1841"/>
      <c r="F1393" s="1841"/>
      <c r="L1393" s="1631"/>
      <c r="M1393" s="1631"/>
      <c r="O1393" s="1937" t="s">
        <v>1738</v>
      </c>
      <c r="P1393" s="1895">
        <f>'Part VIII-Threshold Criteria'!P235</f>
        <v>0</v>
      </c>
      <c r="Q1393" s="1895"/>
    </row>
    <row r="1394" spans="1:22">
      <c r="B1394" s="1841" t="s">
        <v>1739</v>
      </c>
      <c r="C1394" s="1841" t="s">
        <v>2809</v>
      </c>
      <c r="E1394" s="1841"/>
      <c r="F1394" s="1841"/>
      <c r="G1394" s="1841"/>
      <c r="H1394" s="1841"/>
      <c r="I1394" s="1631"/>
      <c r="J1394" s="1631"/>
      <c r="K1394" s="1631"/>
      <c r="L1394" s="1631"/>
      <c r="M1394" s="1631"/>
      <c r="O1394" s="1937" t="s">
        <v>1739</v>
      </c>
      <c r="P1394" s="1895">
        <f>'Part VIII-Threshold Criteria'!P236</f>
        <v>0</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f>'Part VIII-Threshold Criteria'!P237</f>
        <v>0</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f>'Part VIII-Threshold Criteria'!P238</f>
        <v>0</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f>'Part VIII-Threshold Criteria'!P239</f>
        <v>0</v>
      </c>
      <c r="Q1397" s="1895"/>
    </row>
    <row r="1398" spans="1:22">
      <c r="A1398" s="1937"/>
      <c r="B1398" s="1937"/>
      <c r="C1398" s="521" t="s">
        <v>1489</v>
      </c>
      <c r="E1398" s="521"/>
      <c r="F1398" s="521"/>
      <c r="G1398" s="521"/>
      <c r="H1398" s="521"/>
      <c r="I1398" s="1631"/>
      <c r="J1398" s="1631"/>
      <c r="K1398" s="1631"/>
      <c r="L1398" s="1631"/>
      <c r="M1398" s="1631"/>
      <c r="O1398" s="1937" t="s">
        <v>2800</v>
      </c>
      <c r="P1398" s="1895">
        <f>'Part VIII-Threshold Criteria'!P240</f>
        <v>0</v>
      </c>
      <c r="Q1398" s="1895"/>
    </row>
    <row r="1399" spans="1:22">
      <c r="A1399" s="1937" t="s">
        <v>2115</v>
      </c>
      <c r="B1399" s="521" t="s">
        <v>3662</v>
      </c>
      <c r="C1399" s="521"/>
      <c r="E1399" s="521"/>
      <c r="F1399" s="521"/>
      <c r="G1399" s="521"/>
      <c r="H1399" s="521"/>
      <c r="I1399" s="521"/>
      <c r="J1399" s="521"/>
      <c r="K1399" s="1631"/>
      <c r="M1399" s="1937" t="s">
        <v>4835</v>
      </c>
      <c r="N1399" s="1841" t="str">
        <f>'Part I-Project Information'!$H$82</f>
        <v>Family</v>
      </c>
      <c r="O1399" s="1937" t="s">
        <v>2115</v>
      </c>
      <c r="P1399" s="1895">
        <f>'Part VIII-Threshold Criteria'!P241</f>
        <v>0</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4765</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3753</v>
      </c>
      <c r="D1402" s="1842"/>
      <c r="E1402" s="1842"/>
      <c r="F1402" s="1842"/>
      <c r="G1402" s="1842"/>
      <c r="H1402" s="1841"/>
      <c r="I1402" s="1895"/>
      <c r="J1402" s="1895"/>
      <c r="K1402" s="1895"/>
      <c r="L1402" s="1633"/>
      <c r="M1402" s="1633"/>
      <c r="N1402" s="1633"/>
      <c r="O1402" s="1633"/>
      <c r="P1402" s="1633"/>
      <c r="Q1402" s="1633"/>
    </row>
    <row r="1403" spans="1:22" ht="15">
      <c r="A1403" s="1900" t="str">
        <f>'Part VIII-Threshold Criteria'!A245</f>
        <v>None of the proposed amenities requires a waiver.</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4911</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4771</v>
      </c>
      <c r="D1413" s="521"/>
      <c r="E1413" s="521"/>
      <c r="F1413" s="521"/>
    </row>
    <row r="1414" spans="1:17">
      <c r="A1414" s="1937"/>
      <c r="C1414" s="521" t="s">
        <v>4768</v>
      </c>
      <c r="D1414" s="521"/>
      <c r="E1414" s="521"/>
      <c r="F1414" s="521"/>
      <c r="K1414" s="521" t="s">
        <v>4767</v>
      </c>
      <c r="L1414" s="2797">
        <f>'Part VIII-Threshold Criteria'!L256</f>
        <v>0</v>
      </c>
      <c r="M1414" s="521"/>
      <c r="N1414" s="2804"/>
      <c r="O1414" s="2804"/>
      <c r="P1414" s="521">
        <f>'Part VIII-Threshold Criteria'!P256</f>
        <v>0</v>
      </c>
      <c r="Q1414" s="521"/>
    </row>
    <row r="1415" spans="1:17">
      <c r="A1415" s="1937"/>
      <c r="B1415" s="521"/>
      <c r="C1415" s="1216" t="s">
        <v>4769</v>
      </c>
      <c r="D1415" s="521"/>
      <c r="E1415" s="521"/>
      <c r="F1415" s="521"/>
      <c r="K1415" s="1937" t="s">
        <v>4770</v>
      </c>
      <c r="L1415" s="2805">
        <f>'Part VIII-Threshold Criteria'!L257</f>
        <v>0</v>
      </c>
      <c r="M1415" s="521"/>
      <c r="N1415" s="1957"/>
      <c r="O1415" s="1957"/>
      <c r="P1415" s="1895">
        <f>'Part VIII-Threshold Criteria'!P257</f>
        <v>0</v>
      </c>
      <c r="Q1415" s="1895"/>
    </row>
    <row r="1416" spans="1:17">
      <c r="A1416" s="1937"/>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3906</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3761</v>
      </c>
      <c r="C1418" s="1900"/>
      <c r="D1418" s="1900"/>
      <c r="E1418" s="1900"/>
      <c r="F1418" s="1900"/>
      <c r="G1418" s="1900"/>
      <c r="H1418" s="1216" t="s">
        <v>4115</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4116</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4117</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4118</v>
      </c>
      <c r="K1421" s="1631"/>
      <c r="M1421" s="521"/>
      <c r="N1421" s="1957"/>
      <c r="O1421" s="1937" t="s">
        <v>2365</v>
      </c>
      <c r="P1421" s="1895">
        <f>'Part VIII-Threshold Criteria'!P263</f>
        <v>0</v>
      </c>
      <c r="Q1421" s="1895"/>
    </row>
    <row r="1422" spans="1:17" ht="12.75" customHeight="1">
      <c r="B1422" s="1900" t="s">
        <v>5164</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5165</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5114</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5081</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3863</v>
      </c>
      <c r="E1426" s="521">
        <f>'Part VIII-Threshold Criteria'!E268</f>
        <v>0</v>
      </c>
      <c r="F1426" s="521">
        <f>'Part VIII-Threshold Criteria'!F268</f>
        <v>0</v>
      </c>
      <c r="G1426" s="521">
        <f>'Part VIII-Threshold Criteria'!G268</f>
        <v>0</v>
      </c>
      <c r="H1426" s="521" t="s">
        <v>4951</v>
      </c>
      <c r="I1426" s="521" t="str">
        <f>'Part VIII-Threshold Criteria'!I268</f>
        <v>&lt;&lt; Select Entity Type &gt;&gt;</v>
      </c>
      <c r="J1426" s="521">
        <f>'Part VIII-Threshold Criteria'!J268</f>
        <v>0</v>
      </c>
      <c r="K1426" s="521">
        <f>'Part VIII-Threshold Criteria'!K268</f>
        <v>0</v>
      </c>
      <c r="L1426" s="521" t="s">
        <v>4953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5082</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3753</v>
      </c>
      <c r="D1429" s="1842"/>
      <c r="E1429" s="1842"/>
      <c r="F1429" s="1842"/>
      <c r="G1429" s="1842"/>
      <c r="H1429" s="1841"/>
      <c r="I1429" s="1895"/>
      <c r="J1429" s="1895"/>
      <c r="K1429" s="1895"/>
      <c r="L1429" s="1633"/>
      <c r="M1429" s="1633"/>
      <c r="N1429" s="1633"/>
      <c r="O1429" s="1633"/>
      <c r="P1429" s="1633"/>
      <c r="Q1429" s="1633"/>
    </row>
    <row r="1430" spans="1:22" ht="15">
      <c r="A1430" s="1900" t="str">
        <f>'Part VIII-Threshold Criteria'!A272</f>
        <v>This is not a rehab development.</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4964</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4119</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4967</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3753</v>
      </c>
      <c r="D1441" s="1842"/>
      <c r="E1441" s="1842"/>
      <c r="F1441" s="1842"/>
      <c r="G1441" s="1842"/>
      <c r="H1441" s="1841"/>
      <c r="I1441" s="1895"/>
      <c r="J1441" s="1895"/>
      <c r="K1441" s="1895"/>
      <c r="L1441" s="1633"/>
      <c r="M1441" s="1633"/>
      <c r="N1441" s="1633"/>
      <c r="O1441" s="1633"/>
      <c r="P1441" s="1633"/>
      <c r="Q1441" s="1633"/>
    </row>
    <row r="1442" spans="1:22" ht="15">
      <c r="A1442" s="1900" t="str">
        <f>'Part VIII-Threshold Criteria'!A284</f>
        <v>The CSDP and supplemental documents meet the requirements above.</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4101</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4966</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4786</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4968</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t="str">
        <f>'Part VIII-Threshold Criteria'!A294</f>
        <v>The development will receive an Earthcraft Multifamily Certification.</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4102</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4546</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3910</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3911</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3909</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5115</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4122</v>
      </c>
      <c r="J1464" s="1647"/>
      <c r="K1464" s="2163">
        <f>'Part VIII-Threshold Criteria'!K306</f>
        <v>13</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5116</v>
      </c>
      <c r="D1465" s="1900"/>
      <c r="E1465" s="1900"/>
      <c r="F1465" s="1900"/>
      <c r="G1465" s="1900"/>
      <c r="H1465" s="1900"/>
      <c r="I1465" s="1964" t="s">
        <v>4123</v>
      </c>
      <c r="J1465" s="1647"/>
      <c r="K1465" s="2809">
        <f>'Part VIII-Threshold Criteria'!K307</f>
        <v>6</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5117</v>
      </c>
      <c r="D1467" s="1900"/>
      <c r="E1467" s="1900"/>
      <c r="F1467" s="1900"/>
      <c r="G1467" s="1900"/>
      <c r="H1467" s="1900"/>
      <c r="I1467" s="521" t="s">
        <v>4124</v>
      </c>
      <c r="J1467" s="1647"/>
      <c r="K1467" s="2163">
        <f>'Part VIII-Threshold Criteria'!K309</f>
        <v>5</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3762</v>
      </c>
      <c r="J1472" s="1921"/>
      <c r="K1472" s="1921"/>
      <c r="L1472" s="1921" t="str">
        <f>'Part VIII-Threshold Criteria'!L314</f>
        <v>Teresa Kitay at Law</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4912</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2365</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3753</v>
      </c>
      <c r="C1477" s="2111"/>
      <c r="D1477" s="1866"/>
      <c r="E1477" s="1866"/>
      <c r="F1477" s="1866"/>
      <c r="G1477" s="1866"/>
      <c r="H1477" s="521"/>
      <c r="I1477" s="521"/>
      <c r="J1477" s="521"/>
      <c r="K1477" s="521"/>
      <c r="L1477" s="1634"/>
      <c r="M1477" s="1634"/>
      <c r="N1477" s="1634"/>
      <c r="O1477" s="1633"/>
      <c r="P1477" s="1633"/>
      <c r="Q1477" s="1633"/>
    </row>
    <row r="1478" spans="1:22" ht="15">
      <c r="A1478" s="1900" t="str">
        <f>'Part VIII-Threshold Criteria'!A320</f>
        <v>The development will comply with the above standards.</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4100</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5118</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5119</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3753</v>
      </c>
      <c r="C1494" s="2111"/>
      <c r="D1494" s="1866"/>
      <c r="E1494" s="1866"/>
      <c r="F1494" s="1866"/>
      <c r="G1494" s="1866"/>
      <c r="H1494" s="521"/>
      <c r="I1494" s="521"/>
      <c r="J1494" s="521"/>
      <c r="K1494" s="521"/>
      <c r="L1494" s="1634"/>
      <c r="M1494" s="1634"/>
      <c r="N1494" s="1634"/>
      <c r="O1494" s="1633"/>
      <c r="P1494" s="1633"/>
      <c r="Q1494" s="1633"/>
    </row>
    <row r="1495" spans="1:22" ht="14.25">
      <c r="A1495" s="1900" t="str">
        <f>'Part VIII-Threshold Criteria'!A337</f>
        <v>The development will comply with the above standards</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4103</v>
      </c>
      <c r="B1498" s="1631" t="s">
        <v>4141</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4998</v>
      </c>
      <c r="O1499" s="1944" t="s">
        <v>1983</v>
      </c>
      <c r="P1499" s="1895">
        <f>'Part VIII-Threshold Criteria'!P341</f>
        <v>0</v>
      </c>
      <c r="Q1499" s="1895"/>
    </row>
    <row r="1500" spans="1:22">
      <c r="A1500" s="1921" t="s">
        <v>1985</v>
      </c>
      <c r="B1500" s="1955" t="s">
        <v>4089</v>
      </c>
      <c r="C1500" s="2111"/>
      <c r="D1500" s="2111"/>
      <c r="E1500" s="2111"/>
      <c r="F1500" s="2111"/>
      <c r="G1500" s="2111"/>
      <c r="H1500" s="2111"/>
      <c r="I1500" s="2111"/>
      <c r="J1500" s="2111"/>
      <c r="K1500" s="2111"/>
      <c r="L1500" s="2111"/>
      <c r="M1500" s="2111"/>
      <c r="N1500" s="2111"/>
      <c r="O1500" s="1921" t="s">
        <v>1985</v>
      </c>
      <c r="P1500" s="521">
        <f>'Part VIII-Threshold Criteria'!P342</f>
        <v>0</v>
      </c>
      <c r="Q1500" s="521"/>
    </row>
    <row r="1501" spans="1:22">
      <c r="A1501" s="1944" t="s">
        <v>749</v>
      </c>
      <c r="B1501" s="1216" t="s">
        <v>2350</v>
      </c>
      <c r="O1501" s="1944" t="s">
        <v>749</v>
      </c>
      <c r="P1501" s="521">
        <f>'Part VIII-Threshold Criteria'!P343</f>
        <v>0</v>
      </c>
      <c r="Q1501" s="521"/>
    </row>
    <row r="1502" spans="1:22">
      <c r="A1502" s="1937" t="s">
        <v>2115</v>
      </c>
      <c r="B1502" s="1216" t="s">
        <v>3841</v>
      </c>
      <c r="O1502" s="1937" t="s">
        <v>2115</v>
      </c>
      <c r="P1502" s="1895">
        <f>'Part VIII-Threshold Criteria'!P344</f>
        <v>0</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3753</v>
      </c>
      <c r="D1505" s="1842"/>
      <c r="E1505" s="1842"/>
      <c r="F1505" s="1842"/>
      <c r="G1505" s="1842"/>
      <c r="H1505" s="1841"/>
      <c r="I1505" s="1895"/>
      <c r="J1505" s="1895"/>
      <c r="K1505" s="1895"/>
      <c r="L1505" s="1633"/>
      <c r="M1505" s="1633"/>
      <c r="N1505" s="1633"/>
      <c r="O1505" s="1633"/>
      <c r="P1505" s="1633"/>
      <c r="Q1505" s="1633"/>
    </row>
    <row r="1506" spans="1:22" ht="15">
      <c r="A1506" s="1900" t="str">
        <f>'Part VIII-Threshold Criteria'!A348</f>
        <v>Applicant was deemed qualified on its pre-application determination request.</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4104</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3656</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3850</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4090</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3753</v>
      </c>
      <c r="D1513" s="1842"/>
      <c r="E1513" s="1842"/>
      <c r="F1513" s="1842"/>
      <c r="G1513" s="1842"/>
      <c r="H1513" s="1841"/>
      <c r="I1513" s="1895"/>
      <c r="J1513" s="1895"/>
      <c r="K1513" s="1895"/>
      <c r="L1513" s="1633"/>
      <c r="M1513" s="1633"/>
      <c r="N1513" s="1633"/>
      <c r="O1513" s="1633"/>
      <c r="P1513" s="1633"/>
      <c r="Q1513" s="1633"/>
    </row>
    <row r="1514" spans="1:22">
      <c r="A1514" s="1900" t="str">
        <f>'Part VIII-Threshold Criteria'!A356</f>
        <v>The compliance history summary was submitted at pre-application in the Performance Workbook.</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4107</v>
      </c>
      <c r="B1518" s="1631" t="s">
        <v>4080</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4081</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4082</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4072</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4073</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4074</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4075</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4076</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4552</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4077</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4078</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3753</v>
      </c>
      <c r="D1529" s="1842"/>
      <c r="E1529" s="1842"/>
      <c r="F1529" s="1842"/>
      <c r="G1529" s="1842"/>
      <c r="H1529" s="1841"/>
      <c r="I1529" s="1895"/>
      <c r="J1529" s="1895"/>
      <c r="K1529" s="1895"/>
      <c r="L1529" s="1633"/>
      <c r="M1529" s="1633"/>
      <c r="N1529" s="1633"/>
      <c r="O1529" s="1633"/>
      <c r="P1529" s="1633"/>
      <c r="Q1529" s="1633"/>
    </row>
    <row r="1530" spans="1:2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4108</v>
      </c>
      <c r="B1534" s="1631" t="s">
        <v>3914</v>
      </c>
      <c r="C1534" s="1631"/>
      <c r="D1534" s="1631"/>
      <c r="E1534" s="1631"/>
      <c r="F1534" s="1631"/>
      <c r="G1534" s="1631"/>
      <c r="H1534" s="1899"/>
      <c r="I1534" s="1899"/>
      <c r="J1534" s="1899"/>
      <c r="O1534" s="2784" t="s">
        <v>1867</v>
      </c>
      <c r="P1534" s="1634"/>
      <c r="Q1534" s="1634"/>
    </row>
    <row r="1535" spans="1:22">
      <c r="A1535" s="521" t="s">
        <v>1983</v>
      </c>
      <c r="B1535" s="521" t="s">
        <v>3916</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4924</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4917</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3917</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3918</v>
      </c>
      <c r="D1539" s="1631"/>
      <c r="E1539" s="1867"/>
      <c r="F1539" s="1631"/>
      <c r="G1539" s="1631"/>
      <c r="H1539" s="1631"/>
      <c r="I1539" s="1867"/>
      <c r="J1539" s="1867">
        <f>'Part I-Project Information'!K1198</f>
        <v>0</v>
      </c>
      <c r="K1539" s="1867"/>
      <c r="L1539" s="1867" t="s">
        <v>3919</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4913</v>
      </c>
      <c r="D1540" s="1631"/>
      <c r="E1540" s="1867"/>
      <c r="F1540" s="1867"/>
      <c r="G1540" s="1867"/>
      <c r="H1540" s="521" t="s">
        <v>4914</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4915</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3921</v>
      </c>
      <c r="D1542" s="1631"/>
      <c r="E1542" s="521"/>
      <c r="F1542" s="2074">
        <f>'Part IV-A-Uses of Funds'!J1331</f>
        <v>0</v>
      </c>
      <c r="G1542" s="2074"/>
      <c r="H1542" s="521" t="s">
        <v>3922</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3924</v>
      </c>
      <c r="D1543" s="1631"/>
      <c r="E1543" s="521"/>
      <c r="F1543" s="521"/>
      <c r="G1543" s="521"/>
      <c r="H1543" s="521" t="s">
        <v>4916</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3926</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3927</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4969</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3932</v>
      </c>
      <c r="K1547" s="521"/>
      <c r="L1547" s="521"/>
      <c r="M1547" s="521"/>
      <c r="N1547" s="1867" t="s">
        <v>3929</v>
      </c>
      <c r="O1547" s="1867"/>
      <c r="P1547" s="1631"/>
      <c r="Q1547" s="1631"/>
      <c r="R1547" s="1631"/>
      <c r="S1547" s="1631"/>
      <c r="T1547" s="1631"/>
      <c r="U1547" s="1631"/>
      <c r="V1547" s="1631"/>
    </row>
    <row r="1548" spans="1:22">
      <c r="A1548" s="1636"/>
      <c r="B1548" s="1841" t="s">
        <v>1738</v>
      </c>
      <c r="C1548" s="1841" t="s">
        <v>3928</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3931</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3933</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3753</v>
      </c>
      <c r="D1551" s="1842"/>
      <c r="E1551" s="1842"/>
      <c r="F1551" s="1842"/>
      <c r="G1551" s="1842"/>
      <c r="H1551" s="1841"/>
      <c r="I1551" s="1895"/>
      <c r="J1551" s="521"/>
      <c r="K1551" s="521"/>
      <c r="L1551" s="1634"/>
      <c r="M1551" s="1634"/>
      <c r="N1551" s="1634"/>
      <c r="O1551" s="1634"/>
      <c r="P1551" s="1633"/>
      <c r="Q1551" s="1633"/>
    </row>
    <row r="1552" spans="1:2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4109</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3697</v>
      </c>
      <c r="G1561" s="1834"/>
      <c r="H1561" s="1834"/>
      <c r="I1561" s="1834"/>
      <c r="J1561" s="1841" t="s">
        <v>3698</v>
      </c>
      <c r="L1561" s="1834"/>
      <c r="M1561" s="2813">
        <f>'Part III-Sources of Funds'!H1163</f>
        <v>0</v>
      </c>
      <c r="N1561" s="2813"/>
      <c r="O1561" s="1937" t="s">
        <v>2115</v>
      </c>
      <c r="P1561" s="521">
        <f>'Part VIII-Threshold Criteria'!P403</f>
        <v>0</v>
      </c>
      <c r="Q1561" s="521"/>
    </row>
    <row r="1562" spans="1:22">
      <c r="B1562" s="1842" t="s">
        <v>3753</v>
      </c>
      <c r="D1562" s="1842"/>
      <c r="E1562" s="1866"/>
      <c r="F1562" s="1866"/>
      <c r="G1562" s="1866"/>
      <c r="H1562" s="521"/>
      <c r="I1562" s="521"/>
      <c r="J1562" s="521"/>
      <c r="K1562" s="521"/>
      <c r="L1562" s="1634"/>
      <c r="M1562" s="1634"/>
      <c r="N1562" s="1634"/>
      <c r="O1562" s="1634"/>
      <c r="P1562" s="1634"/>
      <c r="Q1562" s="1634"/>
    </row>
    <row r="1563" spans="1:2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4110</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3582</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4079</v>
      </c>
      <c r="D1570" s="1900"/>
      <c r="E1570" s="1900"/>
      <c r="O1570" s="1937" t="s">
        <v>749</v>
      </c>
      <c r="P1570" s="1895">
        <f>'Part VIII-Threshold Criteria'!P412</f>
        <v>0</v>
      </c>
      <c r="Q1570" s="1895"/>
    </row>
    <row r="1571" spans="1:22">
      <c r="A1571" s="1937" t="s">
        <v>2115</v>
      </c>
      <c r="B1571" s="521" t="s">
        <v>3583</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3753</v>
      </c>
      <c r="D1573" s="1842"/>
      <c r="E1573" s="1842"/>
      <c r="F1573" s="1842"/>
      <c r="G1573" s="1842"/>
      <c r="H1573" s="1841"/>
      <c r="I1573" s="1895"/>
      <c r="J1573" s="1895"/>
      <c r="K1573" s="1895"/>
      <c r="L1573" s="1633"/>
      <c r="M1573" s="1633"/>
      <c r="N1573" s="1633"/>
      <c r="O1573" s="1633"/>
      <c r="P1573" s="1633"/>
      <c r="Q1573" s="1633"/>
    </row>
    <row r="1574" spans="1:22">
      <c r="A1574" s="1900" t="str">
        <f>'Part VIII-Threshold Criteria'!A416</f>
        <v>No legal opinions are required.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4111</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4931</v>
      </c>
      <c r="C1588" s="1841"/>
      <c r="E1588" s="1841"/>
      <c r="F1588" s="1841"/>
      <c r="G1588" s="1841"/>
      <c r="J1588" s="1631"/>
      <c r="K1588" s="1841"/>
      <c r="L1588" s="1841"/>
      <c r="M1588" s="1631"/>
      <c r="N1588" s="1937"/>
      <c r="P1588" s="1937"/>
      <c r="Q1588" s="1937"/>
    </row>
    <row r="1589" spans="1:22">
      <c r="A1589" s="1937"/>
      <c r="B1589" s="1955" t="s">
        <v>1737</v>
      </c>
      <c r="C1589" s="521" t="s">
        <v>4780</v>
      </c>
      <c r="D1589" s="2111"/>
      <c r="E1589" s="521"/>
      <c r="G1589" s="1216" t="s">
        <v>4775</v>
      </c>
      <c r="H1589" s="1841"/>
      <c r="I1589" s="1841"/>
      <c r="J1589" s="1895">
        <f>'Part VIII-Threshold Criteria'!J431</f>
        <v>0</v>
      </c>
      <c r="K1589" s="1895"/>
      <c r="L1589" s="1841"/>
      <c r="M1589" s="1216" t="s">
        <v>4778</v>
      </c>
    </row>
    <row r="1590" spans="1:22">
      <c r="A1590" s="1631"/>
      <c r="B1590" s="2111"/>
      <c r="C1590" s="2111"/>
      <c r="D1590" s="2111"/>
      <c r="E1590" s="2111"/>
      <c r="G1590" s="1216" t="s">
        <v>4776</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4777</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4779</v>
      </c>
      <c r="E1592" s="1841"/>
      <c r="F1592" s="1841"/>
      <c r="L1592" s="1841"/>
      <c r="M1592" s="1841"/>
      <c r="O1592" s="1937" t="s">
        <v>1738</v>
      </c>
      <c r="P1592" s="1895" t="str">
        <f>'Part VIII-Threshold Criteria'!P434</f>
        <v>&lt;&lt;Select&gt;&gt;</v>
      </c>
      <c r="Q1592" s="1895" t="s">
        <v>1771</v>
      </c>
    </row>
    <row r="1593" spans="1:22">
      <c r="A1593" s="1631"/>
      <c r="C1593" s="1216" t="s">
        <v>2435</v>
      </c>
      <c r="D1593" s="1216" t="s">
        <v>4787</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4788</v>
      </c>
      <c r="E1594" s="1841"/>
      <c r="F1594" s="1953"/>
      <c r="G1594" s="521" t="str">
        <f>'Part VIII-Threshold Criteria'!G436</f>
        <v>&lt;&lt; Select &gt;&gt;</v>
      </c>
      <c r="H1594" s="521">
        <f>'Part VIII-Threshold Criteria'!H436</f>
        <v>0</v>
      </c>
      <c r="I1594" s="521">
        <f>'Part VIII-Threshold Criteria'!I436</f>
        <v>0</v>
      </c>
      <c r="J1594" s="1216"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4992</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4781</v>
      </c>
      <c r="U1596" s="1634"/>
      <c r="V1596" s="1634"/>
    </row>
    <row r="1597" spans="1:22">
      <c r="B1597" s="1842" t="s">
        <v>3753</v>
      </c>
      <c r="D1597" s="1842"/>
      <c r="E1597" s="1842"/>
      <c r="F1597" s="1842"/>
      <c r="G1597" s="1866"/>
      <c r="H1597" s="521"/>
      <c r="I1597" s="521"/>
      <c r="J1597" s="521"/>
      <c r="K1597" s="521"/>
    </row>
    <row r="1598" spans="1:22">
      <c r="A1598" s="1900" t="str">
        <f>'Part VIII-Threshold Criteria'!A440</f>
        <v>The site is currently undeveloped and vacant.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4112</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5049</v>
      </c>
      <c r="C1603" s="1631"/>
      <c r="D1603" s="521"/>
      <c r="E1603" s="1899"/>
      <c r="F1603" s="1899"/>
      <c r="G1603" s="1899"/>
      <c r="H1603" s="1899"/>
    </row>
    <row r="1604" spans="1:22" ht="12.75" customHeight="1">
      <c r="A1604" s="1921" t="s">
        <v>1983</v>
      </c>
      <c r="B1604" s="1900" t="s">
        <v>3937</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3935</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4993</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4994</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4995</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4996</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3941</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3942</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3943</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3753</v>
      </c>
      <c r="C1614" s="2111"/>
      <c r="D1614" s="1866"/>
      <c r="E1614" s="1866"/>
      <c r="F1614" s="1866"/>
      <c r="G1614" s="1866"/>
      <c r="H1614" s="521"/>
      <c r="I1614" s="521"/>
      <c r="J1614" s="521"/>
      <c r="K1614" s="521"/>
      <c r="L1614" s="1634"/>
      <c r="M1614" s="1634"/>
      <c r="N1614" s="1634"/>
      <c r="O1614" s="1633"/>
      <c r="P1614" s="1633"/>
      <c r="Q1614" s="1633"/>
    </row>
    <row r="1615" spans="1:22" ht="15">
      <c r="A1615" s="1900" t="str">
        <f>'Part VIII-Threshold Criteria'!A457</f>
        <v>The Applicant agrees to submit a marketing plan for AFFH.</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4790</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4798</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4799</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1983</v>
      </c>
      <c r="B1622" s="521" t="s">
        <v>4791</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4918</v>
      </c>
      <c r="D1623" s="1900"/>
      <c r="E1623" s="1900"/>
      <c r="F1623" s="1900"/>
      <c r="G1623" s="1900"/>
      <c r="H1623" s="1900"/>
      <c r="I1623" s="1900"/>
      <c r="J1623" s="1900"/>
      <c r="K1623" s="1867" t="s">
        <v>5044</v>
      </c>
      <c r="L1623" s="1841" t="s">
        <v>4793</v>
      </c>
      <c r="M1623" s="1993"/>
      <c r="N1623" s="1823">
        <f>ROUNDUP('Part VI-Revenues &amp; Expenses'!$O$63*0.1,0)</f>
        <v>25</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5045</v>
      </c>
      <c r="M1624" s="1993"/>
      <c r="N1624" s="1823">
        <f>'Part VI-Revenues &amp; Expenses'!$O$63</f>
        <v>244</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4795</v>
      </c>
      <c r="M1625" s="1993"/>
      <c r="N1625" s="1823">
        <f>'Part VI-Revenues &amp; Expenses'!$O$67</f>
        <v>244</v>
      </c>
      <c r="O1625" s="2028"/>
      <c r="P1625" s="1921">
        <f>'Part VIII-Threshold Criteria'!P467</f>
        <v>0</v>
      </c>
      <c r="Q1625" s="1921"/>
      <c r="R1625" s="2028"/>
      <c r="S1625" s="2028"/>
      <c r="T1625" s="2028"/>
      <c r="U1625" s="2028"/>
      <c r="V1625" s="2028"/>
    </row>
    <row r="1626" spans="1:22" ht="12.75" customHeight="1">
      <c r="A1626" s="1955"/>
      <c r="B1626" s="2021" t="s">
        <v>1988</v>
      </c>
      <c r="C1626" s="1900" t="s">
        <v>4919</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4920</v>
      </c>
      <c r="D1627" s="1900"/>
      <c r="E1627" s="1900"/>
      <c r="F1627" s="1900"/>
      <c r="G1627" s="1900"/>
      <c r="H1627" s="1900"/>
      <c r="I1627" s="1900"/>
      <c r="J1627" s="1867" t="s">
        <v>4796</v>
      </c>
      <c r="K1627" s="2815">
        <f>'Part VI-Revenues &amp; Expenses'!$O$103</f>
        <v>244</v>
      </c>
      <c r="L1627" s="1841" t="s">
        <v>4794</v>
      </c>
      <c r="M1627" s="1993"/>
      <c r="N1627" s="1823">
        <f>ROUNDUP(N1625*0.1,0)</f>
        <v>25</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4797</v>
      </c>
      <c r="K1628" s="2816">
        <f>IF(N1625=0,"",K1627/N1625)</f>
        <v>1</v>
      </c>
      <c r="L1628" s="1841" t="s">
        <v>5043</v>
      </c>
      <c r="M1628" s="521"/>
      <c r="N1628" s="1824">
        <f>'Part VI-Revenues &amp; Expenses'!$K$67/'Part VI-Revenues &amp; Expenses'!$O$67</f>
        <v>0.26229508196721313</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4921</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4922</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t="str">
        <f>'Part VIII-Threshold Criteria'!A474</f>
        <v>The development does not have a rental assistance contract for all units, and is willing to accept the full utilization of the 10% of units.</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4792</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15">
      <c r="A1638" s="1900" t="str">
        <f>'Part VIII-Threshold Criteria'!A480</f>
        <v>The development is an effective, efficient, and lawful allocation and utilization of the Housing Credit Program.</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4800</v>
      </c>
      <c r="B1643" s="1631"/>
      <c r="C1643" s="1631" t="s">
        <v>4970</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4801</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4923</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Somersby,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5166</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4810</v>
      </c>
      <c r="B1656" s="1631"/>
      <c r="C1656" s="1631"/>
      <c r="D1656" s="521"/>
      <c r="E1656" s="521"/>
      <c r="F1656" s="521"/>
      <c r="G1656" s="1866"/>
      <c r="H1656" s="1652" t="s">
        <v>5167</v>
      </c>
      <c r="I1656" s="1866"/>
      <c r="J1656" s="1866"/>
      <c r="K1656" s="1866"/>
      <c r="L1656" s="1866"/>
      <c r="M1656" s="2823" t="s">
        <v>5168</v>
      </c>
      <c r="N1656" s="1866"/>
      <c r="O1656" s="1924">
        <f>'Part IX Scoring Criteria'!O8</f>
        <v>0</v>
      </c>
      <c r="P1656" s="1630">
        <f>IF(P1658&lt;2,0,IF(AND(P1658&gt;1,P1658&lt;5),1,IF(P1658&gt;4,P1658-3)))</f>
        <v>0</v>
      </c>
      <c r="Q1656" s="521" t="s">
        <v>5169</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4146</v>
      </c>
      <c r="B1658" s="2055" t="s">
        <v>4147</v>
      </c>
      <c r="C1658" s="521"/>
      <c r="D1658" s="521"/>
      <c r="E1658" s="2055" t="s">
        <v>4174</v>
      </c>
      <c r="F1658" s="2055" t="s">
        <v>4173</v>
      </c>
      <c r="G1658" s="2055"/>
      <c r="H1658" s="2055"/>
      <c r="I1658" s="2055"/>
      <c r="J1658" s="2055"/>
      <c r="K1658" s="2055"/>
      <c r="L1658" s="2055"/>
      <c r="M1658" s="2055"/>
      <c r="N1658" s="2055"/>
      <c r="O1658" s="2825" t="s">
        <v>4808</v>
      </c>
      <c r="P1658" s="1895">
        <f>SUM(P1659:P1668)</f>
        <v>0</v>
      </c>
      <c r="Q1658" s="1867" t="s">
        <v>5170</v>
      </c>
      <c r="R1658" s="1867"/>
      <c r="S1658" s="1867"/>
      <c r="T1658" s="1867"/>
      <c r="U1658" s="1867"/>
      <c r="V1658" s="1867"/>
      <c r="W1658" s="1631"/>
      <c r="X1658" s="1631"/>
    </row>
    <row r="1659" spans="1:24">
      <c r="A1659" s="1990" t="s">
        <v>742</v>
      </c>
      <c r="B1659" s="1218" t="s">
        <v>4148</v>
      </c>
      <c r="C1659" s="1890"/>
      <c r="D1659" s="1890"/>
      <c r="E1659" s="2826" t="str">
        <f>$O$61</f>
        <v>402.03</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4150</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4151</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4152</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4901</v>
      </c>
      <c r="B1664" s="1218" t="s">
        <v>4458</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4153</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4154</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4101</v>
      </c>
      <c r="B1667" s="1218" t="s">
        <v>4155</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4102</v>
      </c>
      <c r="B1668" s="1218" t="s">
        <v>4157</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5171</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4803</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4806</v>
      </c>
      <c r="D1673" s="1634"/>
      <c r="E1673" s="1634"/>
      <c r="F1673" s="1895"/>
      <c r="G1673" s="1976"/>
      <c r="H1673" s="1652" t="s">
        <v>3648</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5172</v>
      </c>
      <c r="D1674" s="1634"/>
      <c r="E1674" s="1634"/>
      <c r="F1674" s="1895"/>
      <c r="G1674" s="1976"/>
      <c r="H1674" s="1652" t="s">
        <v>4804</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4805</v>
      </c>
      <c r="D1675" s="1634"/>
      <c r="E1675" s="1634"/>
      <c r="F1675" s="1895"/>
      <c r="G1675" s="1976"/>
      <c r="H1675" s="1652" t="s">
        <v>4809</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5120</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4555</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5016</v>
      </c>
      <c r="B1680" s="1659"/>
      <c r="C1680" s="1659"/>
      <c r="D1680" s="1659"/>
      <c r="E1680" s="1659"/>
      <c r="F1680" s="1956" t="s">
        <v>4145</v>
      </c>
      <c r="G1680" s="1867" t="s">
        <v>5017</v>
      </c>
      <c r="H1680" s="1867"/>
      <c r="I1680" s="1867"/>
      <c r="J1680" s="1956" t="s">
        <v>4145</v>
      </c>
      <c r="K1680" s="1955" t="s">
        <v>4802</v>
      </c>
      <c r="L1680" s="1955"/>
      <c r="M1680" s="1955"/>
      <c r="N1680" s="1955"/>
      <c r="O1680" s="1652" t="s">
        <v>4145</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5173</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4817</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5018</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4811</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4812</v>
      </c>
      <c r="D1700" s="521"/>
      <c r="E1700" s="1993"/>
      <c r="F1700" s="1993"/>
      <c r="G1700" s="1993"/>
      <c r="H1700" s="521" t="s">
        <v>4813</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4814</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5174</v>
      </c>
      <c r="C1703" s="2006"/>
      <c r="D1703" s="2006"/>
      <c r="E1703" s="1955"/>
      <c r="F1703" s="2006"/>
      <c r="G1703" s="2006"/>
      <c r="H1703" s="1652" t="s">
        <v>4815</v>
      </c>
      <c r="I1703" s="1652"/>
      <c r="J1703" s="2840" t="s">
        <v>4816</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3956</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4096</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5175</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3843</v>
      </c>
      <c r="C1713" s="1993"/>
      <c r="D1713" s="2041"/>
      <c r="E1713" s="1993"/>
      <c r="F1713" s="2731"/>
      <c r="G1713" s="1993"/>
      <c r="H1713" s="1694" t="s">
        <v>3985</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5176</v>
      </c>
      <c r="S1719" s="2019"/>
      <c r="T1719" s="2019"/>
      <c r="U1719" s="2019"/>
      <c r="V1719" s="1976"/>
      <c r="W1719" s="1976"/>
      <c r="X1719" s="1976"/>
    </row>
    <row r="1720" spans="1:24" ht="15">
      <c r="A1720" s="2828"/>
      <c r="B1720" s="1634" t="s">
        <v>3959</v>
      </c>
      <c r="C1720" s="1976"/>
      <c r="D1720" s="2012"/>
      <c r="E1720" s="1976"/>
      <c r="F1720" s="1976"/>
      <c r="G1720" s="1976"/>
      <c r="H1720" s="1634" t="s">
        <v>2794</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5">
      <c r="A1721" s="2828"/>
      <c r="B1721" s="2093" t="s">
        <v>1986</v>
      </c>
      <c r="C1721" s="521" t="s">
        <v>4823</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4824</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5177</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4818</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3965</v>
      </c>
      <c r="C1726" s="1976"/>
      <c r="D1726" s="2012"/>
      <c r="E1726" s="1976"/>
      <c r="F1726" s="1634" t="s">
        <v>3716</v>
      </c>
      <c r="G1726" s="1634"/>
      <c r="H1726" s="1634"/>
      <c r="I1726" s="1634"/>
      <c r="J1726" s="1634" t="s">
        <v>3717</v>
      </c>
      <c r="K1726" s="1634"/>
      <c r="L1726" s="1634"/>
      <c r="M1726" s="1634"/>
      <c r="N1726" s="1937"/>
      <c r="O1726" s="2846" t="s">
        <v>5178</v>
      </c>
      <c r="P1726" s="2846"/>
      <c r="Q1726" s="1630"/>
      <c r="R1726" s="2019"/>
      <c r="S1726" s="2019"/>
      <c r="T1726" s="2019"/>
      <c r="U1726" s="2019"/>
      <c r="V1726" s="1976"/>
      <c r="W1726" s="1976"/>
      <c r="X1726" s="1976"/>
    </row>
    <row r="1727" spans="1:24" ht="15">
      <c r="A1727" s="2828"/>
      <c r="B1727" s="1976"/>
      <c r="C1727" s="1634" t="s">
        <v>3964</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4142</v>
      </c>
      <c r="B1728" s="2847"/>
      <c r="C1728" s="1976"/>
      <c r="D1728" s="521" t="s">
        <v>3966</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4094</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4093</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5179</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3747</v>
      </c>
      <c r="C1734" s="1976"/>
      <c r="D1734" s="2012"/>
      <c r="E1734" s="1976"/>
      <c r="F1734" s="1866" t="s">
        <v>5180</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5181</v>
      </c>
      <c r="D1735" s="1900"/>
      <c r="E1735" s="1900"/>
      <c r="F1735" s="1900"/>
      <c r="G1735" s="1900"/>
      <c r="H1735" s="1900"/>
      <c r="I1735" s="2027" t="s">
        <v>5182</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5183</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4092</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3749</v>
      </c>
      <c r="C1740" s="1484"/>
      <c r="D1740" s="1484"/>
      <c r="E1740" s="1484"/>
      <c r="F1740" s="1897" t="s">
        <v>5184</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3780</v>
      </c>
      <c r="C1741" s="1652" t="s">
        <v>4821</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c r="A1742" s="2828"/>
      <c r="B1742" s="1937" t="s">
        <v>3781</v>
      </c>
      <c r="C1742" s="1652" t="s">
        <v>4820</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5185</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5186</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5187</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5188</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5189</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3983</v>
      </c>
      <c r="C1755" s="1976"/>
      <c r="D1755" s="521"/>
      <c r="E1755" s="521"/>
      <c r="F1755" s="1630"/>
      <c r="G1755" s="1630"/>
      <c r="H1755" s="1630"/>
      <c r="I1755" s="1842" t="s">
        <v>5179</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3984</v>
      </c>
      <c r="C1757" s="1993"/>
      <c r="D1757" s="2041"/>
      <c r="E1757" s="521" t="s">
        <v>4098</v>
      </c>
      <c r="F1757" s="1993"/>
      <c r="G1757" s="1841"/>
      <c r="H1757" s="1993"/>
      <c r="I1757" s="1937" t="s">
        <v>4092</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4616</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5121</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5122</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4826</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3987</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3988</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4575</v>
      </c>
      <c r="D1765" s="1652" t="s">
        <v>4828</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3991</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75">
      <c r="A1767" s="1937"/>
      <c r="B1767" s="2093"/>
      <c r="C1767" s="521" t="s">
        <v>3992</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c r="A1768" s="1937"/>
      <c r="B1768" s="1216"/>
      <c r="C1768" s="1216" t="s">
        <v>4126</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4576</v>
      </c>
      <c r="D1773" s="521" t="s">
        <v>3993</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3994</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4827</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c r="A1776" s="1937"/>
      <c r="B1776" s="1937"/>
      <c r="C1776" s="1216"/>
      <c r="D1776" s="1937"/>
      <c r="E1776" s="1841" t="s">
        <v>4158</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4481</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4160</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4613</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4614</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4615</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4829</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3818</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3995</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5190</v>
      </c>
      <c r="D1787" s="1900"/>
      <c r="E1787" s="1900"/>
      <c r="F1787" s="1960"/>
      <c r="G1787" s="1841" t="s">
        <v>3996</v>
      </c>
      <c r="H1787" s="521"/>
      <c r="I1787" s="1960"/>
      <c r="J1787" s="1960"/>
      <c r="K1787" s="1960"/>
      <c r="L1787" s="1960"/>
      <c r="M1787" s="1937" t="s">
        <v>2435</v>
      </c>
      <c r="N1787" s="1937" t="s">
        <v>3780</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3997</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3998</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3999</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4000</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c r="A1792" s="1937"/>
      <c r="B1792" s="2044"/>
      <c r="C1792" s="1841" t="s">
        <v>5191</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3832</v>
      </c>
      <c r="D1793" s="1216"/>
      <c r="E1793" s="521"/>
      <c r="F1793" s="521"/>
      <c r="G1793" s="1216" t="s">
        <v>4131</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4165</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3967</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4004</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5192</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4834</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4835</v>
      </c>
      <c r="F1808" s="1895" t="str">
        <f>'Part I-Project Information'!$H$82</f>
        <v>Family</v>
      </c>
      <c r="G1808" s="1976"/>
      <c r="H1808" s="521"/>
      <c r="I1808" s="1899"/>
      <c r="J1808" s="1899"/>
      <c r="K1808" s="1976"/>
      <c r="L1808" s="1976"/>
      <c r="M1808" s="1899"/>
      <c r="N1808" s="2011"/>
      <c r="O1808" s="1867" t="s">
        <v>5193</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4833</v>
      </c>
      <c r="C1810" s="1899"/>
      <c r="D1810" s="1899"/>
      <c r="E1810" s="521"/>
      <c r="F1810" s="1841"/>
      <c r="G1810" s="1841"/>
      <c r="H1810" s="1976"/>
      <c r="I1810" s="1899"/>
      <c r="J1810" s="1899"/>
      <c r="K1810" s="1899"/>
      <c r="L1810" s="1899"/>
      <c r="M1810" s="1706" t="s">
        <v>4832</v>
      </c>
      <c r="N1810" s="2011"/>
      <c r="O1810" s="1867"/>
      <c r="P1810" s="1867"/>
      <c r="Q1810" s="1976"/>
      <c r="R1810" s="1976"/>
      <c r="S1810" s="1976"/>
      <c r="T1810" s="1904" t="s">
        <v>5062</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5029</v>
      </c>
      <c r="S1812" s="1976"/>
      <c r="T1812" s="1904"/>
      <c r="U1812" s="1904" t="s">
        <v>5061</v>
      </c>
      <c r="V1812" s="1976"/>
      <c r="W1812" s="1976"/>
      <c r="X1812" s="1976"/>
    </row>
    <row r="1813" spans="1:24" ht="23.25">
      <c r="A1813" s="1828"/>
      <c r="B1813" s="2052" t="s">
        <v>3819</v>
      </c>
      <c r="C1813" s="1834"/>
      <c r="D1813" s="1652" t="s">
        <v>4580</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4003</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4166</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4001</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4005</v>
      </c>
      <c r="C1819" s="1993"/>
      <c r="D1819" s="2041"/>
      <c r="E1819" s="2041"/>
      <c r="F1819" s="1842" t="s">
        <v>3391</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4168</v>
      </c>
      <c r="F1820" s="1904" t="s">
        <v>3660</v>
      </c>
      <c r="G1820" s="1810" t="s">
        <v>3399</v>
      </c>
      <c r="H1820" s="1810"/>
      <c r="I1820" s="1810"/>
      <c r="J1820" s="1810"/>
      <c r="K1820" s="1810"/>
      <c r="L1820" s="1810"/>
      <c r="M1820" s="1810"/>
      <c r="N1820" s="1810"/>
      <c r="O1820" s="1216"/>
      <c r="P1820" s="1900"/>
      <c r="Q1820" s="1216"/>
      <c r="R1820" s="521" t="s">
        <v>2833</v>
      </c>
      <c r="S1820" s="521"/>
      <c r="T1820" s="521" t="str">
        <f>'Part I-Project Information'!$F$38</f>
        <v>College Park</v>
      </c>
      <c r="U1820" s="521"/>
      <c r="V1820" s="521"/>
      <c r="W1820" s="521"/>
      <c r="X1820" s="521"/>
    </row>
    <row r="1821" spans="1:24" ht="12.75" customHeight="1">
      <c r="A1821" s="1937"/>
      <c r="B1821" s="1904" t="s">
        <v>4008</v>
      </c>
      <c r="C1821" s="1904"/>
      <c r="D1821" s="1904"/>
      <c r="E1821" s="1904"/>
      <c r="F1821" s="1904"/>
      <c r="G1821" s="1900" t="s">
        <v>4007</v>
      </c>
      <c r="H1821" s="1900"/>
      <c r="I1821" s="1900"/>
      <c r="J1821" s="1900"/>
      <c r="K1821" s="1900"/>
      <c r="L1821" s="1900"/>
      <c r="M1821" s="1900"/>
      <c r="N1821" s="1900"/>
      <c r="O1821" s="1904" t="s">
        <v>3661</v>
      </c>
      <c r="P1821" s="1904"/>
      <c r="Q1821" s="1216"/>
      <c r="R1821" s="521" t="s">
        <v>2834</v>
      </c>
      <c r="S1821" s="521"/>
      <c r="T1821" s="521" t="str">
        <f>'Part I-Project Information'!$J$39</f>
        <v>Fulton</v>
      </c>
      <c r="U1821" s="521"/>
      <c r="V1821" s="521"/>
      <c r="W1821" s="521"/>
      <c r="X1821" s="521"/>
    </row>
    <row r="1822" spans="1:24">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4006</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ht="13.5">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4167</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4009</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3884</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4015</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4842</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4842</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5123</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4947</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5194</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4837</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4838</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4840</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4839</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4945</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4946</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4843</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4014</v>
      </c>
      <c r="I1853" s="1216" t="s">
        <v>4841</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5124</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5195</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4933</v>
      </c>
      <c r="D1856" s="1867"/>
      <c r="E1856" s="1867"/>
      <c r="F1856" s="1867"/>
      <c r="G1856" s="1867"/>
      <c r="H1856" s="1867"/>
      <c r="I1856" s="1899"/>
      <c r="J1856" s="1841" t="s">
        <v>3575</v>
      </c>
      <c r="K1856" s="1867"/>
      <c r="L1856" s="2078" t="str">
        <f>'Part I-Project Information'!$O$38</f>
        <v>402.03</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4844</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3782</v>
      </c>
      <c r="C1862" s="1841" t="s">
        <v>4849</v>
      </c>
      <c r="D1862" s="1631"/>
      <c r="E1862" s="1631"/>
      <c r="F1862" s="1631"/>
      <c r="G1862" s="1631"/>
      <c r="H1862" s="1631"/>
      <c r="I1862" s="1631"/>
      <c r="J1862" s="1895">
        <f>'Part IX Scoring Criteria'!J214</f>
        <v>0</v>
      </c>
      <c r="K1862" s="1867" t="s">
        <v>4846</v>
      </c>
      <c r="L1862" s="1867"/>
      <c r="M1862" s="1867"/>
      <c r="N1862" s="1867"/>
      <c r="O1862" s="1993"/>
      <c r="P1862" s="1993"/>
      <c r="V1862" s="2819"/>
      <c r="W1862" s="2819"/>
    </row>
    <row r="1863" spans="1:24" ht="18.75">
      <c r="A1863" s="1879"/>
      <c r="B1863" s="1937" t="s">
        <v>3784</v>
      </c>
      <c r="C1863" s="1841" t="s">
        <v>4845</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75">
      <c r="A1864" s="1879"/>
      <c r="B1864" s="1937" t="s">
        <v>3785</v>
      </c>
      <c r="C1864" s="1841" t="s">
        <v>4848</v>
      </c>
      <c r="D1864" s="1631"/>
      <c r="E1864" s="1631"/>
      <c r="F1864" s="1631"/>
      <c r="G1864" s="1631"/>
      <c r="H1864" s="1631"/>
      <c r="I1864" s="1631"/>
      <c r="J1864" s="1895">
        <f>'Part IX Scoring Criteria'!J216</f>
        <v>0</v>
      </c>
      <c r="L1864" s="1937" t="s">
        <v>4847</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4172</v>
      </c>
      <c r="B1866" s="1785" t="s">
        <v>4169</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4170</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4928</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4586</v>
      </c>
      <c r="D1870" s="1899"/>
      <c r="E1870" s="1976"/>
      <c r="F1870" s="1976"/>
      <c r="G1870" s="2074">
        <f>'Part IV-A-Uses of Funds'!$G$132</f>
        <v>49998466.819839999</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4018</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4611</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4020</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4856</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4857</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4858</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4024</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4949</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4948</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5125</v>
      </c>
      <c r="D1886" s="1631"/>
      <c r="G1886" s="1964" t="s">
        <v>3783</v>
      </c>
      <c r="Q1886" s="1689"/>
    </row>
    <row r="1887" spans="1:24" ht="12.75" customHeight="1">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5196</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4026</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4588</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4030</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4030</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4031</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4589</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4137</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4135</v>
      </c>
      <c r="D1902" s="1899"/>
      <c r="E1902" s="1899"/>
      <c r="F1902" s="1899"/>
      <c r="G1902" s="1899"/>
      <c r="H1902" s="1899"/>
      <c r="I1902" s="1899"/>
      <c r="J1902" s="1899"/>
      <c r="K1902" s="1899"/>
      <c r="L1902" s="1900" t="s">
        <v>4139</v>
      </c>
      <c r="M1902" s="1900"/>
      <c r="N1902" s="1921" t="s">
        <v>4140</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4032</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4036</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3786</v>
      </c>
      <c r="D1908" s="1631"/>
      <c r="Q1908" s="1630"/>
    </row>
    <row r="1909" spans="1:24" ht="18.75" customHeight="1">
      <c r="A1909" s="1937"/>
      <c r="B1909" s="2077"/>
      <c r="C1909" s="1900" t="s">
        <v>4038</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4950</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4039</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4850</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4851</v>
      </c>
      <c r="D1913" s="1631"/>
      <c r="N1913" s="2001" t="s">
        <v>1225</v>
      </c>
      <c r="Q1913" s="1630"/>
    </row>
    <row r="1914" spans="1:24" ht="18.75" customHeight="1">
      <c r="A1914" s="1937"/>
      <c r="B1914" s="1937" t="s">
        <v>2435</v>
      </c>
      <c r="C1914" s="1867" t="s">
        <v>4852</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4853</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5126</v>
      </c>
      <c r="D1916" s="1631"/>
      <c r="G1916" s="1964" t="s">
        <v>3783</v>
      </c>
      <c r="O1916" s="1895" t="s">
        <v>2510</v>
      </c>
      <c r="P1916" s="1895" t="s">
        <v>2510</v>
      </c>
      <c r="Q1916" s="1689"/>
    </row>
    <row r="1917" spans="1:24" ht="18.75" customHeight="1">
      <c r="B1917" s="2854" t="s">
        <v>1986</v>
      </c>
      <c r="C1917" s="1867" t="s">
        <v>4034</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4854</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4855</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4180</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3601</v>
      </c>
      <c r="B1927" s="1634" t="s">
        <v>4859</v>
      </c>
      <c r="C1927" s="1993"/>
      <c r="D1927" s="1866"/>
      <c r="E1927" s="1866"/>
      <c r="F1927" s="1993"/>
      <c r="G1927" s="1964" t="s">
        <v>4866</v>
      </c>
      <c r="H1927" s="1993"/>
      <c r="J1927" s="2071" t="str">
        <f>'Part I-Project Information'!$O$38</f>
        <v>402.03</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4860</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5063</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5197</v>
      </c>
      <c r="D1932" s="1900"/>
      <c r="E1932" s="1900"/>
      <c r="F1932" s="1900"/>
      <c r="G1932" s="1900"/>
      <c r="H1932" s="1900"/>
      <c r="I1932" s="1900"/>
      <c r="J1932" s="2084"/>
      <c r="K1932" s="2084" t="s">
        <v>4041</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4097</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4861</v>
      </c>
      <c r="C1936" s="1216"/>
      <c r="G1936" s="1216" t="s">
        <v>4862</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5058</v>
      </c>
      <c r="D1937" s="521"/>
      <c r="G1937" s="521" t="s">
        <v>4863</v>
      </c>
      <c r="H1937" s="1867"/>
      <c r="I1937" s="1867"/>
      <c r="J1937" s="1631"/>
      <c r="K1937" s="1631"/>
      <c r="L1937" s="1631"/>
      <c r="M1937" s="1631"/>
      <c r="N1937" s="2013" t="s">
        <v>1986</v>
      </c>
      <c r="O1937" s="2867">
        <f>'Part IX Scoring Criteria'!O289</f>
        <v>0</v>
      </c>
      <c r="P1937" s="2009"/>
    </row>
    <row r="1938" spans="1:24">
      <c r="A1938" s="1486"/>
      <c r="B1938" s="2044" t="s">
        <v>1988</v>
      </c>
      <c r="C1938" s="521" t="s">
        <v>5059</v>
      </c>
      <c r="D1938" s="521"/>
      <c r="G1938" s="521" t="s">
        <v>4864</v>
      </c>
      <c r="H1938" s="1867"/>
      <c r="I1938" s="1867"/>
      <c r="J1938" s="1631"/>
      <c r="K1938" s="1631"/>
      <c r="L1938" s="1631"/>
      <c r="M1938" s="1631"/>
      <c r="N1938" s="2013" t="s">
        <v>1988</v>
      </c>
      <c r="O1938" s="2867">
        <f>'Part IX Scoring Criteria'!O290</f>
        <v>0</v>
      </c>
      <c r="P1938" s="2009"/>
      <c r="R1938" s="742" t="s">
        <v>5069</v>
      </c>
    </row>
    <row r="1939" spans="1:24">
      <c r="A1939" s="1486"/>
      <c r="B1939" s="2044" t="s">
        <v>2534</v>
      </c>
      <c r="C1939" s="521" t="s">
        <v>5060</v>
      </c>
      <c r="D1939" s="521"/>
      <c r="G1939" s="521" t="s">
        <v>4865</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3602</v>
      </c>
      <c r="C1941" s="1216"/>
      <c r="G1941" s="1895" t="s">
        <v>3606</v>
      </c>
      <c r="H1941" s="2083">
        <f>'Part IX Scoring Criteria'!H293</f>
        <v>0</v>
      </c>
      <c r="J1941" s="1953" t="s">
        <v>4867</v>
      </c>
      <c r="K1941" s="2868" t="str">
        <f>'Part I-Project Information'!$K$94</f>
        <v>Income Averaging</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4044</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3791</v>
      </c>
      <c r="D1948" s="1952"/>
      <c r="L1948" s="1952"/>
      <c r="M1948" s="2755"/>
      <c r="N1948" s="1937" t="s">
        <v>1985</v>
      </c>
      <c r="O1948" s="1895">
        <f>'Part IX Scoring Criteria'!O300</f>
        <v>0</v>
      </c>
      <c r="P1948" s="1895"/>
      <c r="U1948" s="1943">
        <f>IF(L1948="Yes",1,0)</f>
        <v>0</v>
      </c>
    </row>
    <row r="1949" spans="1:24" ht="15">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4871</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4592</v>
      </c>
      <c r="D1955" s="1631"/>
      <c r="E1955" s="1631"/>
      <c r="F1955" s="1631"/>
      <c r="H1955" s="521" t="s">
        <v>3683</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5127</v>
      </c>
      <c r="D1956" s="1900"/>
      <c r="E1956" s="1900"/>
      <c r="F1956" s="1900"/>
      <c r="G1956" s="1900"/>
      <c r="H1956" s="1900"/>
      <c r="I1956" s="1900"/>
      <c r="J1956" s="1900"/>
      <c r="K1956" s="1900"/>
      <c r="L1956" s="1900"/>
      <c r="M1956" s="1900"/>
      <c r="N1956" s="2001" t="s">
        <v>1986</v>
      </c>
      <c r="O1956" s="1948">
        <f>'Part IX Scoring Criteria'!O308</f>
        <v>0</v>
      </c>
      <c r="P1956" s="1948"/>
      <c r="Q1956" s="1900" t="s">
        <v>5198</v>
      </c>
      <c r="R1956" s="1900"/>
      <c r="S1956" s="1900"/>
      <c r="T1956" s="1900"/>
      <c r="U1956" s="1900"/>
      <c r="V1956" s="1900"/>
      <c r="W1956" s="1900"/>
      <c r="X1956" s="1900"/>
    </row>
    <row r="1957" spans="1:24">
      <c r="A1957" s="521"/>
      <c r="B1957" s="2044"/>
      <c r="C1957" s="521" t="s">
        <v>3805</v>
      </c>
      <c r="D1957" s="521"/>
      <c r="E1957" s="521"/>
      <c r="F1957" s="521"/>
      <c r="G1957" s="521"/>
      <c r="H1957" s="521"/>
      <c r="I1957" s="1937" t="s">
        <v>4872</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3860</v>
      </c>
      <c r="D1958" s="521"/>
      <c r="E1958" s="521"/>
      <c r="F1958" s="521"/>
      <c r="G1958" s="521"/>
      <c r="H1958" s="521"/>
      <c r="I1958" s="1937" t="s">
        <v>4872</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4877</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4594</v>
      </c>
      <c r="C1963" s="1631"/>
      <c r="D1963" s="1631"/>
      <c r="E1963" s="1631"/>
      <c r="F1963" s="1631"/>
      <c r="G1963" s="1631"/>
      <c r="H1963" s="1842" t="s">
        <v>4873</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4878</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5128</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5129</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4597</v>
      </c>
      <c r="C1967" s="1631"/>
      <c r="D1967" s="1631"/>
      <c r="E1967" s="1631"/>
      <c r="F1967" s="1631"/>
      <c r="G1967" s="1631"/>
      <c r="H1967" s="1842" t="s">
        <v>4874</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5130</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5131</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4879</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4880</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4881</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4883</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4882</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5199</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5035</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4052</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4053</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4954</v>
      </c>
      <c r="D1992" s="1631"/>
      <c r="E1992" s="1993"/>
      <c r="F1992" s="1993"/>
      <c r="G1992" s="1993"/>
      <c r="H1992" s="1993"/>
      <c r="I1992" s="1993"/>
      <c r="J1992" s="1993"/>
      <c r="K1992" s="1993"/>
      <c r="L1992" s="1993"/>
      <c r="M1992" s="1993"/>
      <c r="N1992" s="2093" t="s">
        <v>4956</v>
      </c>
      <c r="O1992" s="1895">
        <f>'Part IX Scoring Criteria'!O344</f>
        <v>0</v>
      </c>
      <c r="P1992" s="1895"/>
      <c r="Q1992" s="1993"/>
      <c r="R1992" s="2817"/>
      <c r="S1992" s="1993"/>
      <c r="T1992" s="1993"/>
      <c r="U1992" s="1993"/>
      <c r="V1992" s="1993"/>
      <c r="W1992" s="1993"/>
      <c r="X1992" s="1993"/>
    </row>
    <row r="1993" spans="1:24" ht="15">
      <c r="A1993" s="1828"/>
      <c r="B1993" s="2093"/>
      <c r="C1993" s="521" t="s">
        <v>4955</v>
      </c>
      <c r="D1993" s="1631"/>
      <c r="E1993" s="1993"/>
      <c r="F1993" s="1993"/>
      <c r="G1993" s="1993"/>
      <c r="H1993" s="1993"/>
      <c r="I1993" s="1993"/>
      <c r="J1993" s="1993"/>
      <c r="K1993" s="1993"/>
      <c r="L1993" s="1993"/>
      <c r="M1993" s="1993"/>
      <c r="N1993" s="2093" t="s">
        <v>4957</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4070</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4958</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4884</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4885</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4071</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4054</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4954</v>
      </c>
      <c r="D2000" s="521"/>
      <c r="E2000" s="521"/>
      <c r="F2000" s="1993"/>
      <c r="G2000" s="1993"/>
      <c r="H2000" s="1993"/>
      <c r="I2000" s="1993"/>
      <c r="J2000" s="1993"/>
      <c r="K2000" s="1993"/>
      <c r="L2000" s="1993"/>
      <c r="M2000" s="1630"/>
      <c r="N2000" s="2093" t="s">
        <v>4956</v>
      </c>
      <c r="O2000" s="1895">
        <f>'Part IX Scoring Criteria'!O352</f>
        <v>0</v>
      </c>
      <c r="P2000" s="1895"/>
      <c r="Q2000" s="1630"/>
      <c r="R2000" s="1993"/>
      <c r="S2000" s="1993"/>
      <c r="T2000" s="1993"/>
      <c r="U2000" s="1993"/>
      <c r="V2000" s="1993"/>
      <c r="W2000" s="1993"/>
      <c r="X2000" s="1993"/>
    </row>
    <row r="2001" spans="1:24" ht="15">
      <c r="A2001" s="1828"/>
      <c r="B2001" s="2093"/>
      <c r="C2001" s="521" t="s">
        <v>4959</v>
      </c>
      <c r="D2001" s="1631"/>
      <c r="E2001" s="1993"/>
      <c r="F2001" s="1993"/>
      <c r="G2001" s="1993"/>
      <c r="H2001" s="1993"/>
      <c r="I2001" s="1993"/>
      <c r="J2001" s="1993"/>
      <c r="K2001" s="1993"/>
      <c r="L2001" s="1993"/>
      <c r="M2001" s="1993"/>
      <c r="N2001" s="2093" t="s">
        <v>4957</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4083</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4071</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4055</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4886</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5132</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4902</v>
      </c>
      <c r="D2019" s="1955"/>
      <c r="E2019" s="1216" t="s">
        <v>4903</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4904</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5200</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4056</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4057</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4887</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4101</v>
      </c>
      <c r="B2032" s="2764" t="s">
        <v>4062</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5201</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4888</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4064</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4891</v>
      </c>
      <c r="D2040" s="1921"/>
      <c r="E2040" s="1921"/>
      <c r="F2040" s="1921"/>
      <c r="G2040" s="1921"/>
      <c r="H2040" s="1921"/>
      <c r="I2040" s="1921"/>
    </row>
    <row r="2041" spans="1:24">
      <c r="A2041" s="2872"/>
      <c r="B2041" s="2021"/>
      <c r="C2041" s="1921" t="s">
        <v>4890</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3621</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3619</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5090</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4893</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3622</v>
      </c>
      <c r="C2051" s="521" t="s">
        <v>4894</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5133</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5202</v>
      </c>
      <c r="D2055" s="1785"/>
      <c r="E2055" s="1785"/>
      <c r="F2055" s="1841" t="s">
        <v>4937</v>
      </c>
      <c r="G2055" s="1976"/>
      <c r="I2055" s="1823">
        <f>'Part IX Scoring Criteria'!I407</f>
        <v>0</v>
      </c>
      <c r="J2055" s="1862">
        <f>'Part IV-A-Uses of Funds'!$G$132</f>
        <v>49998466.819839999</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4936</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4935</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3623</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4066</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4896</v>
      </c>
      <c r="N2062" s="1937" t="s">
        <v>2437</v>
      </c>
      <c r="O2062" s="1895">
        <f>'Part IX Scoring Criteria'!O414</f>
        <v>0</v>
      </c>
      <c r="P2062" s="1895"/>
    </row>
    <row r="2063" spans="1:24">
      <c r="B2063" s="1866" t="s">
        <v>3754</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4102</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5203</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4195</v>
      </c>
      <c r="C2073" s="1867"/>
      <c r="D2073" s="1867"/>
      <c r="E2073" s="1867"/>
      <c r="F2073" s="1867"/>
      <c r="G2073" s="1867"/>
      <c r="H2073" s="1867"/>
      <c r="I2073" s="1867"/>
      <c r="J2073" s="1867"/>
      <c r="K2073" s="1867"/>
      <c r="L2073" s="1867"/>
      <c r="M2073" s="1890" t="s">
        <v>5204</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244</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5205</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5134</v>
      </c>
      <c r="C2080" s="1900"/>
      <c r="D2080" s="1900"/>
      <c r="E2080" s="1900"/>
      <c r="F2080" s="1900"/>
      <c r="G2080" s="1900"/>
      <c r="H2080" s="1900"/>
      <c r="I2080" s="1900"/>
      <c r="J2080" s="1900"/>
      <c r="K2080" s="1900"/>
      <c r="L2080" s="1900"/>
      <c r="M2080" s="2055" t="s">
        <v>4899</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244</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4100</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4190</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4191</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4198</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Somersby</v>
      </c>
    </row>
    <row r="3" spans="1:16" ht="16.5">
      <c r="A3" s="1644" t="str">
        <f>CONCATENATE('Part I-Project Information'!F38,", ", 'Part I-Project Information'!J39," County")</f>
        <v>College Park, Fulton County</v>
      </c>
    </row>
    <row r="5" spans="1:16" ht="12.75" customHeight="1">
      <c r="A5" s="1682" t="str">
        <f>'Project Narrative'!$A$5</f>
        <v>Prestwick will develop a market quality product consistent with Brightstone and Gateway Capitol View located in College Park in Clayton County. The family development  (64 one bedroom, 120 two bedroom, and 60 three bedroom units). 
All units will be located in multiple 3 story walkup buildings. The buildings' attractive, modern exteriors will consist of brick or stone complemented by hardi-plank façade providing maximum architectural appeal.  For the enjoyment and convenience of all residents, central common areas will include a community room, fitness center, business center with computer stations, wellness room, community garden, playground, interior gathering areas and a laundry room. We will also offer an outdoor gazebo/picnic area and other green space.  Resident activities will be ongoing and designed to meet the needs of the changing community.  
Also one of the major attributes of the new development is it’s location.  Somersby is located near the airport which is a major job center for the area, and is next door to the Northcutt Elementary and North Clayton Middle Schools. There is also a SunTrust Bank and a grocery store across the street. The development is also 0.26 miles from a local bus stop.</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303272800, 303372614,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4460</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4482</v>
      </c>
      <c r="H16" s="1647"/>
      <c r="I16" s="1647"/>
      <c r="J16" s="1647"/>
      <c r="K16" s="1647"/>
      <c r="L16" s="1645"/>
      <c r="M16" s="1647"/>
      <c r="N16" s="1647"/>
      <c r="O16" s="1647"/>
      <c r="P16" s="1650" t="s">
        <v>3869</v>
      </c>
    </row>
    <row r="17" spans="1:16" ht="14.25" customHeight="1">
      <c r="A17" s="1647"/>
      <c r="B17" s="1631"/>
      <c r="C17" s="1631"/>
      <c r="D17" s="1631"/>
      <c r="E17" s="1631"/>
      <c r="F17" s="1645"/>
      <c r="G17" s="1649" t="s">
        <v>4483</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3797</v>
      </c>
      <c r="G20" s="1647"/>
      <c r="H20" s="1647"/>
      <c r="I20" s="1655">
        <f>'Part IV-A-Uses of Funds'!$J$175</f>
        <v>1731867</v>
      </c>
      <c r="J20" s="1655"/>
      <c r="K20" s="1647"/>
      <c r="L20" s="1647" t="s">
        <v>3798</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3714</v>
      </c>
      <c r="J22" s="1628" t="s">
        <v>4484</v>
      </c>
      <c r="K22" s="1628"/>
      <c r="L22" s="1651"/>
      <c r="M22" s="1647"/>
      <c r="N22" s="1647"/>
      <c r="O22" s="1647" t="str">
        <f>'Part I-Project Information'!$O$11</f>
        <v>2019PA-552</v>
      </c>
      <c r="P22" s="1647"/>
    </row>
    <row r="23" spans="1:16" ht="13.5" customHeight="1">
      <c r="A23" s="1645"/>
      <c r="B23" s="1658" t="s">
        <v>4461</v>
      </c>
      <c r="C23" s="1658"/>
      <c r="D23" s="1658"/>
      <c r="E23" s="1647"/>
      <c r="F23" s="1647"/>
      <c r="G23" s="1647"/>
      <c r="H23" s="1651"/>
      <c r="I23" s="1647"/>
      <c r="J23" s="1654" t="s">
        <v>2733</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3795</v>
      </c>
      <c r="K25" s="1647"/>
      <c r="L25" s="1647"/>
      <c r="M25" s="1647"/>
      <c r="N25" s="1647"/>
      <c r="O25" s="1647"/>
      <c r="P25" s="1647"/>
    </row>
    <row r="26" spans="1:16">
      <c r="A26" s="1645"/>
      <c r="B26" s="1647" t="s">
        <v>3870</v>
      </c>
      <c r="C26" s="1647"/>
      <c r="D26" s="1628"/>
      <c r="E26" s="1647"/>
      <c r="F26" s="2023">
        <f>'Part I-Project Information'!$F$15</f>
        <v>0</v>
      </c>
      <c r="G26" s="2023"/>
      <c r="H26" s="2023"/>
      <c r="I26" s="2023"/>
      <c r="J26" s="2023"/>
      <c r="K26" s="2023"/>
      <c r="L26" s="1647" t="s">
        <v>3794</v>
      </c>
      <c r="M26" s="1647"/>
      <c r="N26" s="1647"/>
      <c r="O26" s="1647">
        <f>'Part I-Project Information'!$O$15</f>
        <v>0</v>
      </c>
      <c r="P26" s="1647"/>
    </row>
    <row r="27" spans="1:16">
      <c r="A27" s="1645"/>
      <c r="B27" s="1647" t="s">
        <v>3796</v>
      </c>
      <c r="C27" s="1647"/>
      <c r="D27" s="1647"/>
      <c r="E27" s="1647"/>
      <c r="F27" s="1729" t="str">
        <f>'Part I-Project Information'!F16</f>
        <v>No</v>
      </c>
      <c r="G27" s="1647" t="s">
        <v>3852</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3879</v>
      </c>
      <c r="C31" s="1647"/>
      <c r="D31" s="1647"/>
      <c r="E31" s="1647"/>
      <c r="F31" s="1647" t="str">
        <f>'Part I-Project Information'!F20</f>
        <v>Prestwick Development Company</v>
      </c>
      <c r="G31" s="1647">
        <f>'Part I-Project Information'!G20</f>
        <v>0</v>
      </c>
      <c r="H31" s="1647">
        <f>'Part I-Project Information'!H20</f>
        <v>0</v>
      </c>
      <c r="I31" s="1647" t="s">
        <v>1797</v>
      </c>
      <c r="J31" s="1647" t="str">
        <f>'Part I-Project Information'!J20</f>
        <v>Wiley A. Tucker, III</v>
      </c>
      <c r="K31" s="1647">
        <f>'Part I-Project Information'!K20</f>
        <v>0</v>
      </c>
      <c r="L31" s="1647">
        <f>'Part I-Project Information'!L20</f>
        <v>0</v>
      </c>
      <c r="M31" s="1654" t="s">
        <v>1980</v>
      </c>
      <c r="N31" s="1647" t="str">
        <f>'Part I-Project Information'!N20</f>
        <v>Manager</v>
      </c>
      <c r="O31" s="1647">
        <f>'Part I-Project Information'!O20</f>
        <v>0</v>
      </c>
      <c r="P31" s="1647">
        <f>'Part I-Project Information'!P20</f>
        <v>0</v>
      </c>
    </row>
    <row r="32" spans="1:16" ht="12.75" customHeight="1">
      <c r="A32" s="1647"/>
      <c r="B32" s="1654" t="s">
        <v>1981</v>
      </c>
      <c r="C32" s="1647"/>
      <c r="D32" s="1647"/>
      <c r="E32" s="1647"/>
      <c r="F32" s="1647" t="str">
        <f>'Part I-Project Information'!F21</f>
        <v>3715 Northside Parkway Bldg 200 Ste 175</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c r="A33" s="1647"/>
      <c r="B33" s="1654" t="s">
        <v>618</v>
      </c>
      <c r="C33" s="1647"/>
      <c r="D33" s="1647"/>
      <c r="E33" s="1647"/>
      <c r="F33" s="1647" t="str">
        <f>'Part I-Project Information'!F22</f>
        <v>Atlanta</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c r="A34" s="1647"/>
      <c r="B34" s="1654" t="s">
        <v>2229</v>
      </c>
      <c r="C34" s="1647"/>
      <c r="D34" s="1647"/>
      <c r="E34" s="1647"/>
      <c r="F34" s="2115">
        <f>'Part I-Project Information'!F23</f>
        <v>303272800</v>
      </c>
      <c r="G34" s="2115">
        <f>'Part I-Project Information'!G23</f>
        <v>0</v>
      </c>
      <c r="H34" s="2115">
        <f>'Part I-Project Information'!H23</f>
        <v>0</v>
      </c>
      <c r="I34" s="1654" t="s">
        <v>1720</v>
      </c>
      <c r="J34" s="2116">
        <f>'Part I-Project Information'!J23</f>
        <v>4049493871</v>
      </c>
      <c r="K34" s="2116">
        <f>'Part I-Project Information'!K23</f>
        <v>0</v>
      </c>
      <c r="L34" s="1651" t="s">
        <v>1719</v>
      </c>
      <c r="M34" s="1651">
        <f>'Part I-Project Information'!M23</f>
        <v>0</v>
      </c>
      <c r="N34" s="1654" t="s">
        <v>1721</v>
      </c>
      <c r="O34" s="2116">
        <f>'Part I-Project Information'!O23</f>
        <v>4049493871</v>
      </c>
      <c r="P34" s="2116">
        <f>'Part I-Project Information'!P23</f>
        <v>0</v>
      </c>
    </row>
    <row r="35" spans="1:16">
      <c r="A35" s="1647"/>
      <c r="B35" s="1654" t="s">
        <v>1984</v>
      </c>
      <c r="C35" s="1647"/>
      <c r="D35" s="1647"/>
      <c r="E35" s="1647"/>
      <c r="F35" s="1647" t="str">
        <f>'Part I-Project Information'!F24</f>
        <v>jody@prestwickcompanies.com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4049663824</v>
      </c>
      <c r="P35" s="2116">
        <f>'Part I-Project Information'!P24</f>
        <v>0</v>
      </c>
    </row>
    <row r="36" spans="1:16">
      <c r="A36" s="1645"/>
      <c r="B36" s="1628" t="s">
        <v>4068</v>
      </c>
      <c r="C36" s="1653"/>
      <c r="D36" s="1647"/>
      <c r="E36" s="1647"/>
      <c r="F36" s="1647"/>
      <c r="G36" s="1647"/>
      <c r="H36" s="1651"/>
      <c r="I36" s="1647"/>
      <c r="J36" s="1653"/>
      <c r="K36" s="1647"/>
      <c r="L36" s="1647"/>
      <c r="M36" s="1647"/>
      <c r="N36" s="1647"/>
      <c r="O36" s="1647"/>
      <c r="P36" s="1660"/>
    </row>
    <row r="37" spans="1:16">
      <c r="A37" s="1647"/>
      <c r="B37" s="1647" t="s">
        <v>3879</v>
      </c>
      <c r="C37" s="1647"/>
      <c r="D37" s="1647"/>
      <c r="E37" s="1647"/>
      <c r="F37" s="1647" t="str">
        <f>'Part I-Project Information'!F26</f>
        <v>Prestwick Development Company</v>
      </c>
      <c r="G37" s="1647">
        <f>'Part I-Project Information'!G26</f>
        <v>0</v>
      </c>
      <c r="H37" s="1647">
        <f>'Part I-Project Information'!H26</f>
        <v>0</v>
      </c>
      <c r="I37" s="1647" t="s">
        <v>1797</v>
      </c>
      <c r="J37" s="1647" t="str">
        <f>'Part I-Project Information'!J26</f>
        <v>Edrick Harris</v>
      </c>
      <c r="K37" s="1647">
        <f>'Part I-Project Information'!K26</f>
        <v>0</v>
      </c>
      <c r="L37" s="1647">
        <f>'Part I-Project Information'!L26</f>
        <v>0</v>
      </c>
      <c r="M37" s="1654" t="s">
        <v>1980</v>
      </c>
      <c r="N37" s="1647" t="str">
        <f>'Part I-Project Information'!N26</f>
        <v>SVP - Partner</v>
      </c>
      <c r="O37" s="1647">
        <f>'Part I-Project Information'!O26</f>
        <v>0</v>
      </c>
      <c r="P37" s="1647">
        <f>'Part I-Project Information'!P26</f>
        <v>0</v>
      </c>
    </row>
    <row r="38" spans="1:16" ht="12.75" customHeight="1">
      <c r="A38" s="1647"/>
      <c r="B38" s="1654" t="s">
        <v>1981</v>
      </c>
      <c r="C38" s="1647"/>
      <c r="D38" s="1647"/>
      <c r="E38" s="1647"/>
      <c r="F38" s="1647" t="str">
        <f>'Part I-Project Information'!F27</f>
        <v>3715 Northside Parkway Bldg 200 Ste 175</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c r="A39" s="1647"/>
      <c r="B39" s="1654" t="s">
        <v>618</v>
      </c>
      <c r="C39" s="1647"/>
      <c r="D39" s="1647"/>
      <c r="E39" s="1647"/>
      <c r="F39" s="1647" t="str">
        <f>'Part I-Project Information'!F28</f>
        <v>Atlanta</v>
      </c>
      <c r="G39" s="1647">
        <f>'Part I-Project Information'!G28</f>
        <v>0</v>
      </c>
      <c r="H39" s="1647">
        <f>'Part I-Project Information'!H28</f>
        <v>0</v>
      </c>
      <c r="I39" s="1654" t="s">
        <v>1799</v>
      </c>
      <c r="J39" s="1680" t="str">
        <f>'Part I-Project Information'!J28</f>
        <v>GA</v>
      </c>
      <c r="K39" s="1647"/>
      <c r="L39" s="1647"/>
      <c r="M39" s="1659"/>
      <c r="N39" s="1659"/>
      <c r="O39" s="1659"/>
      <c r="P39" s="1659"/>
    </row>
    <row r="40" spans="1:16">
      <c r="A40" s="1647"/>
      <c r="B40" s="1654" t="s">
        <v>2229</v>
      </c>
      <c r="C40" s="1647"/>
      <c r="D40" s="1647"/>
      <c r="E40" s="1647"/>
      <c r="F40" s="2115">
        <f>'Part I-Project Information'!F29</f>
        <v>303272800</v>
      </c>
      <c r="G40" s="2115">
        <f>'Part I-Project Information'!G29</f>
        <v>0</v>
      </c>
      <c r="H40" s="2115">
        <f>'Part I-Project Information'!H29</f>
        <v>0</v>
      </c>
      <c r="I40" s="1654" t="s">
        <v>1720</v>
      </c>
      <c r="J40" s="2116">
        <f>'Part I-Project Information'!J29</f>
        <v>6787050738</v>
      </c>
      <c r="K40" s="2116">
        <f>'Part I-Project Information'!K29</f>
        <v>0</v>
      </c>
      <c r="L40" s="1651" t="s">
        <v>1719</v>
      </c>
      <c r="M40" s="1651">
        <f>'Part I-Project Information'!M29</f>
        <v>0</v>
      </c>
      <c r="N40" s="1654" t="s">
        <v>1721</v>
      </c>
      <c r="O40" s="2116">
        <f>'Part I-Project Information'!O29</f>
        <v>6787050738</v>
      </c>
      <c r="P40" s="2116">
        <f>'Part I-Project Information'!P29</f>
        <v>0</v>
      </c>
    </row>
    <row r="41" spans="1:16">
      <c r="A41" s="1647"/>
      <c r="B41" s="1654" t="s">
        <v>1984</v>
      </c>
      <c r="C41" s="1647"/>
      <c r="D41" s="1647"/>
      <c r="E41" s="1647"/>
      <c r="F41" s="1647" t="str">
        <f>'Part I-Project Information'!F30</f>
        <v>edrick@prestwickcompanies.com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4043177597</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Somersby</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5391 W. Fayetteville Road</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c r="A47" s="1650"/>
      <c r="B47" s="1647" t="s">
        <v>4485</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3681</v>
      </c>
      <c r="P47" s="1651">
        <f>'Part I-Project Information'!P36</f>
        <v>0</v>
      </c>
    </row>
    <row r="48" spans="1:16">
      <c r="A48" s="1650"/>
      <c r="B48" s="1647" t="s">
        <v>3735</v>
      </c>
      <c r="C48" s="1647"/>
      <c r="D48" s="1657"/>
      <c r="E48" s="1647"/>
      <c r="F48" s="1647" t="s">
        <v>3716</v>
      </c>
      <c r="G48" s="2117">
        <f>'Part I-Project Information'!G37</f>
        <v>33.608725999999997</v>
      </c>
      <c r="H48" s="2117">
        <f>'Part I-Project Information'!H37</f>
        <v>0</v>
      </c>
      <c r="I48" s="1651" t="s">
        <v>3717</v>
      </c>
      <c r="J48" s="2117">
        <f>'Part I-Project Information'!J37</f>
        <v>-84.446800999999994</v>
      </c>
      <c r="K48" s="2117">
        <f>'Part I-Project Information'!K37</f>
        <v>0</v>
      </c>
      <c r="L48" s="1654" t="s">
        <v>2283</v>
      </c>
      <c r="M48" s="1647"/>
      <c r="N48" s="1647"/>
      <c r="O48" s="2118">
        <f>'Part I-Project Information'!O37</f>
        <v>7.76</v>
      </c>
      <c r="P48" s="2118">
        <f>'Part I-Project Information'!P37</f>
        <v>0</v>
      </c>
    </row>
    <row r="49" spans="1:16" ht="16.5">
      <c r="A49" s="1645"/>
      <c r="B49" s="1647" t="s">
        <v>618</v>
      </c>
      <c r="C49" s="1647"/>
      <c r="D49" s="1647"/>
      <c r="E49" s="1647"/>
      <c r="F49" s="1647" t="str">
        <f>'Part I-Project Information'!F38</f>
        <v>College Park</v>
      </c>
      <c r="G49" s="1647">
        <f>'Part I-Project Information'!G38</f>
        <v>0</v>
      </c>
      <c r="H49" s="1647">
        <f>'Part I-Project Information'!H38</f>
        <v>0</v>
      </c>
      <c r="I49" s="1661" t="s">
        <v>4486</v>
      </c>
      <c r="J49" s="2115">
        <f>'Part I-Project Information'!J38</f>
        <v>303495405</v>
      </c>
      <c r="K49" s="2115">
        <f>'Part I-Project Information'!K38</f>
        <v>0</v>
      </c>
      <c r="L49" s="1628" t="str">
        <f>IF(AND(NOT(F45=""),NOT(F49="Select from list"),J49=""),"Enter Zip!","")</f>
        <v/>
      </c>
      <c r="M49" s="1662" t="s">
        <v>2906</v>
      </c>
      <c r="N49" s="1647"/>
      <c r="O49" s="2119" t="str">
        <f>'Part I-Project Information'!O38</f>
        <v>402.03</v>
      </c>
      <c r="P49" s="2120">
        <f>'Part I-Project Information'!P38</f>
        <v>0</v>
      </c>
    </row>
    <row r="50" spans="1:16">
      <c r="A50" s="1645"/>
      <c r="B50" s="1647" t="s">
        <v>3568</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4487</v>
      </c>
      <c r="D53" s="1647"/>
      <c r="E53" s="1647"/>
      <c r="F53" s="1665" t="s">
        <v>2762</v>
      </c>
      <c r="G53" s="1665"/>
      <c r="H53" s="1647" t="s">
        <v>736</v>
      </c>
      <c r="I53" s="1647"/>
      <c r="J53" s="1647" t="s">
        <v>737</v>
      </c>
      <c r="K53" s="1647"/>
      <c r="L53" s="1666" t="s">
        <v>4488</v>
      </c>
      <c r="M53" s="1647"/>
      <c r="N53" s="1647"/>
      <c r="O53" s="1647"/>
      <c r="P53" s="1647"/>
    </row>
    <row r="54" spans="1:16">
      <c r="A54" s="1645"/>
      <c r="B54" s="1647" t="s">
        <v>4489</v>
      </c>
      <c r="C54" s="1647"/>
      <c r="D54" s="1628"/>
      <c r="E54" s="1647"/>
      <c r="F54" s="2121">
        <f>'Part I-Project Information'!F43</f>
        <v>5</v>
      </c>
      <c r="G54" s="2121">
        <f>'Part I-Project Information'!G43</f>
        <v>0</v>
      </c>
      <c r="H54" s="2121">
        <f>'Part I-Project Information'!H43</f>
        <v>34</v>
      </c>
      <c r="I54" s="2121">
        <f>'Part I-Project Information'!I43</f>
        <v>0</v>
      </c>
      <c r="J54" s="2121">
        <f>'Part I-Project Information'!J43</f>
        <v>60</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College Park</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collegeparkga.com</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Bianca Motley Broom</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3667 Main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College Park</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303372614</v>
      </c>
      <c r="G60" s="2115">
        <f>'Part I-Project Information'!G49</f>
        <v>0</v>
      </c>
      <c r="H60" s="1651" t="s">
        <v>1982</v>
      </c>
      <c r="I60" s="2116">
        <f>'Part I-Project Information'!I49</f>
        <v>4047671537</v>
      </c>
      <c r="J60" s="2116">
        <f>'Part I-Project Information'!J49</f>
        <v>0</v>
      </c>
      <c r="K60" s="2116">
        <f>'Part I-Project Information'!K49</f>
        <v>0</v>
      </c>
      <c r="L60" s="1654" t="s">
        <v>1800</v>
      </c>
      <c r="M60" s="1779" t="str">
        <f>'Part I-Project Information'!M49</f>
        <v>bmotleybroom@collegeparkga.com</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4490</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244</v>
      </c>
      <c r="I66" s="1653"/>
      <c r="J66" s="1653"/>
      <c r="K66" s="1654" t="s">
        <v>3673</v>
      </c>
      <c r="L66" s="1647"/>
      <c r="M66" s="1673" t="s">
        <v>3672</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Yes</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3564</v>
      </c>
      <c r="J72" s="1650" t="s">
        <v>2115</v>
      </c>
      <c r="K72" s="1679" t="s">
        <v>2302</v>
      </c>
      <c r="L72" s="1647"/>
      <c r="M72" s="1647"/>
      <c r="N72" s="1647"/>
      <c r="O72" s="1647"/>
      <c r="P72" s="1651"/>
    </row>
    <row r="73" spans="1:16">
      <c r="A73" s="1645"/>
      <c r="B73" s="1680"/>
      <c r="C73" s="1653" t="s">
        <v>2277</v>
      </c>
      <c r="D73" s="1647"/>
      <c r="E73" s="1647"/>
      <c r="F73" s="1647"/>
      <c r="G73" s="1647"/>
      <c r="H73" s="1681">
        <f>SUM(H74:H75)</f>
        <v>24</v>
      </c>
      <c r="I73" s="1681">
        <f>SUM(I74:I75)</f>
        <v>0</v>
      </c>
      <c r="J73" s="1645"/>
      <c r="K73" s="1653" t="s">
        <v>2773</v>
      </c>
      <c r="L73" s="1647"/>
      <c r="M73" s="1647"/>
      <c r="N73" s="1647"/>
      <c r="O73" s="1647"/>
      <c r="P73" s="1681">
        <f>'Part VI-Revenues &amp; Expenses'!$O$152</f>
        <v>224252</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24</v>
      </c>
      <c r="I75" s="1681">
        <f>'Part VI-Revenues &amp; Expenses'!$O$83</f>
        <v>0</v>
      </c>
      <c r="J75" s="1647"/>
      <c r="K75" s="1653" t="s">
        <v>2775</v>
      </c>
      <c r="L75" s="1647"/>
      <c r="M75" s="1647"/>
      <c r="N75" s="1647"/>
      <c r="O75" s="1647"/>
      <c r="P75" s="1681">
        <f>P73+P74</f>
        <v>224252</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24</v>
      </c>
      <c r="I77" s="1647"/>
      <c r="J77" s="1645"/>
      <c r="K77" s="1653" t="s">
        <v>1420</v>
      </c>
      <c r="L77" s="1647"/>
      <c r="M77" s="1647"/>
      <c r="N77" s="1647"/>
      <c r="O77" s="1647"/>
      <c r="P77" s="1681">
        <f>+P75+P76</f>
        <v>224252</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24</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9</v>
      </c>
      <c r="I81" s="1647"/>
      <c r="J81" s="1647"/>
      <c r="K81" s="1653" t="s">
        <v>4060</v>
      </c>
      <c r="L81" s="1647"/>
      <c r="M81" s="1647"/>
      <c r="N81" s="1647"/>
      <c r="O81" s="1647"/>
      <c r="P81" s="1681">
        <f>'Part I-Project Information'!P74</f>
        <v>4500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228752</v>
      </c>
    </row>
    <row r="83" spans="1:16">
      <c r="A83" s="1645"/>
      <c r="B83" s="1645"/>
      <c r="C83" s="1647"/>
      <c r="D83" s="1680" t="s">
        <v>1998</v>
      </c>
      <c r="E83" s="1647"/>
      <c r="F83" s="1647"/>
      <c r="G83" s="1647"/>
      <c r="H83" s="1681">
        <f>+H81+H82</f>
        <v>9</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305</v>
      </c>
      <c r="I85" s="1647"/>
      <c r="J85" s="1647"/>
      <c r="K85" s="1682" t="s">
        <v>3853</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4491</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3873</v>
      </c>
      <c r="I91" s="1682"/>
      <c r="J91" s="1647"/>
      <c r="K91" s="1685" t="s">
        <v>2911</v>
      </c>
      <c r="L91" s="1681">
        <f>'Part I-Project Information'!M84</f>
        <v>0</v>
      </c>
      <c r="M91" s="1685" t="s">
        <v>2912</v>
      </c>
      <c r="N91" s="1681">
        <f>'Part I-Project Information'!O84</f>
        <v>0</v>
      </c>
      <c r="O91" s="1647"/>
      <c r="P91" s="1657" t="s">
        <v>3875</v>
      </c>
    </row>
    <row r="92" spans="1:16">
      <c r="A92" s="1645"/>
      <c r="B92" s="1645"/>
      <c r="C92" s="1647"/>
      <c r="D92" s="1654"/>
      <c r="E92" s="1684"/>
      <c r="F92" s="1647"/>
      <c r="G92" s="1647"/>
      <c r="H92" s="1682"/>
      <c r="I92" s="1682"/>
      <c r="J92" s="1647"/>
      <c r="K92" s="1657" t="s">
        <v>2913</v>
      </c>
      <c r="L92" s="1681">
        <f>'Part I-Project Information'!M85</f>
        <v>0</v>
      </c>
      <c r="M92" s="1657" t="s">
        <v>3874</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13</v>
      </c>
      <c r="I94" s="1647"/>
      <c r="J94" s="1647"/>
      <c r="K94" s="1647" t="s">
        <v>520</v>
      </c>
      <c r="L94" s="1647"/>
      <c r="M94" s="1647"/>
      <c r="N94" s="1686">
        <f>IF('Part VI-Revenues &amp; Expenses'!$O$67=0,0,H94/'Part VI-Revenues &amp; Expenses'!$O$67)</f>
        <v>5.3278688524590161E-2</v>
      </c>
      <c r="O94" s="1657" t="s">
        <v>3695</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3695</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3898</v>
      </c>
      <c r="L107" s="1651" t="str">
        <f>'Part I-Project Information'!H101</f>
        <v>No</v>
      </c>
      <c r="M107" s="1647"/>
      <c r="N107" s="1647"/>
      <c r="O107" s="1657" t="s">
        <v>3892</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f>'Part I-Project Information'!E109</f>
        <v>0</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44147</v>
      </c>
      <c r="P115" s="2123">
        <f>'Part I-Project Information'!P109</f>
        <v>0</v>
      </c>
    </row>
    <row r="116" spans="1:16">
      <c r="A116" s="1647"/>
      <c r="B116" s="1647"/>
      <c r="C116" s="1654" t="s">
        <v>1021</v>
      </c>
      <c r="D116" s="1657"/>
      <c r="E116" s="1647" t="str">
        <f>'Part I-Project Information'!E110</f>
        <v>Business and Industrial Development Authority of College Park. 3667 Main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College Park</v>
      </c>
      <c r="F117" s="1665">
        <f>'Part I-Project Information'!F111</f>
        <v>0</v>
      </c>
      <c r="G117" s="1665">
        <f>'Part I-Project Information'!G111</f>
        <v>0</v>
      </c>
      <c r="H117" s="1651" t="s">
        <v>1799</v>
      </c>
      <c r="I117" s="1651" t="str">
        <f>'Part I-Project Information'!I111</f>
        <v>GA</v>
      </c>
      <c r="J117" s="1651" t="s">
        <v>2229</v>
      </c>
      <c r="K117" s="2115"/>
      <c r="L117" s="1665"/>
      <c r="M117" s="1653" t="s">
        <v>3663</v>
      </c>
      <c r="N117" s="1653"/>
      <c r="O117" s="1766">
        <f>'Part I-Project Information'!O111</f>
        <v>30000000</v>
      </c>
      <c r="P117" s="1766">
        <f>'Part I-Project Information'!P111</f>
        <v>0</v>
      </c>
    </row>
    <row r="118" spans="1:16">
      <c r="A118" s="1647"/>
      <c r="B118" s="1647"/>
      <c r="C118" s="1647" t="s">
        <v>2194</v>
      </c>
      <c r="D118" s="1647"/>
      <c r="E118" s="1647" t="str">
        <f>'Part I-Project Information'!E112</f>
        <v>Tasha Hall Garrison</v>
      </c>
      <c r="F118" s="1665">
        <f>'Part I-Project Information'!F112</f>
        <v>0</v>
      </c>
      <c r="G118" s="1665">
        <f>'Part I-Project Information'!G112</f>
        <v>0</v>
      </c>
      <c r="H118" s="1651" t="s">
        <v>1980</v>
      </c>
      <c r="I118" s="1647" t="str">
        <f>'Part I-Project Information'!I112</f>
        <v>Economic Development Program Manager</v>
      </c>
      <c r="J118" s="1665">
        <f>'Part I-Project Information'!J112</f>
        <v>0</v>
      </c>
      <c r="K118" s="1665">
        <f>'Part I-Project Information'!K112</f>
        <v>0</v>
      </c>
      <c r="L118" s="1651" t="s">
        <v>1984</v>
      </c>
      <c r="M118" s="1647" t="str">
        <f>'Part I-Project Information'!M112</f>
        <v>tgarrison@collegeparkga.com</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4043052052</v>
      </c>
      <c r="F119" s="2116">
        <f>'Part I-Project Information'!F113</f>
        <v>0</v>
      </c>
      <c r="G119" s="2116">
        <f>'Part I-Project Information'!G113</f>
        <v>0</v>
      </c>
      <c r="H119" s="1651" t="s">
        <v>1802</v>
      </c>
      <c r="I119" s="2116">
        <f>'Part I-Project Information'!I113</f>
        <v>4048313996</v>
      </c>
      <c r="J119" s="1665">
        <f>'Part I-Project Information'!J113</f>
        <v>0</v>
      </c>
      <c r="K119" s="1651" t="s">
        <v>2704</v>
      </c>
      <c r="L119" s="2023" t="str">
        <f>'Part I-Project Information'!L113</f>
        <v>https://www.collegeparkga.com/departments/economic_development/business___industrial_development_authority</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4492</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f>'Part I-Project Information'!I160</f>
        <v>0</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4493</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Yes</v>
      </c>
      <c r="J176" s="1665" t="s">
        <v>761</v>
      </c>
      <c r="K176" s="1665"/>
      <c r="L176" s="1661">
        <f>'Part I-Project Information'!L172</f>
        <v>2042</v>
      </c>
      <c r="M176" s="1647" t="s">
        <v>2326</v>
      </c>
      <c r="N176" s="1647"/>
      <c r="O176" s="1647"/>
      <c r="P176" s="1736">
        <f>'Part I-Project Information'!P172</f>
        <v>5</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f>'Part I-Project Information'!I174</f>
        <v>0</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f>'Part I-Project Information'!I176</f>
        <v>0</v>
      </c>
      <c r="J180" s="1696" t="s">
        <v>2753</v>
      </c>
      <c r="K180" s="1647"/>
      <c r="L180" s="1665" t="s">
        <v>4494</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44910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 xml:space="preserve">The applicant had to increase the density from 240 to 244 units from the time of pre-application to the full application.
Applicant is choosing to extend its right a qualified contract for five years, in compliance with the Bond Threshold.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Somersby,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4459</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4256</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Somersby Family I,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Wiley A. Tucker, III</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3715 Northside Pkwy Bldg 200 Ste 175</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Atlanta</v>
      </c>
      <c r="I210" s="1647">
        <f>'Part II-Development Team'!I7</f>
        <v>0</v>
      </c>
      <c r="J210" s="1647">
        <f>'Part II-Development Team'!J7</f>
        <v>0</v>
      </c>
      <c r="K210" s="1651" t="s">
        <v>762</v>
      </c>
      <c r="L210" s="1647" t="str">
        <f>'Part II-Development Team'!L7</f>
        <v>85-3897847</v>
      </c>
      <c r="M210" s="1647">
        <f>'Part II-Development Team'!M7</f>
        <v>0</v>
      </c>
      <c r="N210" s="1647">
        <f>'Part II-Development Team'!N7</f>
        <v>0</v>
      </c>
      <c r="O210" s="1654" t="s">
        <v>1721</v>
      </c>
      <c r="P210" s="1647"/>
      <c r="Q210" s="2116">
        <f>'Part II-Development Team'!Q7</f>
        <v>4049493871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GA</v>
      </c>
      <c r="I211" s="1651" t="s">
        <v>2229</v>
      </c>
      <c r="J211" s="2115">
        <f>'Part II-Development Team'!J8</f>
        <v>303272800</v>
      </c>
      <c r="K211" s="2115">
        <f>'Part II-Development Team'!K8</f>
        <v>0</v>
      </c>
      <c r="L211" s="1647" t="s">
        <v>3687</v>
      </c>
      <c r="M211" s="1647" t="str">
        <f>'Part II-Development Team'!M8</f>
        <v>For Profit</v>
      </c>
      <c r="N211" s="1647">
        <f>'Part II-Development Team'!N8</f>
        <v>0</v>
      </c>
      <c r="O211" s="1654" t="s">
        <v>1979</v>
      </c>
      <c r="P211" s="1647"/>
      <c r="Q211" s="2116">
        <f>'Part II-Development Team'!Q8</f>
        <v>4049663824</v>
      </c>
      <c r="R211" s="2116">
        <f>'Part II-Development Team'!R8</f>
        <v>0</v>
      </c>
      <c r="S211" s="2116">
        <f>'Part II-Development Team'!S8</f>
        <v>0</v>
      </c>
    </row>
    <row r="212" spans="1:19">
      <c r="A212" s="1647"/>
      <c r="B212" s="1647"/>
      <c r="C212" s="1647"/>
      <c r="D212" s="1699"/>
      <c r="E212" s="1654" t="s">
        <v>4257</v>
      </c>
      <c r="F212" s="1647"/>
      <c r="G212" s="1647"/>
      <c r="H212" s="2116">
        <f>'Part II-Development Team'!H9</f>
        <v>4049493871</v>
      </c>
      <c r="I212" s="2116">
        <f>'Part II-Development Team'!I9</f>
        <v>0</v>
      </c>
      <c r="J212" s="1661">
        <f>'Part II-Development Team'!J9</f>
        <v>0</v>
      </c>
      <c r="K212" s="1651" t="s">
        <v>1984</v>
      </c>
      <c r="L212" s="2023" t="str">
        <f>'Part II-Development Team'!L9</f>
        <v>jody@prestwickcompanies.com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4256</v>
      </c>
      <c r="F213" s="1647"/>
      <c r="G213" s="1647"/>
      <c r="H213" s="1695"/>
      <c r="I213" s="1647"/>
      <c r="J213" s="1647"/>
      <c r="K213" s="1710"/>
      <c r="L213" s="1647"/>
      <c r="M213" s="1647"/>
      <c r="N213" s="1628" t="s">
        <v>4495</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Somersby Family I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Wiley A. Tucker, III</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3715 Northside Pkwy Bldg 200 Ste 175</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Atlanta</v>
      </c>
      <c r="I219" s="1647">
        <f>'Part II-Development Team'!I16</f>
        <v>0</v>
      </c>
      <c r="J219" s="1647">
        <f>'Part II-Development Team'!J16</f>
        <v>0</v>
      </c>
      <c r="K219" s="1651" t="s">
        <v>2704</v>
      </c>
      <c r="L219" s="1647" t="str">
        <f>'Part II-Development Team'!L16</f>
        <v>N/A</v>
      </c>
      <c r="M219" s="1647">
        <f>'Part II-Development Team'!M16</f>
        <v>0</v>
      </c>
      <c r="N219" s="1647">
        <f>'Part II-Development Team'!N16</f>
        <v>0</v>
      </c>
      <c r="O219" s="1654" t="s">
        <v>1721</v>
      </c>
      <c r="P219" s="1647"/>
      <c r="Q219" s="2116">
        <f>'Part II-Development Team'!Q16</f>
        <v>4049493871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GA</v>
      </c>
      <c r="I220" s="1647"/>
      <c r="J220" s="1647"/>
      <c r="K220" s="1651" t="s">
        <v>2229</v>
      </c>
      <c r="L220" s="2115">
        <f>'Part II-Development Team'!L17</f>
        <v>303272800</v>
      </c>
      <c r="M220" s="2115">
        <f>'Part II-Development Team'!M17</f>
        <v>0</v>
      </c>
      <c r="N220" s="1647"/>
      <c r="O220" s="1654" t="s">
        <v>1979</v>
      </c>
      <c r="P220" s="1647"/>
      <c r="Q220" s="2116">
        <f>'Part II-Development Team'!Q17</f>
        <v>4049663824</v>
      </c>
      <c r="R220" s="2116">
        <f>'Part II-Development Team'!R17</f>
        <v>0</v>
      </c>
      <c r="S220" s="2116">
        <f>'Part II-Development Team'!S17</f>
        <v>0</v>
      </c>
    </row>
    <row r="221" spans="1:19">
      <c r="A221" s="1647"/>
      <c r="B221" s="1647"/>
      <c r="C221" s="1647"/>
      <c r="D221" s="1699"/>
      <c r="E221" s="1654" t="s">
        <v>4257</v>
      </c>
      <c r="F221" s="1647"/>
      <c r="G221" s="1647"/>
      <c r="H221" s="2116">
        <f>'Part II-Development Team'!H18</f>
        <v>4049493871</v>
      </c>
      <c r="I221" s="2116">
        <f>'Part II-Development Team'!I18</f>
        <v>0</v>
      </c>
      <c r="J221" s="1661">
        <f>'Part II-Development Team'!J18</f>
        <v>0</v>
      </c>
      <c r="K221" s="1651" t="s">
        <v>1984</v>
      </c>
      <c r="L221" s="2023" t="str">
        <f>'Part II-Development Team'!L18</f>
        <v>jody@prestwickcompanies.com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4257</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4257</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4256</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Truist Community Capital</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Brian Womble</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1155 Peachtree Street NE Suite 300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Senior 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Atlanta</v>
      </c>
      <c r="I238" s="1647">
        <f>'Part II-Development Team'!I35</f>
        <v>0</v>
      </c>
      <c r="J238" s="1647">
        <f>'Part II-Development Team'!J35</f>
        <v>0</v>
      </c>
      <c r="K238" s="1651" t="s">
        <v>2704</v>
      </c>
      <c r="L238" s="1647" t="str">
        <f>'Part II-Development Team'!L35</f>
        <v>www.truist.com</v>
      </c>
      <c r="M238" s="1647">
        <f>'Part II-Development Team'!M35</f>
        <v>0</v>
      </c>
      <c r="N238" s="1647">
        <f>'Part II-Development Team'!N35</f>
        <v>0</v>
      </c>
      <c r="O238" s="1654" t="s">
        <v>1721</v>
      </c>
      <c r="P238" s="1647"/>
      <c r="Q238" s="2116">
        <f>'Part II-Development Team'!Q35</f>
        <v>4045888775</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GA</v>
      </c>
      <c r="I239" s="1647"/>
      <c r="J239" s="1647"/>
      <c r="K239" s="1651" t="s">
        <v>2229</v>
      </c>
      <c r="L239" s="2115">
        <f>'Part II-Development Team'!L36</f>
        <v>303097629</v>
      </c>
      <c r="M239" s="2115">
        <f>'Part II-Development Team'!M36</f>
        <v>0</v>
      </c>
      <c r="N239" s="1647"/>
      <c r="O239" s="1654" t="s">
        <v>1979</v>
      </c>
      <c r="P239" s="1647"/>
      <c r="Q239" s="2116">
        <f>'Part II-Development Team'!Q36</f>
        <v>7706390087</v>
      </c>
      <c r="R239" s="2116">
        <f>'Part II-Development Team'!R36</f>
        <v>0</v>
      </c>
      <c r="S239" s="2116">
        <f>'Part II-Development Team'!S36</f>
        <v>0</v>
      </c>
    </row>
    <row r="240" spans="1:19">
      <c r="A240" s="1647"/>
      <c r="B240" s="1647"/>
      <c r="C240" s="1647"/>
      <c r="D240" s="1699"/>
      <c r="E240" s="1654" t="s">
        <v>4257</v>
      </c>
      <c r="F240" s="1647"/>
      <c r="G240" s="1647"/>
      <c r="H240" s="2116">
        <f>'Part II-Development Team'!H37</f>
        <v>4045888775</v>
      </c>
      <c r="I240" s="2116">
        <f>'Part II-Development Team'!I37</f>
        <v>0</v>
      </c>
      <c r="J240" s="1661">
        <f>'Part II-Development Team'!J37</f>
        <v>0</v>
      </c>
      <c r="K240" s="1651" t="s">
        <v>1984</v>
      </c>
      <c r="L240" s="2023" t="str">
        <f>'Part II-Development Team'!L37</f>
        <v>brian.womble@suntrust.com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Truist Community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Brian Womble</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1155 Peachtree Street NE Suite 300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Senior 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2704</v>
      </c>
      <c r="L244" s="1647" t="str">
        <f>'Part II-Development Team'!L41</f>
        <v>www.truist.com</v>
      </c>
      <c r="M244" s="1647">
        <f>'Part II-Development Team'!M41</f>
        <v>0</v>
      </c>
      <c r="N244" s="1647">
        <f>'Part II-Development Team'!N41</f>
        <v>0</v>
      </c>
      <c r="O244" s="1654" t="s">
        <v>1721</v>
      </c>
      <c r="P244" s="1647"/>
      <c r="Q244" s="2116">
        <f>'Part II-Development Team'!Q41</f>
        <v>4045888775</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2229</v>
      </c>
      <c r="L245" s="2115">
        <f>'Part II-Development Team'!L42</f>
        <v>303097629</v>
      </c>
      <c r="M245" s="2115">
        <f>'Part II-Development Team'!M42</f>
        <v>0</v>
      </c>
      <c r="N245" s="1647"/>
      <c r="O245" s="1654" t="s">
        <v>1979</v>
      </c>
      <c r="P245" s="1647"/>
      <c r="Q245" s="2116">
        <f>'Part II-Development Team'!Q42</f>
        <v>7706390087</v>
      </c>
      <c r="R245" s="2116">
        <f>'Part II-Development Team'!R42</f>
        <v>0</v>
      </c>
      <c r="S245" s="2116">
        <f>'Part II-Development Team'!S42</f>
        <v>0</v>
      </c>
    </row>
    <row r="246" spans="1:19">
      <c r="A246" s="1647"/>
      <c r="B246" s="1647"/>
      <c r="C246" s="1647"/>
      <c r="D246" s="1699"/>
      <c r="E246" s="1654" t="s">
        <v>4257</v>
      </c>
      <c r="F246" s="1647"/>
      <c r="G246" s="1647"/>
      <c r="H246" s="2116">
        <f>'Part II-Development Team'!H43</f>
        <v>4045888775</v>
      </c>
      <c r="I246" s="2116">
        <f>'Part II-Development Team'!I43</f>
        <v>0</v>
      </c>
      <c r="J246" s="1661">
        <f>'Part II-Development Team'!J43</f>
        <v>0</v>
      </c>
      <c r="K246" s="1651" t="s">
        <v>1984</v>
      </c>
      <c r="L246" s="2023" t="str">
        <f>'Part II-Development Team'!L43</f>
        <v>brian.womble@suntrust.com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4256</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4257</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4256</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Prestwick Development Company,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Wiley A. Tucker, III</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3715 Northside Pkwy, Bldg 200, Ste 175</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Manager</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Atlanta</v>
      </c>
      <c r="I259" s="1647">
        <f>'Part II-Development Team'!I56</f>
        <v>0</v>
      </c>
      <c r="J259" s="1647">
        <f>'Part II-Development Team'!J56</f>
        <v>0</v>
      </c>
      <c r="K259" s="1651" t="s">
        <v>2704</v>
      </c>
      <c r="L259" s="1647" t="str">
        <f>'Part II-Development Team'!L56</f>
        <v>www.prestwickcompanies.com</v>
      </c>
      <c r="M259" s="1647">
        <f>'Part II-Development Team'!M56</f>
        <v>0</v>
      </c>
      <c r="N259" s="1647">
        <f>'Part II-Development Team'!N56</f>
        <v>0</v>
      </c>
      <c r="O259" s="1654" t="s">
        <v>1721</v>
      </c>
      <c r="P259" s="1647"/>
      <c r="Q259" s="2116">
        <f>'Part II-Development Team'!Q56</f>
        <v>4049493871</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GA</v>
      </c>
      <c r="I260" s="1647"/>
      <c r="J260" s="1647"/>
      <c r="K260" s="1651" t="s">
        <v>2229</v>
      </c>
      <c r="L260" s="2115">
        <f>'Part II-Development Team'!L57</f>
        <v>303272800</v>
      </c>
      <c r="M260" s="2115">
        <f>'Part II-Development Team'!M57</f>
        <v>0</v>
      </c>
      <c r="N260" s="1647"/>
      <c r="O260" s="1654" t="s">
        <v>1979</v>
      </c>
      <c r="P260" s="1647"/>
      <c r="Q260" s="2116">
        <f>'Part II-Development Team'!Q57</f>
        <v>4049663824</v>
      </c>
      <c r="R260" s="2116">
        <f>'Part II-Development Team'!R57</f>
        <v>0</v>
      </c>
      <c r="S260" s="2116">
        <f>'Part II-Development Team'!S57</f>
        <v>0</v>
      </c>
    </row>
    <row r="261" spans="1:19">
      <c r="A261" s="1647"/>
      <c r="B261" s="1647"/>
      <c r="C261" s="1647"/>
      <c r="D261" s="1699"/>
      <c r="E261" s="1654" t="s">
        <v>4257</v>
      </c>
      <c r="F261" s="1647"/>
      <c r="G261" s="1647"/>
      <c r="H261" s="2116">
        <f>'Part II-Development Team'!H58</f>
        <v>4049493871</v>
      </c>
      <c r="I261" s="2116">
        <f>'Part II-Development Team'!I58</f>
        <v>0</v>
      </c>
      <c r="J261" s="1661">
        <f>'Part II-Development Team'!J58</f>
        <v>0</v>
      </c>
      <c r="K261" s="1651" t="s">
        <v>1984</v>
      </c>
      <c r="L261" s="2023" t="str">
        <f>'Part II-Development Team'!L58</f>
        <v>jody@prestwickcompanies.com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4257</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4257</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4257</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4256</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4257</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Prestwick Construction Company,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Ray Dotson</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3715 Northside Pkwy, Bldg 400, Ste 120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Atlanta</v>
      </c>
      <c r="I291" s="1647">
        <f>'Part II-Development Team'!I88</f>
        <v>0</v>
      </c>
      <c r="J291" s="1647">
        <f>'Part II-Development Team'!J88</f>
        <v>0</v>
      </c>
      <c r="K291" s="1651" t="s">
        <v>2704</v>
      </c>
      <c r="L291" s="1647" t="str">
        <f>'Part II-Development Team'!L88</f>
        <v>www.prestwickcompanies.com</v>
      </c>
      <c r="M291" s="1647">
        <f>'Part II-Development Team'!M88</f>
        <v>0</v>
      </c>
      <c r="N291" s="1647">
        <f>'Part II-Development Team'!N88</f>
        <v>0</v>
      </c>
      <c r="O291" s="1654" t="s">
        <v>1721</v>
      </c>
      <c r="P291" s="1647"/>
      <c r="Q291" s="2116">
        <f>'Part II-Development Team'!Q88</f>
        <v>4049493882</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GA</v>
      </c>
      <c r="I292" s="1647"/>
      <c r="J292" s="1647"/>
      <c r="K292" s="1651" t="s">
        <v>2229</v>
      </c>
      <c r="L292" s="2115">
        <f>'Part II-Development Team'!L89</f>
        <v>303272800</v>
      </c>
      <c r="M292" s="2115">
        <f>'Part II-Development Team'!M89</f>
        <v>0</v>
      </c>
      <c r="N292" s="1647"/>
      <c r="O292" s="1654" t="s">
        <v>1979</v>
      </c>
      <c r="P292" s="1647"/>
      <c r="Q292" s="2116">
        <f>'Part II-Development Team'!Q89</f>
        <v>4043761063</v>
      </c>
      <c r="R292" s="2116">
        <f>'Part II-Development Team'!R89</f>
        <v>0</v>
      </c>
      <c r="S292" s="2116">
        <f>'Part II-Development Team'!S89</f>
        <v>0</v>
      </c>
    </row>
    <row r="293" spans="1:19">
      <c r="A293" s="1647"/>
      <c r="B293" s="1647"/>
      <c r="C293" s="1647"/>
      <c r="D293" s="1699"/>
      <c r="E293" s="1654" t="s">
        <v>4257</v>
      </c>
      <c r="F293" s="1647"/>
      <c r="G293" s="1647"/>
      <c r="H293" s="2116">
        <f>'Part II-Development Team'!H90</f>
        <v>4049493882</v>
      </c>
      <c r="I293" s="2116">
        <f>'Part II-Development Team'!I90</f>
        <v>0</v>
      </c>
      <c r="J293" s="1661">
        <f>'Part II-Development Team'!J90</f>
        <v>0</v>
      </c>
      <c r="K293" s="1651" t="s">
        <v>1984</v>
      </c>
      <c r="L293" s="2023" t="str">
        <f>'Part II-Development Team'!L90</f>
        <v>ray@prestwickcompanies.com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Elmington Property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Brad Cather</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118 16th Ave S #200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Vice 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Nashville</v>
      </c>
      <c r="I297" s="1647">
        <f>'Part II-Development Team'!I94</f>
        <v>0</v>
      </c>
      <c r="J297" s="1647">
        <f>'Part II-Development Team'!J94</f>
        <v>0</v>
      </c>
      <c r="K297" s="1651" t="s">
        <v>2704</v>
      </c>
      <c r="L297" s="1647" t="str">
        <f>'Part II-Development Team'!L94</f>
        <v>www.oneelmington.com</v>
      </c>
      <c r="M297" s="1647">
        <f>'Part II-Development Team'!M94</f>
        <v>0</v>
      </c>
      <c r="N297" s="1647">
        <f>'Part II-Development Team'!N94</f>
        <v>0</v>
      </c>
      <c r="O297" s="1654" t="s">
        <v>1721</v>
      </c>
      <c r="P297" s="1647"/>
      <c r="Q297" s="2116">
        <f>'Part II-Development Team'!Q94</f>
        <v>6154906721</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TN</v>
      </c>
      <c r="I298" s="1647"/>
      <c r="J298" s="1647"/>
      <c r="K298" s="1651" t="s">
        <v>2229</v>
      </c>
      <c r="L298" s="2115">
        <f>'Part II-Development Team'!L95</f>
        <v>372033100</v>
      </c>
      <c r="M298" s="2115">
        <f>'Part II-Development Team'!M95</f>
        <v>0</v>
      </c>
      <c r="N298" s="1647"/>
      <c r="O298" s="1654" t="s">
        <v>1979</v>
      </c>
      <c r="P298" s="1647"/>
      <c r="Q298" s="2116">
        <f>'Part II-Development Team'!Q95</f>
        <v>6159696667</v>
      </c>
      <c r="R298" s="2116">
        <f>'Part II-Development Team'!R95</f>
        <v>0</v>
      </c>
      <c r="S298" s="2116">
        <f>'Part II-Development Team'!S95</f>
        <v>0</v>
      </c>
    </row>
    <row r="299" spans="1:19">
      <c r="A299" s="1647"/>
      <c r="B299" s="1647"/>
      <c r="C299" s="1647"/>
      <c r="D299" s="1699"/>
      <c r="E299" s="1654" t="s">
        <v>4257</v>
      </c>
      <c r="F299" s="1647"/>
      <c r="G299" s="1647"/>
      <c r="H299" s="2116">
        <f>'Part II-Development Team'!H96</f>
        <v>6154906700</v>
      </c>
      <c r="I299" s="2116">
        <f>'Part II-Development Team'!I96</f>
        <v>0</v>
      </c>
      <c r="J299" s="1661">
        <f>'Part II-Development Team'!J96</f>
        <v>0</v>
      </c>
      <c r="K299" s="1651" t="s">
        <v>1984</v>
      </c>
      <c r="L299" s="2023" t="str">
        <f>'Part II-Development Team'!L96</f>
        <v>bcather@elmingtonpm.com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Arnall Golden Gregory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Jeff Adams</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171 17th Street</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2704</v>
      </c>
      <c r="L303" s="1647" t="str">
        <f>'Part II-Development Team'!L100</f>
        <v>www.agg.com</v>
      </c>
      <c r="M303" s="1647">
        <f>'Part II-Development Team'!M100</f>
        <v>0</v>
      </c>
      <c r="N303" s="1647">
        <f>'Part II-Development Team'!N100</f>
        <v>0</v>
      </c>
      <c r="O303" s="1654" t="s">
        <v>1721</v>
      </c>
      <c r="P303" s="1647"/>
      <c r="Q303" s="2116">
        <f>'Part II-Development Team'!Q100</f>
        <v>4048737014</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2229</v>
      </c>
      <c r="L304" s="2115">
        <f>'Part II-Development Team'!L101</f>
        <v>303631031</v>
      </c>
      <c r="M304" s="2115">
        <f>'Part II-Development Team'!M101</f>
        <v>0</v>
      </c>
      <c r="N304" s="1647"/>
      <c r="O304" s="1654" t="s">
        <v>1979</v>
      </c>
      <c r="P304" s="1647"/>
      <c r="Q304" s="2116">
        <f>'Part II-Development Team'!Q101</f>
        <v>4042340004</v>
      </c>
      <c r="R304" s="2116">
        <f>'Part II-Development Team'!R101</f>
        <v>0</v>
      </c>
      <c r="S304" s="2116">
        <f>'Part II-Development Team'!S101</f>
        <v>0</v>
      </c>
    </row>
    <row r="305" spans="1:19">
      <c r="A305" s="1653"/>
      <c r="B305" s="1653"/>
      <c r="C305" s="1653"/>
      <c r="D305" s="1653"/>
      <c r="E305" s="1654" t="s">
        <v>4257</v>
      </c>
      <c r="F305" s="1647"/>
      <c r="G305" s="1647"/>
      <c r="H305" s="2116">
        <f>'Part II-Development Team'!H102</f>
        <v>4048737014</v>
      </c>
      <c r="I305" s="2116">
        <f>'Part II-Development Team'!I102</f>
        <v>0</v>
      </c>
      <c r="J305" s="1661">
        <f>'Part II-Development Team'!J102</f>
        <v>0</v>
      </c>
      <c r="K305" s="1651" t="s">
        <v>1984</v>
      </c>
      <c r="L305" s="2023" t="str">
        <f>'Part II-Development Team'!L102</f>
        <v>jeff.adams@agg.com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Cohn Reznick</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Julie McNulty</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2560 Lenox Road, Suite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Atlanta</v>
      </c>
      <c r="I309" s="1647">
        <f>'Part II-Development Team'!I106</f>
        <v>0</v>
      </c>
      <c r="J309" s="1647">
        <f>'Part II-Development Team'!J106</f>
        <v>0</v>
      </c>
      <c r="K309" s="1651" t="s">
        <v>2704</v>
      </c>
      <c r="L309" s="1647" t="str">
        <f>'Part II-Development Team'!L106</f>
        <v>www.cohnreznick.com</v>
      </c>
      <c r="M309" s="1647">
        <f>'Part II-Development Team'!M106</f>
        <v>0</v>
      </c>
      <c r="N309" s="1647">
        <f>'Part II-Development Team'!N106</f>
        <v>0</v>
      </c>
      <c r="O309" s="1654" t="s">
        <v>1721</v>
      </c>
      <c r="P309" s="1647"/>
      <c r="Q309" s="2116">
        <f>'Part II-Development Team'!Q106</f>
        <v>4048479447</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GA</v>
      </c>
      <c r="I310" s="1647"/>
      <c r="J310" s="1647"/>
      <c r="K310" s="1651" t="s">
        <v>2229</v>
      </c>
      <c r="L310" s="2115">
        <f>'Part II-Development Team'!L107</f>
        <v>303264726</v>
      </c>
      <c r="M310" s="2115">
        <f>'Part II-Development Team'!M107</f>
        <v>0</v>
      </c>
      <c r="N310" s="1647"/>
      <c r="O310" s="1654" t="s">
        <v>1979</v>
      </c>
      <c r="P310" s="1647"/>
      <c r="Q310" s="2116">
        <f>'Part II-Development Team'!Q107</f>
        <v>6785760400</v>
      </c>
      <c r="R310" s="2116">
        <f>'Part II-Development Team'!R107</f>
        <v>0</v>
      </c>
      <c r="S310" s="2116">
        <f>'Part II-Development Team'!S107</f>
        <v>0</v>
      </c>
    </row>
    <row r="311" spans="1:19">
      <c r="A311" s="1653"/>
      <c r="B311" s="1653"/>
      <c r="C311" s="1653"/>
      <c r="D311" s="1653"/>
      <c r="E311" s="1654" t="s">
        <v>4257</v>
      </c>
      <c r="F311" s="1647"/>
      <c r="G311" s="1647"/>
      <c r="H311" s="2116">
        <f>'Part II-Development Team'!H108</f>
        <v>4048479447</v>
      </c>
      <c r="I311" s="2116">
        <f>'Part II-Development Team'!I108</f>
        <v>0</v>
      </c>
      <c r="J311" s="1661">
        <f>'Part II-Development Team'!J108</f>
        <v>0</v>
      </c>
      <c r="K311" s="1651" t="s">
        <v>1984</v>
      </c>
      <c r="L311" s="2023" t="str">
        <f>'Part II-Development Team'!L108</f>
        <v>julie.mcnulty@cohnreznick.com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Geheber Lewis Associates LLC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Fred Geheber</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643 11th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Partner</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2704</v>
      </c>
      <c r="L315" s="1647" t="str">
        <f>'Part II-Development Team'!L112</f>
        <v>glaatl.com</v>
      </c>
      <c r="M315" s="1647">
        <f>'Part II-Development Team'!M112</f>
        <v>0</v>
      </c>
      <c r="N315" s="1647">
        <f>'Part II-Development Team'!N112</f>
        <v>0</v>
      </c>
      <c r="O315" s="1654" t="s">
        <v>1721</v>
      </c>
      <c r="P315" s="1647"/>
      <c r="Q315" s="2116">
        <f>'Part II-Development Team'!Q112</f>
        <v>4042281958</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303185419</v>
      </c>
      <c r="M316" s="2115">
        <f>'Part II-Development Team'!M113</f>
        <v>0</v>
      </c>
      <c r="N316" s="1647"/>
      <c r="O316" s="1654" t="s">
        <v>1979</v>
      </c>
      <c r="P316" s="1647"/>
      <c r="Q316" s="2116">
        <f>'Part II-Development Team'!Q113</f>
        <v>4047979944</v>
      </c>
      <c r="R316" s="2116">
        <f>'Part II-Development Team'!R113</f>
        <v>0</v>
      </c>
      <c r="S316" s="2116">
        <f>'Part II-Development Team'!S113</f>
        <v>0</v>
      </c>
    </row>
    <row r="317" spans="1:19">
      <c r="A317" s="1647"/>
      <c r="B317" s="1647"/>
      <c r="C317" s="1647"/>
      <c r="D317" s="1699"/>
      <c r="E317" s="1654" t="s">
        <v>4257</v>
      </c>
      <c r="F317" s="1647"/>
      <c r="G317" s="1647"/>
      <c r="H317" s="2116">
        <f>'Part II-Development Team'!H114</f>
        <v>4042281958</v>
      </c>
      <c r="I317" s="2116">
        <f>'Part II-Development Team'!I114</f>
        <v>0</v>
      </c>
      <c r="J317" s="1661">
        <f>'Part II-Development Team'!J114</f>
        <v>0</v>
      </c>
      <c r="K317" s="1651" t="s">
        <v>1984</v>
      </c>
      <c r="L317" s="2023" t="str">
        <f>'Part II-Development Team'!L114</f>
        <v>fgeheber@glaatl.com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4496</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3578</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3881</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Yes</v>
      </c>
      <c r="G325" s="1890" t="str">
        <f>'Part II-Development Team'!G122</f>
        <v>Some of the members of the Developer entity, Prestwick Development, LLC are also members of Prestwick Construction Company, LLC.</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Yes</v>
      </c>
      <c r="G327" s="1890" t="str">
        <f>'Part II-Development Team'!G124</f>
        <v>Some of the members of the General Partner entity, Somersby Family I GP, LLC are also members of Prestwick Construction Company, LLC.</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4497</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4498</v>
      </c>
      <c r="L336" s="1705" t="s">
        <v>4499</v>
      </c>
      <c r="M336" s="1705" t="s">
        <v>4500</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4501</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 xml:space="preserve">Some members of Prestwick Development Company, LLC are also members of both the GP entity and members of Prestwick Construction Company, the contractor </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78.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 xml:space="preserve">Some members of Prestwick Development Company, LLC are also members of both the GP entity and members of Prestwick Construction Company, the contractor </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f>'Part II-Development Team'!M146</f>
        <v>0</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f>'Part II-Development Team'!M149</f>
        <v>0</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78.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Yes</v>
      </c>
      <c r="N352" s="1890" t="str">
        <f>'Part II-Development Team'!N150</f>
        <v xml:space="preserve">Some members of Prestwick Development Company, LLC are also members of both the GP entity and members of Prestwick Construction Company, the contractor </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 xml:space="preserve">Some members of Prestwick Development Company, LLC are also members of both the GP entity and members of Prestwick Construction Company, LLC, the contractor for the project.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Somersby, College Park, Fulton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3888</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3885</v>
      </c>
      <c r="D370" s="1710"/>
      <c r="E370" s="1710"/>
      <c r="F370" s="1766">
        <f>'Part III-Sources of Funds'!I14</f>
        <v>30000000</v>
      </c>
      <c r="G370" s="1766">
        <f>'Part III-Sources of Funds'!J14</f>
        <v>0</v>
      </c>
      <c r="H370" s="1651" t="str">
        <f>'Part III-Sources of Funds'!L13</f>
        <v>No</v>
      </c>
      <c r="I370" s="1654" t="s">
        <v>3680</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3685</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3886</v>
      </c>
      <c r="D373" s="1710"/>
      <c r="E373" s="1710"/>
      <c r="F373" s="1710"/>
      <c r="G373" s="1711"/>
      <c r="H373" s="1651" t="str">
        <f>'Part III-Sources of Funds'!B13</f>
        <v>No</v>
      </c>
      <c r="I373" s="1647" t="s">
        <v>3719</v>
      </c>
      <c r="J373" s="1682"/>
      <c r="K373" s="1682"/>
      <c r="L373" s="1651" t="str">
        <f>'Part III-Sources of Funds'!E9</f>
        <v>No</v>
      </c>
      <c r="M373" s="1654" t="s">
        <v>3721</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4502</v>
      </c>
      <c r="D374" s="1647"/>
      <c r="E374" s="2132">
        <f>'Part III-Sources of Funds'!H5</f>
        <v>0</v>
      </c>
      <c r="F374" s="2111">
        <f>'Part III-Sources of Funds'!I5</f>
        <v>0</v>
      </c>
      <c r="G374" s="1710"/>
      <c r="H374" s="1651" t="str">
        <f>'Part III-Sources of Funds'!L6</f>
        <v>No</v>
      </c>
      <c r="I374" s="1647" t="s">
        <v>3724</v>
      </c>
      <c r="J374" s="1710"/>
      <c r="K374" s="1710"/>
      <c r="L374" s="1651" t="str">
        <f>'Part III-Sources of Funds'!L9</f>
        <v>No</v>
      </c>
      <c r="M374" s="1647" t="s">
        <v>3619</v>
      </c>
      <c r="N374" s="1710"/>
      <c r="O374" s="1710"/>
      <c r="P374" s="1710"/>
      <c r="Q374" s="1710"/>
    </row>
    <row r="375" spans="1:17" ht="13.5">
      <c r="A375" s="1645"/>
      <c r="B375" s="1651" t="str">
        <f>'Part III-Sources of Funds'!E6</f>
        <v>No</v>
      </c>
      <c r="C375" s="1654" t="s">
        <v>4503</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3720</v>
      </c>
      <c r="D376" s="1710"/>
      <c r="E376" s="1710" t="str">
        <f>'Part III-Sources of Funds'!H7</f>
        <v>Specify Other HOME Source here</v>
      </c>
      <c r="F376" s="1710">
        <f>'Part III-Sources of Funds'!I7</f>
        <v>0</v>
      </c>
      <c r="G376" s="1710">
        <f>'Part III-Sources of Funds'!J7</f>
        <v>0</v>
      </c>
      <c r="H376" s="1651" t="str">
        <f>'Part III-Sources of Funds'!L8</f>
        <v>No</v>
      </c>
      <c r="I376" s="1654" t="s">
        <v>3887</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3686</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Bank OZK</v>
      </c>
      <c r="I382" s="1703">
        <f>'Part III-Sources of Funds'!I20</f>
        <v>0</v>
      </c>
      <c r="J382" s="1703">
        <f>'Part III-Sources of Funds'!J20</f>
        <v>0</v>
      </c>
      <c r="K382" s="1703">
        <f>'Part III-Sources of Funds'!K20</f>
        <v>0</v>
      </c>
      <c r="L382" s="1729">
        <f>'Part III-Sources of Funds'!L20</f>
        <v>35778595</v>
      </c>
      <c r="M382" s="1729">
        <f>'Part III-Sources of Funds'!M20</f>
        <v>0</v>
      </c>
      <c r="N382" s="1712">
        <f>'Part III-Sources of Funds'!N20</f>
        <v>0.04</v>
      </c>
      <c r="O382" s="1712">
        <f>'Part III-Sources of Funds'!O20</f>
        <v>0</v>
      </c>
      <c r="P382" s="1784">
        <f>'Part III-Sources of Funds'!P20</f>
        <v>30</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38.25">
      <c r="A388" s="1647"/>
      <c r="B388" s="1647" t="s">
        <v>802</v>
      </c>
      <c r="C388" s="1647"/>
      <c r="D388" s="1647"/>
      <c r="E388" s="1647"/>
      <c r="F388" s="1710"/>
      <c r="G388" s="1710"/>
      <c r="H388" s="1703" t="str">
        <f>'Part III-Sources of Funds'!H26</f>
        <v>Truist Community Capital</v>
      </c>
      <c r="I388" s="1703">
        <f>'Part III-Sources of Funds'!I26</f>
        <v>0</v>
      </c>
      <c r="J388" s="1703">
        <f>'Part III-Sources of Funds'!J26</f>
        <v>0</v>
      </c>
      <c r="K388" s="1703">
        <f>'Part III-Sources of Funds'!K26</f>
        <v>0</v>
      </c>
      <c r="L388" s="1729">
        <f>'Part III-Sources of Funds'!L26</f>
        <v>9974556.3646079991</v>
      </c>
      <c r="M388" s="1729">
        <f>'Part III-Sources of Funds'!M26</f>
        <v>0</v>
      </c>
      <c r="N388" s="1647"/>
      <c r="O388" s="1647"/>
      <c r="P388" s="1647"/>
      <c r="Q388" s="1647"/>
    </row>
    <row r="389" spans="1:17" ht="38.25">
      <c r="A389" s="1647"/>
      <c r="B389" s="1647" t="s">
        <v>803</v>
      </c>
      <c r="C389" s="1647"/>
      <c r="D389" s="1647"/>
      <c r="E389" s="1647"/>
      <c r="F389" s="1710"/>
      <c r="G389" s="1710"/>
      <c r="H389" s="1703" t="str">
        <f>'Part III-Sources of Funds'!H27</f>
        <v>Truist Community Capital</v>
      </c>
      <c r="I389" s="1703">
        <f>'Part III-Sources of Funds'!I27</f>
        <v>0</v>
      </c>
      <c r="J389" s="1703">
        <f>'Part III-Sources of Funds'!J27</f>
        <v>0</v>
      </c>
      <c r="K389" s="1703">
        <f>'Part III-Sources of Funds'!K27</f>
        <v>0</v>
      </c>
      <c r="L389" s="1729">
        <f>'Part III-Sources of Funds'!L27</f>
        <v>6442545.2400000002</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52195696.604607999</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44736038.819839999</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7459657.7847680002</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2614</v>
      </c>
      <c r="C400" s="1647"/>
      <c r="D400" s="1647"/>
      <c r="E400" s="1703" t="str">
        <f>'Part III-Sources of Funds'!E38</f>
        <v>Bellwether Enterprise Freddie TEL</v>
      </c>
      <c r="F400" s="1703">
        <f>'Part III-Sources of Funds'!F38</f>
        <v>0</v>
      </c>
      <c r="G400" s="1703">
        <f>'Part III-Sources of Funds'!G38</f>
        <v>0</v>
      </c>
      <c r="H400" s="1703">
        <f>'Part III-Sources of Funds'!H38</f>
        <v>0</v>
      </c>
      <c r="I400" s="1779">
        <f>'Part III-Sources of Funds'!I38</f>
        <v>21063604.093558483</v>
      </c>
      <c r="J400" s="1647">
        <f>'Part III-Sources of Funds'!J38</f>
        <v>0</v>
      </c>
      <c r="K400" s="1716">
        <f>'Part III-Sources of Funds'!K38</f>
        <v>3.5999999999999997E-2</v>
      </c>
      <c r="L400" s="1651">
        <f>'Part III-Sources of Funds'!L38</f>
        <v>18</v>
      </c>
      <c r="M400" s="1651">
        <f>'Part III-Sources of Funds'!M38</f>
        <v>35</v>
      </c>
      <c r="N400" s="1717">
        <f>'Part III-Sources of Funds'!P38</f>
        <v>1059344.3643382434</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63.75">
      <c r="A405" s="1647"/>
      <c r="B405" s="1647" t="s">
        <v>228</v>
      </c>
      <c r="C405" s="1647"/>
      <c r="D405" s="1718">
        <f>'Part III-Sources of Funds'!D43</f>
        <v>0.44943628571428573</v>
      </c>
      <c r="E405" s="1703" t="str">
        <f>'Part III-Sources of Funds'!E43</f>
        <v>Prestwick Development Company, LLC</v>
      </c>
      <c r="F405" s="1703">
        <f>'Part III-Sources of Funds'!F43</f>
        <v>0</v>
      </c>
      <c r="G405" s="1703">
        <f>'Part III-Sources of Funds'!G43</f>
        <v>0</v>
      </c>
      <c r="H405" s="1703">
        <f>'Part III-Sources of Funds'!H43</f>
        <v>0</v>
      </c>
      <c r="I405" s="1779">
        <f>'Part III-Sources of Funds'!I43</f>
        <v>1573027</v>
      </c>
      <c r="J405" s="1647">
        <f>'Part III-Sources of Funds'!J43</f>
        <v>0</v>
      </c>
      <c r="K405" s="1716">
        <f>'Part III-Sources of Funds'!K43</f>
        <v>0</v>
      </c>
      <c r="L405" s="1651">
        <f>'Part III-Sources of Funds'!L43</f>
        <v>6</v>
      </c>
      <c r="M405" s="1651">
        <f>'Part III-Sources of Funds'!M43</f>
        <v>0</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4184</v>
      </c>
      <c r="C407" s="1647"/>
      <c r="D407" s="1710"/>
      <c r="E407" s="1710" t="s">
        <v>4086</v>
      </c>
      <c r="F407" s="1719">
        <f>'Part III-Sources of Funds'!F45</f>
        <v>1756385.6056866103</v>
      </c>
      <c r="G407" s="1710"/>
      <c r="H407" s="1711" t="s">
        <v>4183</v>
      </c>
      <c r="I407" s="1719">
        <f>'Part III-Sources of Funds'!I45</f>
        <v>819714.55726175662</v>
      </c>
      <c r="J407" s="1710"/>
      <c r="K407" s="1716"/>
      <c r="L407" s="1651"/>
      <c r="M407" s="1651"/>
      <c r="N407" s="2134"/>
      <c r="O407" s="2134"/>
      <c r="P407" s="1651"/>
      <c r="Q407" s="1651"/>
    </row>
    <row r="408" spans="1:17" ht="13.5">
      <c r="A408" s="1647"/>
      <c r="B408" s="1710" t="s">
        <v>4504</v>
      </c>
      <c r="C408" s="1647"/>
      <c r="D408" s="1718"/>
      <c r="E408" s="1710"/>
      <c r="F408" s="1720" t="e">
        <f>'Part III-Sources of Funds'!#REF!</f>
        <v>#REF!</v>
      </c>
      <c r="G408" s="1720" t="e">
        <f>'Part III-Sources of Funds'!#REF!</f>
        <v>#REF!</v>
      </c>
      <c r="H408" s="1711" t="s">
        <v>4185</v>
      </c>
      <c r="I408" s="1720">
        <f>'Part III-Sources of Funds'!L45</f>
        <v>0.46670534910317252</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38.25">
      <c r="A412" s="1647"/>
      <c r="B412" s="1647" t="s">
        <v>802</v>
      </c>
      <c r="C412" s="1647"/>
      <c r="D412" s="1647"/>
      <c r="E412" s="1703" t="str">
        <f>'Part III-Sources of Funds'!E49</f>
        <v>Truist Community Capital</v>
      </c>
      <c r="F412" s="1703">
        <f>'Part III-Sources of Funds'!F49</f>
        <v>0</v>
      </c>
      <c r="G412" s="1703">
        <f>'Part III-Sources of Funds'!G49</f>
        <v>0</v>
      </c>
      <c r="H412" s="1703">
        <f>'Part III-Sources of Funds'!H49</f>
        <v>0</v>
      </c>
      <c r="I412" s="1779">
        <f>'Part III-Sources of Funds'!I49</f>
        <v>16624260.60768</v>
      </c>
      <c r="J412" s="1647">
        <f>'Part III-Sources of Funds'!J49</f>
        <v>0</v>
      </c>
      <c r="K412" s="1710"/>
      <c r="L412" s="1723">
        <f>'Part IV-A-Uses of Funds'!$J$175*10*'Part IV-A-Uses of Funds'!$N$168</f>
        <v>16625923.199999999</v>
      </c>
      <c r="M412" s="1723"/>
      <c r="N412" s="1724">
        <f>I412-L412</f>
        <v>-1662.5923199988902</v>
      </c>
      <c r="O412" s="1724"/>
      <c r="P412" s="1725" t="s">
        <v>2560</v>
      </c>
      <c r="Q412" s="1647"/>
    </row>
    <row r="413" spans="1:17" ht="38.25">
      <c r="A413" s="1647"/>
      <c r="B413" s="1647" t="s">
        <v>803</v>
      </c>
      <c r="C413" s="1647"/>
      <c r="D413" s="1647"/>
      <c r="E413" s="1703" t="str">
        <f>'Part III-Sources of Funds'!E50</f>
        <v>Truist Community Capital</v>
      </c>
      <c r="F413" s="1703">
        <f>'Part III-Sources of Funds'!F50</f>
        <v>0</v>
      </c>
      <c r="G413" s="1703">
        <f>'Part III-Sources of Funds'!G50</f>
        <v>0</v>
      </c>
      <c r="H413" s="1703">
        <f>'Part III-Sources of Funds'!H50</f>
        <v>0</v>
      </c>
      <c r="I413" s="1779">
        <f>'Part III-Sources of Funds'!I50</f>
        <v>10737575.4</v>
      </c>
      <c r="J413" s="1647">
        <f>'Part III-Sources of Funds'!J50</f>
        <v>0</v>
      </c>
      <c r="K413" s="1710"/>
      <c r="L413" s="1723">
        <f>'Part IV-A-Uses of Funds'!$J$175*10*'Part IV-A-Uses of Funds'!$Q$168</f>
        <v>10737575.4</v>
      </c>
      <c r="M413" s="1723"/>
      <c r="N413" s="1724">
        <f>I413-L413</f>
        <v>0</v>
      </c>
      <c r="O413" s="1724"/>
      <c r="P413" s="1726">
        <f>I412/I422</f>
        <v>0.33249540766084634</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0.21475809325695563</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0.547253500917802</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49998467.101238482</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49998466.819839999</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0.28139848262071609</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Somersby,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Somersby,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22000</v>
      </c>
      <c r="H444" s="1729">
        <f>'Part IV-A-Uses of Funds'!H8</f>
        <v>0</v>
      </c>
      <c r="I444" s="1647"/>
      <c r="J444" s="1729">
        <f>'Part IV-A-Uses of Funds'!J8</f>
        <v>22000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10000</v>
      </c>
      <c r="H445" s="1729">
        <f>'Part IV-A-Uses of Funds'!H9</f>
        <v>0</v>
      </c>
      <c r="I445" s="1647"/>
      <c r="J445" s="1729">
        <f>'Part IV-A-Uses of Funds'!J9</f>
        <v>10000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43000</v>
      </c>
      <c r="H446" s="1729">
        <f>'Part IV-A-Uses of Funds'!H10</f>
        <v>0</v>
      </c>
      <c r="I446" s="1647"/>
      <c r="J446" s="1729">
        <f>'Part IV-A-Uses of Funds'!J10</f>
        <v>43000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11500</v>
      </c>
      <c r="H447" s="1729">
        <f>'Part IV-A-Uses of Funds'!H11</f>
        <v>0</v>
      </c>
      <c r="I447" s="1647"/>
      <c r="J447" s="1729">
        <f>'Part IV-A-Uses of Funds'!J11</f>
        <v>11500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7000</v>
      </c>
      <c r="H448" s="1729">
        <f>'Part IV-A-Uses of Funds'!H12</f>
        <v>0</v>
      </c>
      <c r="I448" s="1647"/>
      <c r="J448" s="1729">
        <f>'Part IV-A-Uses of Funds'!J12</f>
        <v>7000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93500</v>
      </c>
      <c r="H453" s="1729"/>
      <c r="I453" s="1647"/>
      <c r="J453" s="1729">
        <f>SUM(J444:K452)</f>
        <v>93500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3200000</v>
      </c>
      <c r="H455" s="1729">
        <f>'Part IV-A-Uses of Funds'!H19</f>
        <v>0</v>
      </c>
      <c r="I455" s="1647"/>
      <c r="J455" s="1664"/>
      <c r="K455" s="1729"/>
      <c r="L455" s="1664"/>
      <c r="M455" s="1664"/>
      <c r="N455" s="1729"/>
      <c r="O455" s="1647"/>
      <c r="P455" s="1664"/>
      <c r="Q455" s="1729"/>
      <c r="R455" s="1647"/>
      <c r="S455" s="1729">
        <f>'Part IV-A-Uses of Funds'!S19</f>
        <v>3200000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3200000</v>
      </c>
      <c r="H459" s="1729"/>
      <c r="I459" s="1647"/>
      <c r="J459" s="1664"/>
      <c r="K459" s="1729"/>
      <c r="L459" s="1664"/>
      <c r="M459" s="1729">
        <f>SUM(M457:N458)</f>
        <v>0</v>
      </c>
      <c r="N459" s="1729"/>
      <c r="O459" s="1647"/>
      <c r="P459" s="1664"/>
      <c r="Q459" s="1729"/>
      <c r="R459" s="1647"/>
      <c r="S459" s="1729">
        <f>SUM(S455:T458)</f>
        <v>3200000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3726</v>
      </c>
      <c r="F461" s="1736">
        <f>IF('Part I-Project Information'!$O$37="","",G461/'Part I-Project Information'!$O$37)</f>
        <v>48324.742268041242</v>
      </c>
      <c r="G461" s="1729">
        <f>'Part IV-A-Uses of Funds'!G25</f>
        <v>375000</v>
      </c>
      <c r="H461" s="1729">
        <f>'Part IV-A-Uses of Funds'!H25</f>
        <v>0</v>
      </c>
      <c r="I461" s="1647"/>
      <c r="J461" s="1729">
        <f>'Part IV-A-Uses of Funds'!J25</f>
        <v>225000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150000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50000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50000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425000</v>
      </c>
      <c r="H463" s="1729"/>
      <c r="I463" s="1647"/>
      <c r="J463" s="1729">
        <f>SUM(J461:K462)</f>
        <v>225000</v>
      </c>
      <c r="K463" s="1729"/>
      <c r="L463" s="1664"/>
      <c r="M463" s="1729">
        <f>M461</f>
        <v>0</v>
      </c>
      <c r="N463" s="1729"/>
      <c r="O463" s="1647"/>
      <c r="P463" s="1729">
        <f>P461</f>
        <v>0</v>
      </c>
      <c r="Q463" s="1729"/>
      <c r="R463" s="1647"/>
      <c r="S463" s="1729">
        <f>SUM(S461:T462)</f>
        <v>200000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30277614.720000003</v>
      </c>
      <c r="H465" s="1729">
        <f>'Part IV-A-Uses of Funds'!H29</f>
        <v>0</v>
      </c>
      <c r="I465" s="1647"/>
      <c r="J465" s="1729">
        <f>'Part IV-A-Uses of Funds'!J29</f>
        <v>30262614.720000003</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15000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30277614.720000003</v>
      </c>
      <c r="H469" s="1729"/>
      <c r="I469" s="1647"/>
      <c r="J469" s="1729">
        <f>SUM(J465:K468)</f>
        <v>30262614.720000003</v>
      </c>
      <c r="K469" s="1729"/>
      <c r="L469" s="1664"/>
      <c r="M469" s="1729">
        <f>SUM(M465:N468)</f>
        <v>0</v>
      </c>
      <c r="N469" s="1729"/>
      <c r="O469" s="1647"/>
      <c r="P469" s="1729">
        <f>SUM(P465:Q468)</f>
        <v>0</v>
      </c>
      <c r="Q469" s="1729"/>
      <c r="R469" s="1647"/>
      <c r="S469" s="1729">
        <f>SUM(S465:T468)</f>
        <v>15000</v>
      </c>
      <c r="T469" s="1729"/>
      <c r="U469" s="1647"/>
      <c r="V469" s="1735">
        <f>SUM(V465:V468)</f>
        <v>0</v>
      </c>
      <c r="W469" s="1485"/>
      <c r="X469" s="1485"/>
    </row>
    <row r="470" spans="1:24" ht="13.5">
      <c r="A470" s="1647"/>
      <c r="B470" s="1628" t="s">
        <v>2343</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1842156.8832</v>
      </c>
      <c r="F471" s="1742" t="e">
        <f>IF(($G$27+$G$33)=0,0,G471/($G$27+$G$33))</f>
        <v>#VALUE!</v>
      </c>
      <c r="G471" s="1729">
        <f>'Part IV-A-Uses of Funds'!G35</f>
        <v>1842156.8831999998</v>
      </c>
      <c r="H471" s="1729">
        <f>'Part IV-A-Uses of Funds'!H35</f>
        <v>0</v>
      </c>
      <c r="I471" s="1653"/>
      <c r="J471" s="1729">
        <f>'Part IV-A-Uses of Funds'!J35</f>
        <v>1842156.8831999998</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614052.29440000001</v>
      </c>
      <c r="F472" s="1742" t="e">
        <f>IF(($G$27+$G$33)=0,0,G472/($G$27+$G$33))</f>
        <v>#VALUE!</v>
      </c>
      <c r="G472" s="1729">
        <f>'Part IV-A-Uses of Funds'!G36</f>
        <v>614052.29440000001</v>
      </c>
      <c r="H472" s="1729">
        <f>'Part IV-A-Uses of Funds'!H36</f>
        <v>0</v>
      </c>
      <c r="I472" s="1653"/>
      <c r="J472" s="1729">
        <f>'Part IV-A-Uses of Funds'!J36</f>
        <v>614052.29440000001</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1842156.8832</v>
      </c>
      <c r="F473" s="1742" t="e">
        <f>IF(($G$27+$G$33)=0,0,G473/($G$27+$G$33))</f>
        <v>#VALUE!</v>
      </c>
      <c r="G473" s="1729">
        <f>'Part IV-A-Uses of Funds'!G37</f>
        <v>1842156.8831999998</v>
      </c>
      <c r="H473" s="1729">
        <f>'Part IV-A-Uses of Funds'!H37</f>
        <v>0</v>
      </c>
      <c r="I473" s="1653"/>
      <c r="J473" s="1729">
        <f>'Part IV-A-Uses of Funds'!J37</f>
        <v>1842156.8831999998</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3731</v>
      </c>
      <c r="C474" s="1647"/>
      <c r="D474" s="1740">
        <f>SUM(D471:D473)</f>
        <v>0.14000000000000001</v>
      </c>
      <c r="E474" s="1744">
        <f>SUM(E471:E473)</f>
        <v>4298366.0608000001</v>
      </c>
      <c r="F474" s="1733" t="s">
        <v>191</v>
      </c>
      <c r="G474" s="1729">
        <f>SUM(G471:H473)</f>
        <v>4298366.0608000001</v>
      </c>
      <c r="H474" s="1729"/>
      <c r="I474" s="1647"/>
      <c r="J474" s="1729">
        <f>SUM(J471:K473)</f>
        <v>4298366.0608000001</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4505</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Site Lighting</v>
      </c>
      <c r="D477" s="1810">
        <f>'Part IV-A-Uses of Funds'!D41</f>
        <v>0</v>
      </c>
      <c r="E477" s="1810">
        <f>'Part IV-A-Uses of Funds'!E41</f>
        <v>0</v>
      </c>
      <c r="F477" s="1810">
        <f>'Part IV-A-Uses of Funds'!F41</f>
        <v>0</v>
      </c>
      <c r="G477" s="1729">
        <f>'Part IV-A-Uses of Funds'!G41</f>
        <v>90000</v>
      </c>
      <c r="H477" s="1729">
        <f>'Part IV-A-Uses of Funds'!H41</f>
        <v>0</v>
      </c>
      <c r="I477" s="1647"/>
      <c r="J477" s="1729">
        <f>'Part IV-A-Uses of Funds'!J41</f>
        <v>90000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4506</v>
      </c>
      <c r="C479" s="1746"/>
      <c r="D479" s="1647"/>
      <c r="E479" s="1646" t="s">
        <v>2744</v>
      </c>
      <c r="F479" s="1747">
        <f>B480/'Part VI-Revenues &amp; Expenses'!$O$65</f>
        <v>143815.49500327869</v>
      </c>
      <c r="G479" s="1748" t="s">
        <v>4507</v>
      </c>
      <c r="H479" s="1647"/>
      <c r="I479" s="1647"/>
      <c r="J479" s="1749">
        <f>B480/'Part VI-Revenues &amp; Expenses'!$O$67</f>
        <v>143815.49500327869</v>
      </c>
      <c r="K479" s="1749"/>
      <c r="L479" s="1647"/>
      <c r="M479" s="1750" t="s">
        <v>1402</v>
      </c>
      <c r="N479" s="1750"/>
      <c r="O479" s="1647"/>
      <c r="P479" s="1749">
        <f>B480/'Part I-Project Information'!$P$75</f>
        <v>153.40185345177309</v>
      </c>
      <c r="Q479" s="1749"/>
      <c r="R479" s="1647"/>
      <c r="S479" s="1671" t="s">
        <v>2778</v>
      </c>
      <c r="T479" s="1671"/>
      <c r="U479" s="1647"/>
      <c r="V479" s="1735"/>
      <c r="W479" s="1485">
        <f>'Part IV-A-Uses of Funds'!W43</f>
        <v>0</v>
      </c>
      <c r="X479" s="1485">
        <f>'Part IV-A-Uses of Funds'!X43</f>
        <v>0</v>
      </c>
    </row>
    <row r="480" spans="1:24">
      <c r="A480" s="1647"/>
      <c r="B480" s="1751">
        <f>G463+G469+G474+G477</f>
        <v>35090980.7808</v>
      </c>
      <c r="C480" s="1751"/>
      <c r="D480" s="1647"/>
      <c r="E480" s="1646"/>
      <c r="F480" s="1747">
        <f>B480/'Part VI-Revenues &amp; Expenses'!$O$154</f>
        <v>156.48012406043202</v>
      </c>
      <c r="G480" s="1671" t="s">
        <v>4508</v>
      </c>
      <c r="H480" s="1647"/>
      <c r="I480" s="1647"/>
      <c r="J480" s="1749">
        <f>B480/'Part VI-Revenues &amp; Expenses'!$O$156</f>
        <v>156.48012406043202</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4189</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4188</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1754549.0390400002</v>
      </c>
      <c r="F483" s="1755">
        <f>G483/B480</f>
        <v>4.9871761920018437E-2</v>
      </c>
      <c r="G483" s="1729">
        <f>'Part IV-A-Uses of Funds'!G47</f>
        <v>1750049.0390400002</v>
      </c>
      <c r="H483" s="1729">
        <f>'Part IV-A-Uses of Funds'!H47</f>
        <v>0</v>
      </c>
      <c r="I483" s="1647"/>
      <c r="J483" s="1729">
        <f>'Part IV-A-Uses of Funds'!J47</f>
        <v>1750049.0390400002</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4509</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178036</v>
      </c>
      <c r="H490" s="1729">
        <f>'Part IV-A-Uses of Funds'!H54</f>
        <v>0</v>
      </c>
      <c r="I490" s="1647"/>
      <c r="J490" s="1729">
        <f>'Part IV-A-Uses of Funds'!J54</f>
        <v>178036</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1453505</v>
      </c>
      <c r="H491" s="1729">
        <f>'Part IV-A-Uses of Funds'!H55</f>
        <v>0</v>
      </c>
      <c r="I491" s="1647"/>
      <c r="J491" s="1729">
        <f>'Part IV-A-Uses of Funds'!J55</f>
        <v>1235479</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218026</v>
      </c>
      <c r="T491" s="1729">
        <f>'Part IV-A-Uses of Funds'!T55</f>
        <v>0</v>
      </c>
      <c r="U491" s="1647"/>
      <c r="V491" s="1735"/>
      <c r="W491" s="1485"/>
      <c r="X491" s="1485"/>
    </row>
    <row r="492" spans="1:24">
      <c r="A492" s="1647"/>
      <c r="B492" s="1647" t="s">
        <v>2348</v>
      </c>
      <c r="C492" s="1647"/>
      <c r="D492" s="1647"/>
      <c r="E492" s="1647"/>
      <c r="F492" s="1647"/>
      <c r="G492" s="1729">
        <f>'Part IV-A-Uses of Funds'!G56</f>
        <v>35000</v>
      </c>
      <c r="H492" s="1729">
        <f>'Part IV-A-Uses of Funds'!H56</f>
        <v>0</v>
      </c>
      <c r="I492" s="1647"/>
      <c r="J492" s="1729">
        <f>'Part IV-A-Uses of Funds'!J56</f>
        <v>35000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20000</v>
      </c>
      <c r="H493" s="1729">
        <f>'Part IV-A-Uses of Funds'!H57</f>
        <v>0</v>
      </c>
      <c r="I493" s="1647"/>
      <c r="J493" s="1729">
        <f>'Part IV-A-Uses of Funds'!J57</f>
        <v>20000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25000</v>
      </c>
      <c r="H494" s="1729">
        <f>'Part IV-A-Uses of Funds'!H58</f>
        <v>0</v>
      </c>
      <c r="I494" s="1647"/>
      <c r="J494" s="1729">
        <f>'Part IV-A-Uses of Funds'!J58</f>
        <v>25000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100000</v>
      </c>
      <c r="H495" s="1729">
        <f>'Part IV-A-Uses of Funds'!H59</f>
        <v>0</v>
      </c>
      <c r="I495" s="1647"/>
      <c r="J495" s="1729">
        <f>'Part IV-A-Uses of Funds'!J59</f>
        <v>100000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75000</v>
      </c>
      <c r="H496" s="1729">
        <f>'Part IV-A-Uses of Funds'!H60</f>
        <v>0</v>
      </c>
      <c r="I496" s="1647"/>
      <c r="J496" s="1729">
        <f>'Part IV-A-Uses of Funds'!J60</f>
        <v>37500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37500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1886541</v>
      </c>
      <c r="H500" s="1729"/>
      <c r="I500" s="1647"/>
      <c r="J500" s="1729">
        <f>SUM(J488:K499)</f>
        <v>1631015</v>
      </c>
      <c r="K500" s="1729"/>
      <c r="L500" s="1664"/>
      <c r="M500" s="1729">
        <f>SUM(M488:N499)</f>
        <v>0</v>
      </c>
      <c r="N500" s="1729"/>
      <c r="O500" s="1647"/>
      <c r="P500" s="1729">
        <f>SUM(P488:Q499)</f>
        <v>0</v>
      </c>
      <c r="Q500" s="1729"/>
      <c r="R500" s="1647"/>
      <c r="S500" s="1729">
        <f>SUM(S488:T499)</f>
        <v>255526</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250000</v>
      </c>
      <c r="H502" s="1729">
        <f>'Part IV-A-Uses of Funds'!H66</f>
        <v>0</v>
      </c>
      <c r="I502" s="1647"/>
      <c r="J502" s="1729">
        <f>'Part IV-A-Uses of Funds'!J66</f>
        <v>250000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3847</v>
      </c>
      <c r="E504" s="1758">
        <f>'DCA Underwriting Assumptions'!R516</f>
        <v>0</v>
      </c>
      <c r="F504" s="1628" t="str">
        <f>IF(G504&gt;E504,"CHECK!!!","")</f>
        <v>CHECK!!!</v>
      </c>
      <c r="G504" s="1729">
        <f>'Part IV-A-Uses of Funds'!G68</f>
        <v>13368</v>
      </c>
      <c r="H504" s="1729">
        <f>'Part IV-A-Uses of Funds'!H68</f>
        <v>0</v>
      </c>
      <c r="I504" s="1647"/>
      <c r="J504" s="1729">
        <f>'Part IV-A-Uses of Funds'!J68</f>
        <v>13368</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15000</v>
      </c>
      <c r="H506" s="1729">
        <f>'Part IV-A-Uses of Funds'!H70</f>
        <v>0</v>
      </c>
      <c r="I506" s="1647"/>
      <c r="J506" s="1729">
        <f>'Part IV-A-Uses of Funds'!J70</f>
        <v>15000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150000</v>
      </c>
      <c r="H508" s="1729">
        <f>'Part IV-A-Uses of Funds'!H72</f>
        <v>0</v>
      </c>
      <c r="I508" s="1647"/>
      <c r="J508" s="1729">
        <f>'Part IV-A-Uses of Funds'!J72</f>
        <v>150000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185000</v>
      </c>
      <c r="H509" s="1729">
        <f>'Part IV-A-Uses of Funds'!H73</f>
        <v>0</v>
      </c>
      <c r="I509" s="1647"/>
      <c r="J509" s="1729">
        <f>'Part IV-A-Uses of Funds'!J73</f>
        <v>92500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92500</v>
      </c>
      <c r="T509" s="1729">
        <f>'Part IV-A-Uses of Funds'!T73</f>
        <v>0</v>
      </c>
      <c r="U509" s="1647"/>
      <c r="V509" s="1735"/>
      <c r="W509" s="1485"/>
      <c r="X509" s="1485"/>
    </row>
    <row r="510" spans="1:24">
      <c r="A510" s="1647"/>
      <c r="B510" s="1647" t="s">
        <v>2049</v>
      </c>
      <c r="C510" s="1647"/>
      <c r="D510" s="1647"/>
      <c r="E510" s="1647"/>
      <c r="F510" s="1647"/>
      <c r="G510" s="1729">
        <f>'Part IV-A-Uses of Funds'!G74</f>
        <v>40000</v>
      </c>
      <c r="H510" s="1729">
        <f>'Part IV-A-Uses of Funds'!H74</f>
        <v>0</v>
      </c>
      <c r="I510" s="1647"/>
      <c r="J510" s="1729">
        <f>'Part IV-A-Uses of Funds'!J74</f>
        <v>40000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Radon Testing</v>
      </c>
      <c r="D512" s="1659">
        <f>'Part IV-A-Uses of Funds'!D76</f>
        <v>0</v>
      </c>
      <c r="E512" s="1659">
        <f>'Part IV-A-Uses of Funds'!E76</f>
        <v>0</v>
      </c>
      <c r="F512" s="1659">
        <f>'Part IV-A-Uses of Funds'!F76</f>
        <v>0</v>
      </c>
      <c r="G512" s="1729">
        <f>'Part IV-A-Uses of Funds'!G76</f>
        <v>3500</v>
      </c>
      <c r="H512" s="1729">
        <f>'Part IV-A-Uses of Funds'!H76</f>
        <v>0</v>
      </c>
      <c r="I512" s="1647"/>
      <c r="J512" s="1729">
        <f>'Part IV-A-Uses of Funds'!J76</f>
        <v>3500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666868</v>
      </c>
      <c r="H513" s="1729"/>
      <c r="I513" s="1647"/>
      <c r="J513" s="1729">
        <f>SUM(J502:K512)</f>
        <v>574368</v>
      </c>
      <c r="K513" s="1729"/>
      <c r="L513" s="1664"/>
      <c r="M513" s="1729">
        <f>SUM(M502:N512)</f>
        <v>0</v>
      </c>
      <c r="N513" s="1729"/>
      <c r="O513" s="1647"/>
      <c r="P513" s="1729">
        <f>SUM(P502:Q512)</f>
        <v>0</v>
      </c>
      <c r="Q513" s="1729"/>
      <c r="R513" s="1647"/>
      <c r="S513" s="1729">
        <f>SUM(S502:T512)</f>
        <v>92500</v>
      </c>
      <c r="T513" s="1729"/>
      <c r="U513" s="1647"/>
      <c r="V513" s="1735">
        <f>SUM(V502:V512)</f>
        <v>0</v>
      </c>
      <c r="W513" s="1485"/>
      <c r="X513" s="1485"/>
    </row>
    <row r="514" spans="1:24">
      <c r="A514" s="1647"/>
      <c r="B514" s="1628" t="s">
        <v>1269</v>
      </c>
      <c r="C514" s="1647"/>
      <c r="D514" s="1759" t="s">
        <v>3734</v>
      </c>
      <c r="E514" s="1760">
        <f>G519/'Part VI-Revenues &amp; Expenses'!$O$67</f>
        <v>2100.6147540983607</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173255</v>
      </c>
      <c r="H515" s="1729">
        <f>'Part IV-A-Uses of Funds'!H79</f>
        <v>0</v>
      </c>
      <c r="I515" s="1647"/>
      <c r="J515" s="1729">
        <f>'Part IV-A-Uses of Funds'!J79</f>
        <v>173255</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31275</v>
      </c>
      <c r="H516" s="1729">
        <f>'Part IV-A-Uses of Funds'!H80</f>
        <v>0</v>
      </c>
      <c r="I516" s="1647"/>
      <c r="J516" s="1729">
        <f>'Part IV-A-Uses of Funds'!J80</f>
        <v>31275</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138052</v>
      </c>
      <c r="H517" s="1729">
        <f>'Part IV-A-Uses of Funds'!H81</f>
        <v>0</v>
      </c>
      <c r="I517" s="1653"/>
      <c r="J517" s="1729">
        <f>'Part IV-A-Uses of Funds'!J81</f>
        <v>138052</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169968</v>
      </c>
      <c r="H518" s="1729">
        <f>'Part IV-A-Uses of Funds'!H82</f>
        <v>0</v>
      </c>
      <c r="I518" s="1653"/>
      <c r="J518" s="1729">
        <f>'Part IV-A-Uses of Funds'!J82</f>
        <v>169968</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512550</v>
      </c>
      <c r="H519" s="1729"/>
      <c r="I519" s="1647"/>
      <c r="J519" s="1729">
        <f>SUM(J515:K518)</f>
        <v>512550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263295</v>
      </c>
      <c r="H521" s="1729">
        <f>'Part IV-A-Uses of Funds'!H85</f>
        <v>0</v>
      </c>
      <c r="I521" s="1647"/>
      <c r="J521" s="1729"/>
      <c r="K521" s="1729"/>
      <c r="L521" s="1664"/>
      <c r="M521" s="1729"/>
      <c r="N521" s="1729"/>
      <c r="O521" s="1647"/>
      <c r="P521" s="1729"/>
      <c r="Q521" s="1729"/>
      <c r="R521" s="1647"/>
      <c r="S521" s="1729">
        <f>'Part IV-A-Uses of Funds'!S85</f>
        <v>263295</v>
      </c>
      <c r="T521" s="1729">
        <f>'Part IV-A-Uses of Funds'!T85</f>
        <v>0</v>
      </c>
      <c r="U521" s="1647"/>
      <c r="V521" s="1735"/>
      <c r="W521" s="1485"/>
      <c r="X521" s="1485"/>
    </row>
    <row r="522" spans="1:24">
      <c r="A522" s="1647"/>
      <c r="B522" s="1647" t="s">
        <v>1275</v>
      </c>
      <c r="C522" s="1647"/>
      <c r="D522" s="1647"/>
      <c r="E522" s="1647"/>
      <c r="F522" s="1647"/>
      <c r="G522" s="1729">
        <f>'Part IV-A-Uses of Funds'!G86</f>
        <v>125000</v>
      </c>
      <c r="H522" s="1729">
        <f>'Part IV-A-Uses of Funds'!H86</f>
        <v>0</v>
      </c>
      <c r="I522" s="1647"/>
      <c r="J522" s="1729"/>
      <c r="K522" s="1729"/>
      <c r="L522" s="1664"/>
      <c r="M522" s="1729"/>
      <c r="N522" s="1729"/>
      <c r="O522" s="1647"/>
      <c r="P522" s="1729"/>
      <c r="Q522" s="1729"/>
      <c r="R522" s="1647"/>
      <c r="S522" s="1729">
        <f>'Part IV-A-Uses of Funds'!S86</f>
        <v>125000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237715</v>
      </c>
      <c r="H525" s="1729">
        <f>'Part IV-A-Uses of Funds'!H89</f>
        <v>0</v>
      </c>
      <c r="I525" s="1647"/>
      <c r="J525" s="1729"/>
      <c r="K525" s="1729"/>
      <c r="L525" s="1664"/>
      <c r="M525" s="1729"/>
      <c r="N525" s="1729"/>
      <c r="O525" s="1647"/>
      <c r="P525" s="1729"/>
      <c r="Q525" s="1729"/>
      <c r="R525" s="1647"/>
      <c r="S525" s="1729">
        <f>'Part IV-A-Uses of Funds'!S89</f>
        <v>237715</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Commitment and Standby Fee</v>
      </c>
      <c r="D526" s="1659">
        <f>'Part IV-A-Uses of Funds'!D90</f>
        <v>0</v>
      </c>
      <c r="E526" s="1659">
        <f>'Part IV-A-Uses of Funds'!E90</f>
        <v>0</v>
      </c>
      <c r="F526" s="1659">
        <f>'Part IV-A-Uses of Funds'!F90</f>
        <v>0</v>
      </c>
      <c r="G526" s="1729">
        <f>'Part IV-A-Uses of Funds'!G90</f>
        <v>452867</v>
      </c>
      <c r="H526" s="1729">
        <f>'Part IV-A-Uses of Funds'!H90</f>
        <v>0</v>
      </c>
      <c r="I526" s="1647"/>
      <c r="J526" s="1729"/>
      <c r="K526" s="1729"/>
      <c r="L526" s="1664"/>
      <c r="M526" s="1729"/>
      <c r="N526" s="1729"/>
      <c r="O526" s="1647"/>
      <c r="P526" s="1729"/>
      <c r="Q526" s="1729"/>
      <c r="R526" s="1647"/>
      <c r="S526" s="1729">
        <f>'Part IV-A-Uses of Funds'!S90</f>
        <v>452867</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1078877</v>
      </c>
      <c r="H527" s="1729"/>
      <c r="I527" s="1647"/>
      <c r="J527" s="1729"/>
      <c r="K527" s="1729"/>
      <c r="L527" s="1664"/>
      <c r="M527" s="1729"/>
      <c r="N527" s="1729"/>
      <c r="O527" s="1647"/>
      <c r="P527" s="1729"/>
      <c r="Q527" s="1729"/>
      <c r="R527" s="1647"/>
      <c r="S527" s="1729">
        <f>SUM(S521:T526)</f>
        <v>1078877</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4510</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3950</v>
      </c>
      <c r="C534" s="1647"/>
      <c r="D534" s="1647"/>
      <c r="E534" s="1647"/>
      <c r="F534" s="1647"/>
      <c r="G534" s="1729">
        <f>'Part IV-A-Uses of Funds'!G98</f>
        <v>1000</v>
      </c>
      <c r="H534" s="1729">
        <f>'Part IV-A-Uses of Funds'!H98</f>
        <v>0</v>
      </c>
      <c r="I534" s="1647"/>
      <c r="J534" s="1664"/>
      <c r="K534" s="1664"/>
      <c r="L534" s="1762"/>
      <c r="M534" s="1664"/>
      <c r="N534" s="1664"/>
      <c r="O534" s="1647"/>
      <c r="P534" s="1664"/>
      <c r="Q534" s="1664"/>
      <c r="R534" s="1647"/>
      <c r="S534" s="1729">
        <f>'Part IV-A-Uses of Funds'!S98</f>
        <v>1000</v>
      </c>
      <c r="T534" s="1729">
        <f>'Part IV-A-Uses of Funds'!T98</f>
        <v>0</v>
      </c>
      <c r="U534" s="1647"/>
      <c r="V534" s="1735"/>
      <c r="W534" s="1485"/>
      <c r="X534" s="1485"/>
    </row>
    <row r="535" spans="1:24">
      <c r="A535" s="1647"/>
      <c r="B535" s="1647" t="s">
        <v>519</v>
      </c>
      <c r="C535" s="1647"/>
      <c r="D535" s="1647"/>
      <c r="E535" s="1763">
        <f>'DCA Underwriting Assumptions'!$Q$88*J611</f>
        <v>138549.36000000002</v>
      </c>
      <c r="F535" s="1763"/>
      <c r="G535" s="1729">
        <f>'Part IV-A-Uses of Funds'!G99</f>
        <v>138550</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138550</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195200</v>
      </c>
      <c r="F536" s="1763"/>
      <c r="G536" s="1729">
        <f>'Part IV-A-Uses of Funds'!G100</f>
        <v>244000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244000</v>
      </c>
      <c r="T536" s="1729">
        <f>'Part IV-A-Uses of Funds'!T100</f>
        <v>0</v>
      </c>
      <c r="U536" s="1647"/>
      <c r="V536" s="1735"/>
      <c r="W536" s="1485"/>
      <c r="X536" s="1485"/>
    </row>
    <row r="537" spans="1:24">
      <c r="A537" s="1647"/>
      <c r="B537" s="1647" t="s">
        <v>4241</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4242</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394550</v>
      </c>
      <c r="H541" s="1729"/>
      <c r="I541" s="1647"/>
      <c r="J541" s="1664"/>
      <c r="K541" s="1664"/>
      <c r="L541" s="1664"/>
      <c r="M541" s="1664"/>
      <c r="N541" s="1664"/>
      <c r="O541" s="1647"/>
      <c r="P541" s="1664"/>
      <c r="Q541" s="1664"/>
      <c r="R541" s="1647"/>
      <c r="S541" s="1729">
        <f>SUM(S532:T540)</f>
        <v>394550</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25000</v>
      </c>
      <c r="H543" s="1729">
        <f>'Part IV-A-Uses of Funds'!H107</f>
        <v>0</v>
      </c>
      <c r="I543" s="1647"/>
      <c r="J543" s="1729"/>
      <c r="K543" s="1729"/>
      <c r="L543" s="1664"/>
      <c r="M543" s="1729"/>
      <c r="N543" s="1729"/>
      <c r="O543" s="1647"/>
      <c r="P543" s="1729"/>
      <c r="Q543" s="1729"/>
      <c r="R543" s="1647"/>
      <c r="S543" s="1729">
        <f>'Part IV-A-Uses of Funds'!S107</f>
        <v>25000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25000</v>
      </c>
      <c r="H545" s="1729">
        <f>'Part IV-A-Uses of Funds'!H109</f>
        <v>0</v>
      </c>
      <c r="I545" s="1647"/>
      <c r="J545" s="1729"/>
      <c r="K545" s="1729"/>
      <c r="L545" s="1664"/>
      <c r="M545" s="1729"/>
      <c r="N545" s="1729"/>
      <c r="O545" s="1647"/>
      <c r="P545" s="1729"/>
      <c r="Q545" s="1729"/>
      <c r="R545" s="1647"/>
      <c r="S545" s="1729">
        <f>'Part IV-A-Uses of Funds'!S109</f>
        <v>25000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50000</v>
      </c>
      <c r="H547" s="1729"/>
      <c r="I547" s="1647"/>
      <c r="J547" s="1729"/>
      <c r="K547" s="1729"/>
      <c r="L547" s="1664"/>
      <c r="M547" s="1729"/>
      <c r="N547" s="1729"/>
      <c r="O547" s="1647"/>
      <c r="P547" s="1729"/>
      <c r="Q547" s="1729"/>
      <c r="R547" s="1647"/>
      <c r="S547" s="1729">
        <f>SUM(S543:T546)</f>
        <v>50000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1750000</v>
      </c>
      <c r="H549" s="1729">
        <f>'Part IV-A-Uses of Funds'!H113</f>
        <v>0</v>
      </c>
      <c r="I549" s="1647"/>
      <c r="J549" s="1729">
        <f>'Part IV-A-Uses of Funds'!J113</f>
        <v>1750000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4197</v>
      </c>
      <c r="C550" s="1647"/>
      <c r="D550" s="1647"/>
      <c r="E550" s="1647"/>
      <c r="F550" s="2136">
        <f>'Part IV-A-Uses of Funds'!F114</f>
        <v>1400000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1750000</v>
      </c>
      <c r="H553" s="1729">
        <f>'Part IV-A-Uses of Funds'!H117</f>
        <v>0</v>
      </c>
      <c r="I553" s="1647"/>
      <c r="J553" s="1729">
        <f>'Part IV-A-Uses of Funds'!J117</f>
        <v>1750000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75000</v>
      </c>
      <c r="H556" s="1729">
        <f>'Part IV-A-Uses of Funds'!H120</f>
        <v>0</v>
      </c>
      <c r="I556" s="1647"/>
      <c r="J556" s="1762"/>
      <c r="K556" s="1762"/>
      <c r="L556" s="1762"/>
      <c r="M556" s="1762"/>
      <c r="N556" s="1762"/>
      <c r="O556" s="1647"/>
      <c r="P556" s="1762"/>
      <c r="Q556" s="1762"/>
      <c r="R556" s="1647"/>
      <c r="S556" s="1729">
        <f>'Part IV-A-Uses of Funds'!S120</f>
        <v>75000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311292.75</v>
      </c>
      <c r="G557" s="1729">
        <f>'Part IV-A-Uses of Funds'!G121</f>
        <v>311293</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311293</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1152257.6821691217</v>
      </c>
      <c r="G558" s="1729">
        <f>'Part IV-A-Uses of Funds'!G122</f>
        <v>1152258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1152258</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3566</v>
      </c>
      <c r="F560" s="1736">
        <f>IF('Part VI-Revenues &amp; Expenses'!$O$67=0,0,G560/'Part VI-Revenues &amp; Expenses'!$O$67)</f>
        <v>721.31147540983602</v>
      </c>
      <c r="G560" s="1729">
        <f>'Part IV-A-Uses of Funds'!G124</f>
        <v>176000</v>
      </c>
      <c r="H560" s="1729">
        <f>'Part IV-A-Uses of Funds'!H124</f>
        <v>0</v>
      </c>
      <c r="I560" s="1647"/>
      <c r="J560" s="1729">
        <f>'Part IV-A-Uses of Funds'!J124</f>
        <v>176000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Tax and Insurance Escrow</v>
      </c>
      <c r="D561" s="1659">
        <f>'Part IV-A-Uses of Funds'!D125</f>
        <v>0</v>
      </c>
      <c r="E561" s="1659">
        <f>'Part IV-A-Uses of Funds'!E125</f>
        <v>0</v>
      </c>
      <c r="F561" s="1659">
        <f>'Part IV-A-Uses of Funds'!F125</f>
        <v>0</v>
      </c>
      <c r="G561" s="1729">
        <f>'Part IV-A-Uses of Funds'!G125</f>
        <v>60000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60000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1774551</v>
      </c>
      <c r="H562" s="1729"/>
      <c r="I562" s="1647"/>
      <c r="J562" s="1729">
        <f>SUM(J560:K561)</f>
        <v>176000</v>
      </c>
      <c r="K562" s="1729"/>
      <c r="L562" s="1664"/>
      <c r="M562" s="1729">
        <f>SUM(M560:N561)</f>
        <v>0</v>
      </c>
      <c r="N562" s="1729"/>
      <c r="O562" s="1647"/>
      <c r="P562" s="1729">
        <f>SUM(P560:Q561)</f>
        <v>0</v>
      </c>
      <c r="Q562" s="1729"/>
      <c r="R562" s="1647"/>
      <c r="S562" s="1729">
        <f>SUM(S556:T561)</f>
        <v>1598551</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4511</v>
      </c>
      <c r="C568" s="1647"/>
      <c r="D568" s="1647"/>
      <c r="E568" s="1647"/>
      <c r="F568" s="1647"/>
      <c r="G568" s="1771">
        <f>G453+G459+G463+G469+G474+G477+G483+G500+G513+G519+G527+G541+G547+G554+G562+G566</f>
        <v>49998466.819839999</v>
      </c>
      <c r="H568" s="1771"/>
      <c r="I568" s="1647"/>
      <c r="J568" s="1771">
        <f>J453+J459+J463+J469+J474+J477+J483+J500+J513+J519+J527+J541+J547+J554+J562+J566</f>
        <v>43113462.819839999</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6885004</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4512</v>
      </c>
      <c r="C570" s="1746"/>
      <c r="D570" s="1773">
        <f>IF('Part VI-Revenues &amp; Expenses'!$O$67=0,0,G568/'Part VI-Revenues &amp; Expenses'!$O$67)</f>
        <v>204911.74926163934</v>
      </c>
      <c r="E570" s="1773"/>
      <c r="F570" s="1774" t="s">
        <v>2763</v>
      </c>
      <c r="G570" s="1773">
        <f>IF('Part I-Project Information'!$P$75=0,0,G568/'Part I-Project Information'!$P$75)</f>
        <v>218.57062154577883</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43113462.819839999</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43113462.819839999</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56047501.665792003</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56047501.665792003</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3.09E-2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1731867.8014729728</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1731867.8014729728</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4513</v>
      </c>
      <c r="C598" s="1647"/>
      <c r="D598" s="1647"/>
      <c r="E598" s="1647"/>
      <c r="F598" s="1647"/>
      <c r="G598" s="1741" t="str">
        <f>IF(J599&gt;J598,"TDC exceeds QAP PUCL!","")</f>
        <v/>
      </c>
      <c r="H598" s="1741"/>
      <c r="I598" s="1741"/>
      <c r="J598" s="1784">
        <f>'Part VIII-Threshold Criteria'!$P$63</f>
        <v>51930500</v>
      </c>
      <c r="K598" s="1784"/>
      <c r="L598" s="1784"/>
      <c r="M598" s="1785" t="s">
        <v>2746</v>
      </c>
      <c r="N598" s="1785"/>
      <c r="O598" s="1785"/>
      <c r="P598" s="1785"/>
      <c r="Q598" s="1785"/>
      <c r="R598" s="1785"/>
      <c r="S598" s="1785" t="s">
        <v>3674</v>
      </c>
      <c r="T598" s="1785"/>
      <c r="U598" s="1647"/>
      <c r="V598" s="1735"/>
      <c r="W598" s="1485"/>
      <c r="X598" s="1485"/>
    </row>
    <row r="599" spans="1:24">
      <c r="A599" s="1647"/>
      <c r="B599" s="1647" t="s">
        <v>4514</v>
      </c>
      <c r="C599" s="1647"/>
      <c r="D599" s="1647"/>
      <c r="E599" s="1647"/>
      <c r="F599" s="1647"/>
      <c r="G599" s="1647"/>
      <c r="H599" s="1647"/>
      <c r="I599" s="1647"/>
      <c r="J599" s="1779">
        <f>'Part IV-A-Uses of Funds'!J163</f>
        <v>49998466.819839999</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21063604.093558483</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28934862.726281516</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2893486.2726281518</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4515</v>
      </c>
      <c r="C604" s="1647"/>
      <c r="D604" s="1647"/>
      <c r="E604" s="1647"/>
      <c r="F604" s="1647"/>
      <c r="G604" s="1647"/>
      <c r="H604" s="1647"/>
      <c r="I604" s="1647"/>
      <c r="J604" s="1788">
        <f>N604+Q604</f>
        <v>1.58</v>
      </c>
      <c r="K604" s="1788"/>
      <c r="L604" s="1788"/>
      <c r="M604" s="1651" t="s">
        <v>1289</v>
      </c>
      <c r="N604" s="2138">
        <f>'Part IV-A-Uses of Funds'!N168</f>
        <v>0.96</v>
      </c>
      <c r="O604" s="2138">
        <f>'Part IV-A-Uses of Funds'!O168</f>
        <v>0</v>
      </c>
      <c r="P604" s="1651" t="s">
        <v>612</v>
      </c>
      <c r="Q604" s="2138">
        <f>'Part IV-A-Uses of Funds'!Q168</f>
        <v>0.62</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1831320.4257140202</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4516</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1731867.8014729728</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4517</v>
      </c>
      <c r="C609" s="1647"/>
      <c r="D609" s="1647"/>
      <c r="E609" s="1647"/>
      <c r="F609" s="1647"/>
      <c r="G609" s="1647"/>
      <c r="H609" s="1647"/>
      <c r="I609" s="1647"/>
      <c r="J609" s="1714">
        <f>'Part IV-A-Uses of Funds'!J173</f>
        <v>1731867</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4518</v>
      </c>
      <c r="C611" s="1647"/>
      <c r="D611" s="1653"/>
      <c r="E611" s="1653"/>
      <c r="F611" s="1654"/>
      <c r="G611" s="1647"/>
      <c r="H611" s="1647"/>
      <c r="I611" s="1647"/>
      <c r="J611" s="1714">
        <f>IF(J609="",0,+MIN(J607,J609))</f>
        <v>1731867</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Construction cost estimate is based off of our historical cost to deliver similar projects that are currenlty under construction. $15,000 is excluded from basis to pay for the commercial component at the property.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Somersby  -  College Park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4519</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3707</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3706</v>
      </c>
      <c r="B646" s="1797"/>
      <c r="C646" s="1797"/>
      <c r="D646" s="1797"/>
      <c r="E646" s="1797"/>
      <c r="F646" s="1797"/>
      <c r="G646" s="1797"/>
      <c r="H646" s="2141"/>
    </row>
    <row r="647" spans="1:8" ht="12.75" customHeight="1">
      <c r="A647" s="1798" t="str">
        <f>'Part IV-A-Uses of Funds'!$C$41</f>
        <v>Site Lighting</v>
      </c>
      <c r="B647" s="1798"/>
      <c r="C647" s="1798"/>
      <c r="D647" s="1798"/>
      <c r="E647" s="1797"/>
      <c r="F647" s="2142" t="str">
        <f>'Part IV-B-Other Items'!F25</f>
        <v>Fee required for construction of site lighting.</v>
      </c>
      <c r="G647" s="1797"/>
      <c r="H647" s="2142" t="str">
        <f>'Part IV-B-Other Items'!H25</f>
        <v>100% of the work is related to construction work.</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90000</v>
      </c>
      <c r="C650" s="1799" t="s">
        <v>1790</v>
      </c>
      <c r="D650" s="1800">
        <f>'Part IV-A-Uses of Funds'!$J$41+'Part IV-A-Uses of Funds'!$M$41+'Part IV-A-Uses of Funds'!$P$41</f>
        <v>90000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Radon Testing</v>
      </c>
      <c r="B664" s="1798"/>
      <c r="C664" s="1798"/>
      <c r="D664" s="1798"/>
      <c r="E664" s="2141"/>
      <c r="F664" s="2142" t="str">
        <f>'Part IV-B-Other Items'!F42</f>
        <v>Radon testing is a requirement of our investors</v>
      </c>
      <c r="G664" s="1797"/>
      <c r="H664" s="2142" t="str">
        <f>'Part IV-B-Other Items'!H42</f>
        <v>100% of the work is related to construction.</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3500</v>
      </c>
      <c r="C667" s="1799" t="s">
        <v>1790</v>
      </c>
      <c r="D667" s="1800">
        <f>'Part IV-A-Uses of Funds'!$J$76+'Part IV-A-Uses of Funds'!$M$76+'Part IV-A-Uses of Funds'!$P$76</f>
        <v>3500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Commitment and Standby Fee</v>
      </c>
      <c r="B670" s="1798"/>
      <c r="C670" s="1798"/>
      <c r="D670" s="1798"/>
      <c r="E670" s="2141"/>
      <c r="F670" s="2142" t="str">
        <f>'Part IV-B-Other Items'!F48</f>
        <v>Commitment and Standy Fees are a requirement of Freddie Mac. This is not included in basis.</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3707</v>
      </c>
      <c r="B673" s="1800">
        <f>'Part IV-A-Uses of Funds'!$G$90</f>
        <v>452867</v>
      </c>
      <c r="C673" s="1804"/>
      <c r="D673" s="1804"/>
      <c r="E673" s="1797"/>
      <c r="F673" s="2142"/>
      <c r="G673" s="1797"/>
      <c r="H673" s="2141"/>
    </row>
    <row r="674" spans="1:8" ht="13.5">
      <c r="A674" s="1797"/>
      <c r="B674" s="1797"/>
      <c r="C674" s="1797"/>
      <c r="D674" s="1797"/>
      <c r="E674" s="1797"/>
      <c r="F674" s="2142"/>
      <c r="G674" s="1802"/>
      <c r="H674" s="2141"/>
    </row>
    <row r="675" spans="1:8" ht="13.5">
      <c r="A675" s="1796" t="s">
        <v>4520</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3707</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4521</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3707</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Tax and Insurance Escrow</v>
      </c>
      <c r="B693" s="1798"/>
      <c r="C693" s="1798"/>
      <c r="D693" s="1798"/>
      <c r="E693" s="2141"/>
      <c r="F693" s="2142" t="str">
        <f>'Part IV-B-Other Items'!F71</f>
        <v>First Year tax and insurance reserve is a requirement of our investors.</v>
      </c>
      <c r="G693" s="1797"/>
      <c r="H693" s="2142" t="str">
        <f>'Part IV-B-Other Items'!H71</f>
        <v>This item is not in basis.</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60000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4522</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Somersby,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3804</v>
      </c>
    </row>
    <row r="716" spans="1:13" ht="25.5">
      <c r="A716" s="1641" t="s">
        <v>616</v>
      </c>
      <c r="B716" s="1641" t="s">
        <v>2227</v>
      </c>
      <c r="F716" s="742" t="s">
        <v>2519</v>
      </c>
      <c r="I716" s="1635" t="str">
        <f>'Part V-Utility Allowances'!I7</f>
        <v>HUD Utility Model</v>
      </c>
      <c r="J716" s="1635"/>
      <c r="K716" s="1635"/>
      <c r="L716" s="1635"/>
      <c r="M716" s="1635"/>
    </row>
    <row r="717" spans="1:13">
      <c r="A717" s="1641"/>
      <c r="F717" s="742" t="s">
        <v>636</v>
      </c>
      <c r="I717" s="2143">
        <f>'Part V-Utility Allowances'!I8</f>
        <v>44124</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10</v>
      </c>
      <c r="K721" s="1637">
        <f>'Part V-Utility Allowances'!K12</f>
        <v>11</v>
      </c>
      <c r="L721" s="1637">
        <f>'Part V-Utility Allowances'!L12</f>
        <v>13</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5</v>
      </c>
      <c r="K722" s="1637">
        <f>'Part V-Utility Allowances'!K13</f>
        <v>7</v>
      </c>
      <c r="L722" s="1637">
        <f>'Part V-Utility Allowances'!L13</f>
        <v>9</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11</v>
      </c>
      <c r="K723" s="1637">
        <f>'Part V-Utility Allowances'!K14</f>
        <v>15</v>
      </c>
      <c r="L723" s="1637">
        <f>'Part V-Utility Allowances'!L14</f>
        <v>19</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10</v>
      </c>
      <c r="K724" s="1637">
        <f>'Part V-Utility Allowances'!K15</f>
        <v>17</v>
      </c>
      <c r="L724" s="1637">
        <f>'Part V-Utility Allowances'!L15</f>
        <v>22</v>
      </c>
      <c r="M724" s="1637">
        <f>'Part V-Utility Allowances'!M15</f>
        <v>0</v>
      </c>
    </row>
    <row r="725" spans="1:13">
      <c r="B725" s="742" t="s">
        <v>3801</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3802</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3803</v>
      </c>
      <c r="D727" s="742" t="s">
        <v>1596</v>
      </c>
      <c r="F727" s="2144" t="str">
        <f>'Part V-Utility Allowances'!F18</f>
        <v>X</v>
      </c>
      <c r="G727" s="2144">
        <f>'Part V-Utility Allowances'!G18</f>
        <v>0</v>
      </c>
      <c r="I727" s="1637">
        <f>'Part V-Utility Allowances'!I18</f>
        <v>0</v>
      </c>
      <c r="J727" s="1637">
        <f>'Part V-Utility Allowances'!J18</f>
        <v>28</v>
      </c>
      <c r="K727" s="1637">
        <f>'Part V-Utility Allowances'!K18</f>
        <v>36</v>
      </c>
      <c r="L727" s="1637">
        <f>'Part V-Utility Allowances'!L18</f>
        <v>43</v>
      </c>
      <c r="M727" s="1637">
        <f>'Part V-Utility Allowances'!M18</f>
        <v>0</v>
      </c>
    </row>
    <row r="728" spans="1:13">
      <c r="B728" s="742" t="s">
        <v>1370</v>
      </c>
      <c r="D728" s="742" t="s">
        <v>4523</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64</v>
      </c>
      <c r="K730" s="1639">
        <f>IF(SUM(K721:K729)=0,0,IF(OR($D721="&lt;&lt;Select Fuel &gt;&gt;",$D722="&lt;&lt;Select Fuel &gt;&gt;",$D723="&lt;&lt;Select Fuel &gt;&gt;"),"Select Fuel",IF($E728="&lt;Select&gt;","Submeter?",SUM(K721:K729))))</f>
        <v>86</v>
      </c>
      <c r="L730" s="1639">
        <f>IF(SUM(L721:L729)=0,0,IF(OR($D721="&lt;&lt;Select Fuel &gt;&gt;",$D722="&lt;&lt;Select Fuel &gt;&gt;",$D723="&lt;&lt;Select Fuel &gt;&gt;"),"Select Fuel",IF($E728="&lt;Select&gt;","Submeter?",SUM(L721:L729))))</f>
        <v>106</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4523</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4524</v>
      </c>
      <c r="F748" s="1637"/>
      <c r="G748" s="1637"/>
      <c r="I748" s="1639"/>
      <c r="J748" s="1639"/>
      <c r="K748" s="1639"/>
      <c r="L748" s="1639"/>
      <c r="M748" s="1639"/>
    </row>
    <row r="749" spans="1:13">
      <c r="A749" s="1641"/>
      <c r="B749" s="1641" t="s">
        <v>572</v>
      </c>
    </row>
    <row r="750" spans="1:13" ht="264">
      <c r="B750" s="1485" t="str">
        <f>'Part V-Utility Allowances'!B43</f>
        <v>The HUD Utility Schedule Model is an allowed utility allowance for a Tax Credit Building per Threshold Section 1 Feasibility, Subsection 7 Operating Utility Allowance.</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Somersby,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Somersby,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4525</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No</v>
      </c>
      <c r="G763" s="1812" t="s">
        <v>3664</v>
      </c>
      <c r="H763" s="1808" t="s">
        <v>3889</v>
      </c>
      <c r="I763" s="1812" t="s">
        <v>799</v>
      </c>
      <c r="J763" s="1812" t="s">
        <v>3667</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3849</v>
      </c>
      <c r="J764" s="1812" t="s">
        <v>3668</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4526</v>
      </c>
      <c r="K765" s="1820" t="s">
        <v>145</v>
      </c>
      <c r="L765" s="1820"/>
      <c r="M765" s="1812" t="s">
        <v>2367</v>
      </c>
      <c r="N765" s="1812" t="s">
        <v>532</v>
      </c>
      <c r="O765" s="1812" t="s">
        <v>383</v>
      </c>
      <c r="P765" s="1808"/>
      <c r="Q765" s="1820" t="s">
        <v>3573</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3315</v>
      </c>
      <c r="O766" s="1812" t="s">
        <v>384</v>
      </c>
      <c r="P766" s="1808"/>
      <c r="Q766" s="1812" t="s">
        <v>3574</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50</v>
      </c>
      <c r="C774" s="2146">
        <f>'Part VI-Revenues &amp; Expenses'!C17</f>
        <v>1</v>
      </c>
      <c r="D774" s="2147">
        <f>'Part VI-Revenues &amp; Expenses'!D17</f>
        <v>1</v>
      </c>
      <c r="E774" s="2148">
        <f>'Part VI-Revenues &amp; Expenses'!E17</f>
        <v>12</v>
      </c>
      <c r="F774" s="2148">
        <f>'Part VI-Revenues &amp; Expenses'!F17</f>
        <v>653</v>
      </c>
      <c r="G774" s="2148">
        <f>'Part VI-Revenues &amp; Expenses'!G17</f>
        <v>775</v>
      </c>
      <c r="H774" s="2148">
        <f>'Part VI-Revenues &amp; Expenses'!H17</f>
        <v>742</v>
      </c>
      <c r="I774" s="2148">
        <f>'Part VI-Revenues &amp; Expenses'!I17</f>
        <v>64</v>
      </c>
      <c r="J774" s="2149">
        <f>'Part VI-Revenues &amp; Expenses'!J17</f>
        <v>0</v>
      </c>
      <c r="K774" s="1822">
        <f t="shared" si="1"/>
        <v>678</v>
      </c>
      <c r="L774" s="1822">
        <f t="shared" si="2"/>
        <v>8136</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29680</v>
      </c>
      <c r="R774" s="1824">
        <f>'Part VI-Revenues &amp; Expenses'!R17</f>
        <v>0.52905525846702317</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12</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12</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12</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12</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50</v>
      </c>
      <c r="C775" s="2146">
        <f>'Part VI-Revenues &amp; Expenses'!C18</f>
        <v>2</v>
      </c>
      <c r="D775" s="2147">
        <f>'Part VI-Revenues &amp; Expenses'!D18</f>
        <v>2</v>
      </c>
      <c r="E775" s="2148">
        <f>'Part VI-Revenues &amp; Expenses'!E18</f>
        <v>24</v>
      </c>
      <c r="F775" s="2148">
        <f>'Part VI-Revenues &amp; Expenses'!F18</f>
        <v>963</v>
      </c>
      <c r="G775" s="2148">
        <f>'Part VI-Revenues &amp; Expenses'!G18</f>
        <v>931</v>
      </c>
      <c r="H775" s="2148">
        <f>'Part VI-Revenues &amp; Expenses'!H18</f>
        <v>898</v>
      </c>
      <c r="I775" s="2148">
        <f>'Part VI-Revenues &amp; Expenses'!I18</f>
        <v>86</v>
      </c>
      <c r="J775" s="2149">
        <f>'Part VI-Revenues &amp; Expenses'!J18</f>
        <v>0</v>
      </c>
      <c r="K775" s="1822">
        <f t="shared" si="1"/>
        <v>812</v>
      </c>
      <c r="L775" s="1822">
        <f t="shared" si="2"/>
        <v>19488</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35920</v>
      </c>
      <c r="R775" s="1824">
        <f>'Part VI-Revenues &amp; Expenses'!R18</f>
        <v>0.53357100415923941</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24</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24</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24</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24</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50</v>
      </c>
      <c r="C776" s="2146">
        <f>'Part VI-Revenues &amp; Expenses'!C19</f>
        <v>3</v>
      </c>
      <c r="D776" s="2147">
        <f>'Part VI-Revenues &amp; Expenses'!D19</f>
        <v>2</v>
      </c>
      <c r="E776" s="2148">
        <f>'Part VI-Revenues &amp; Expenses'!E19</f>
        <v>12</v>
      </c>
      <c r="F776" s="2148">
        <f>'Part VI-Revenues &amp; Expenses'!F19</f>
        <v>1115</v>
      </c>
      <c r="G776" s="2148">
        <f>'Part VI-Revenues &amp; Expenses'!G19</f>
        <v>1075</v>
      </c>
      <c r="H776" s="2148">
        <f>'Part VI-Revenues &amp; Expenses'!H19</f>
        <v>1052</v>
      </c>
      <c r="I776" s="2148">
        <f>'Part VI-Revenues &amp; Expenses'!I19</f>
        <v>106</v>
      </c>
      <c r="J776" s="2149">
        <f>'Part VI-Revenues &amp; Expenses'!J19</f>
        <v>0</v>
      </c>
      <c r="K776" s="1822">
        <f t="shared" si="1"/>
        <v>946</v>
      </c>
      <c r="L776" s="1822">
        <f t="shared" si="2"/>
        <v>11352</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42080</v>
      </c>
      <c r="R776" s="1824">
        <f>'Part VI-Revenues &amp; Expenses'!R19</f>
        <v>0.54092965857671738</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12</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12</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12</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12</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46</v>
      </c>
      <c r="F777" s="2148">
        <f>'Part VI-Revenues &amp; Expenses'!F20</f>
        <v>653</v>
      </c>
      <c r="G777" s="2148">
        <f>'Part VI-Revenues &amp; Expenses'!G20</f>
        <v>930</v>
      </c>
      <c r="H777" s="2148">
        <f>'Part VI-Revenues &amp; Expenses'!H20</f>
        <v>872</v>
      </c>
      <c r="I777" s="2148">
        <f>'Part VI-Revenues &amp; Expenses'!I20</f>
        <v>64</v>
      </c>
      <c r="J777" s="2149">
        <f>'Part VI-Revenues &amp; Expenses'!J20</f>
        <v>0</v>
      </c>
      <c r="K777" s="1822">
        <f t="shared" si="1"/>
        <v>808</v>
      </c>
      <c r="L777" s="1822">
        <f t="shared" si="2"/>
        <v>37168</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34880</v>
      </c>
      <c r="R777" s="1824">
        <f>'Part VI-Revenues &amp; Expenses'!R20</f>
        <v>0.62174688057040994</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46</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46</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46</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46</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2</v>
      </c>
      <c r="E778" s="2148">
        <f>'Part VI-Revenues &amp; Expenses'!E21</f>
        <v>84</v>
      </c>
      <c r="F778" s="2148">
        <f>'Part VI-Revenues &amp; Expenses'!F21</f>
        <v>963</v>
      </c>
      <c r="G778" s="2148">
        <f>'Part VI-Revenues &amp; Expenses'!G21</f>
        <v>1117</v>
      </c>
      <c r="H778" s="2148">
        <f>'Part VI-Revenues &amp; Expenses'!H21</f>
        <v>1059</v>
      </c>
      <c r="I778" s="2148">
        <f>'Part VI-Revenues &amp; Expenses'!I21</f>
        <v>86</v>
      </c>
      <c r="J778" s="2149">
        <f>'Part VI-Revenues &amp; Expenses'!J21</f>
        <v>0</v>
      </c>
      <c r="K778" s="1822">
        <f t="shared" si="1"/>
        <v>973</v>
      </c>
      <c r="L778" s="1822">
        <f t="shared" si="2"/>
        <v>81732</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42360</v>
      </c>
      <c r="R778" s="1824">
        <f>'Part VI-Revenues &amp; Expenses'!R21</f>
        <v>0.6292335115864528</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84</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84</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84</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84</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3</v>
      </c>
      <c r="D779" s="2147">
        <f>'Part VI-Revenues &amp; Expenses'!D22</f>
        <v>2</v>
      </c>
      <c r="E779" s="2148">
        <f>'Part VI-Revenues &amp; Expenses'!E22</f>
        <v>42</v>
      </c>
      <c r="F779" s="2148">
        <f>'Part VI-Revenues &amp; Expenses'!F22</f>
        <v>1115</v>
      </c>
      <c r="G779" s="2148">
        <f>'Part VI-Revenues &amp; Expenses'!G22</f>
        <v>1290</v>
      </c>
      <c r="H779" s="2148">
        <f>'Part VI-Revenues &amp; Expenses'!H22</f>
        <v>1242</v>
      </c>
      <c r="I779" s="2148">
        <f>'Part VI-Revenues &amp; Expenses'!I22</f>
        <v>106</v>
      </c>
      <c r="J779" s="2149">
        <f>'Part VI-Revenues &amp; Expenses'!J22</f>
        <v>0</v>
      </c>
      <c r="K779" s="1822">
        <f t="shared" si="1"/>
        <v>1136</v>
      </c>
      <c r="L779" s="1822">
        <f t="shared" si="2"/>
        <v>47712</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49680</v>
      </c>
      <c r="R779" s="1824">
        <f>'Part VI-Revenues &amp; Expenses'!R22</f>
        <v>0.63862607980255037</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f t="shared" si="91"/>
        <v>42</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f t="shared" si="136"/>
        <v>42</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f t="shared" si="211"/>
        <v>42</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42</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1</v>
      </c>
      <c r="D780" s="2147">
        <f>'Part VI-Revenues &amp; Expenses'!D23</f>
        <v>1</v>
      </c>
      <c r="E780" s="2148">
        <f>'Part VI-Revenues &amp; Expenses'!E23</f>
        <v>6</v>
      </c>
      <c r="F780" s="2148">
        <f>'Part VI-Revenues &amp; Expenses'!F23</f>
        <v>653</v>
      </c>
      <c r="G780" s="2148">
        <f>'Part VI-Revenues &amp; Expenses'!G23</f>
        <v>1241</v>
      </c>
      <c r="H780" s="2148">
        <f>'Part VI-Revenues &amp; Expenses'!H23</f>
        <v>1014</v>
      </c>
      <c r="I780" s="2148">
        <f>'Part VI-Revenues &amp; Expenses'!I23</f>
        <v>64</v>
      </c>
      <c r="J780" s="2149">
        <f>'Part VI-Revenues &amp; Expenses'!J23</f>
        <v>0</v>
      </c>
      <c r="K780" s="1822">
        <f t="shared" si="1"/>
        <v>950</v>
      </c>
      <c r="L780" s="1822">
        <f t="shared" si="2"/>
        <v>5700</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40560</v>
      </c>
      <c r="R780" s="1824">
        <f>'Part VI-Revenues &amp; Expenses'!R23</f>
        <v>0.72299465240641714</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f t="shared" si="89"/>
        <v>6</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6</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6</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6</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2</v>
      </c>
      <c r="D781" s="2147">
        <f>'Part VI-Revenues &amp; Expenses'!D24</f>
        <v>2</v>
      </c>
      <c r="E781" s="2148">
        <f>'Part VI-Revenues &amp; Expenses'!E24</f>
        <v>12</v>
      </c>
      <c r="F781" s="2148">
        <f>'Part VI-Revenues &amp; Expenses'!F24</f>
        <v>963</v>
      </c>
      <c r="G781" s="2148">
        <f>'Part VI-Revenues &amp; Expenses'!G24</f>
        <v>1490</v>
      </c>
      <c r="H781" s="2148">
        <f>'Part VI-Revenues &amp; Expenses'!H24</f>
        <v>1136</v>
      </c>
      <c r="I781" s="2148">
        <f>'Part VI-Revenues &amp; Expenses'!I24</f>
        <v>86</v>
      </c>
      <c r="J781" s="2149">
        <f>'Part VI-Revenues &amp; Expenses'!J24</f>
        <v>0</v>
      </c>
      <c r="K781" s="1822">
        <f t="shared" si="1"/>
        <v>1050</v>
      </c>
      <c r="L781" s="1822">
        <f t="shared" si="2"/>
        <v>12600</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45440</v>
      </c>
      <c r="R781" s="1824">
        <f>'Part VI-Revenues &amp; Expenses'!R24</f>
        <v>0.67498514557338085</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12</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12</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12</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12</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80</v>
      </c>
      <c r="C782" s="2146">
        <f>'Part VI-Revenues &amp; Expenses'!C25</f>
        <v>3</v>
      </c>
      <c r="D782" s="2147">
        <f>'Part VI-Revenues &amp; Expenses'!D25</f>
        <v>2</v>
      </c>
      <c r="E782" s="2148">
        <f>'Part VI-Revenues &amp; Expenses'!E25</f>
        <v>6</v>
      </c>
      <c r="F782" s="2148">
        <f>'Part VI-Revenues &amp; Expenses'!F25</f>
        <v>1115</v>
      </c>
      <c r="G782" s="2148">
        <f>'Part VI-Revenues &amp; Expenses'!G25</f>
        <v>1721</v>
      </c>
      <c r="H782" s="2148">
        <f>'Part VI-Revenues &amp; Expenses'!H25</f>
        <v>1306</v>
      </c>
      <c r="I782" s="2148">
        <f>'Part VI-Revenues &amp; Expenses'!I25</f>
        <v>106</v>
      </c>
      <c r="J782" s="2149">
        <f>'Part VI-Revenues &amp; Expenses'!J25</f>
        <v>0</v>
      </c>
      <c r="K782" s="1822">
        <f t="shared" si="1"/>
        <v>1200</v>
      </c>
      <c r="L782" s="1822">
        <f t="shared" si="2"/>
        <v>7200</v>
      </c>
      <c r="M782" s="2133" t="str">
        <f>'Part VI-Revenues &amp; Expenses'!M25</f>
        <v>No</v>
      </c>
      <c r="N782" s="2133" t="str">
        <f>'Part VI-Revenues &amp; Expenses'!N25</f>
        <v>3+ Story</v>
      </c>
      <c r="O782" s="2133" t="str">
        <f>'Part VI-Revenues &amp; Expenses'!O25</f>
        <v>New Construction</v>
      </c>
      <c r="P782" s="1633" t="str">
        <f>'Part VI-Revenues &amp; Expenses'!P25</f>
        <v>No</v>
      </c>
      <c r="Q782" s="1823">
        <f>'Part VI-Revenues &amp; Expenses'!Q25</f>
        <v>52240</v>
      </c>
      <c r="R782" s="1824">
        <f>'Part VI-Revenues &amp; Expenses'!R25</f>
        <v>0.67153434800493628</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f t="shared" si="91"/>
        <v>6</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f t="shared" si="136"/>
        <v>6</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f t="shared" si="211"/>
        <v>6</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6</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244</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224252</v>
      </c>
      <c r="G805" s="522"/>
      <c r="H805" s="522"/>
      <c r="I805" s="522"/>
      <c r="J805" s="522"/>
      <c r="K805" s="1828" t="s">
        <v>1302</v>
      </c>
      <c r="L805" s="1826">
        <f>SUM(L767:L804)</f>
        <v>231088</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64</v>
      </c>
      <c r="DF805" s="1640">
        <f t="shared" si="259"/>
        <v>120</v>
      </c>
      <c r="DG805" s="1640">
        <f t="shared" si="259"/>
        <v>60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64</v>
      </c>
      <c r="EY805" s="1640">
        <f t="shared" si="260"/>
        <v>120</v>
      </c>
      <c r="EZ805" s="1640">
        <f t="shared" si="260"/>
        <v>60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64</v>
      </c>
      <c r="HV805" s="1640">
        <f t="shared" si="261"/>
        <v>120</v>
      </c>
      <c r="HW805" s="1640">
        <f t="shared" si="261"/>
        <v>60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64</v>
      </c>
      <c r="JJ805" s="1640">
        <f t="shared" si="261"/>
        <v>120</v>
      </c>
      <c r="JK805" s="1640">
        <f t="shared" si="261"/>
        <v>60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2773056</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4527</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64</v>
      </c>
      <c r="L829" s="1833">
        <f>DF805</f>
        <v>120</v>
      </c>
      <c r="M829" s="1833">
        <f>DG805</f>
        <v>60</v>
      </c>
      <c r="N829" s="1833">
        <f>DH805</f>
        <v>0</v>
      </c>
      <c r="O829" s="1833">
        <f t="shared" ref="O829:O839" si="263">SUM(J829:N829)</f>
        <v>244</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64</v>
      </c>
      <c r="L831" s="1833">
        <f>SUM(L829:L830)+DP805</f>
        <v>120</v>
      </c>
      <c r="M831" s="1833">
        <f>SUM(M829:M830)+DQ805</f>
        <v>60</v>
      </c>
      <c r="N831" s="1833">
        <f>SUM(N829:N830)+DR805</f>
        <v>0</v>
      </c>
      <c r="O831" s="1833">
        <f t="shared" si="263"/>
        <v>244</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4528</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4529</v>
      </c>
      <c r="D843" s="1838"/>
      <c r="E843" s="1634" t="s">
        <v>39</v>
      </c>
      <c r="F843" s="1631"/>
      <c r="G843" s="1652"/>
      <c r="J843" s="1833">
        <f t="shared" ref="J843:O843" si="264">SUM(J844:J851)</f>
        <v>0</v>
      </c>
      <c r="K843" s="1833">
        <f t="shared" si="264"/>
        <v>64</v>
      </c>
      <c r="L843" s="1833">
        <f t="shared" si="264"/>
        <v>120</v>
      </c>
      <c r="M843" s="1833">
        <f t="shared" si="264"/>
        <v>60</v>
      </c>
      <c r="N843" s="1833">
        <f t="shared" si="264"/>
        <v>0</v>
      </c>
      <c r="O843" s="1833">
        <f t="shared" si="264"/>
        <v>244</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64</v>
      </c>
      <c r="L850" s="1833">
        <f>HV805</f>
        <v>120</v>
      </c>
      <c r="M850" s="1833">
        <f>HW805</f>
        <v>60</v>
      </c>
      <c r="N850" s="1833">
        <f>HX805</f>
        <v>0</v>
      </c>
      <c r="O850" s="1833">
        <f t="shared" si="265"/>
        <v>244</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4530</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64</v>
      </c>
      <c r="L867" s="1833">
        <f t="shared" si="270"/>
        <v>120</v>
      </c>
      <c r="M867" s="1833">
        <f t="shared" si="270"/>
        <v>60</v>
      </c>
      <c r="N867" s="1833">
        <f t="shared" si="270"/>
        <v>0</v>
      </c>
      <c r="O867" s="1833">
        <f t="shared" si="267"/>
        <v>244</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4531</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55461.120000000003</v>
      </c>
      <c r="I879" s="2151">
        <f>'Part VI-Revenues &amp; Expenses'!I173</f>
        <v>0</v>
      </c>
      <c r="J879" s="1486"/>
      <c r="K879" s="1849" t="s">
        <v>4532</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4533</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4534</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4533</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4534</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4533</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4534</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4533</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4534</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85000</v>
      </c>
      <c r="G921" s="1847">
        <f>'Part VI-Revenues &amp; Expenses'!G215</f>
        <v>0</v>
      </c>
      <c r="I921" s="1631" t="s">
        <v>1378</v>
      </c>
      <c r="K921" s="1847">
        <f>'Part VI-Revenues &amp; Expenses'!K215</f>
        <v>0</v>
      </c>
      <c r="L921" s="1847">
        <f>'Part VI-Revenues &amp; Expenses'!L215</f>
        <v>0</v>
      </c>
      <c r="N921" s="1631" t="s">
        <v>929</v>
      </c>
      <c r="P921" s="1862">
        <f>'Part VI-Revenues &amp; Expenses'!P215</f>
        <v>400118</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60000</v>
      </c>
      <c r="G922" s="1847">
        <f>'Part VI-Revenues &amp; Expenses'!G216</f>
        <v>0</v>
      </c>
      <c r="I922" s="1631" t="s">
        <v>1379</v>
      </c>
      <c r="K922" s="1847">
        <f>'Part VI-Revenues &amp; Expenses'!K216</f>
        <v>0</v>
      </c>
      <c r="L922" s="1847">
        <f>'Part VI-Revenues &amp; Expenses'!L216</f>
        <v>0</v>
      </c>
      <c r="N922" s="1631" t="s">
        <v>147</v>
      </c>
      <c r="P922" s="1862">
        <f>'Part VI-Revenues &amp; Expenses'!P216</f>
        <v>94277</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Benefits, Payroll Taxes, W/C</v>
      </c>
      <c r="C924" s="521">
        <f>'Part VI-Revenues &amp; Expenses'!C218</f>
        <v>0</v>
      </c>
      <c r="D924" s="521">
        <f>'Part VI-Revenues &amp; Expenses'!D218</f>
        <v>0</v>
      </c>
      <c r="E924" s="521">
        <f>'Part VI-Revenues &amp; Expenses'!E218</f>
        <v>0</v>
      </c>
      <c r="F924" s="1847">
        <f>'Part VI-Revenues &amp; Expenses'!F218</f>
        <v>39150</v>
      </c>
      <c r="G924" s="1847">
        <f>'Part VI-Revenues &amp; Expenses'!G218</f>
        <v>0</v>
      </c>
      <c r="N924" s="1861" t="s">
        <v>191</v>
      </c>
      <c r="P924" s="1862">
        <f>SUM(P921:P923)</f>
        <v>494395</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184150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131526</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4800</v>
      </c>
      <c r="G928" s="1847">
        <f>'Part VI-Revenues &amp; Expenses'!G222</f>
        <v>0</v>
      </c>
      <c r="I928" s="1631" t="s">
        <v>1602</v>
      </c>
      <c r="K928" s="1862">
        <f>'Part VI-Revenues &amp; Expenses'!K222</f>
        <v>5000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9600</v>
      </c>
      <c r="G929" s="1847">
        <f>'Part VI-Revenues &amp; Expenses'!G223</f>
        <v>0</v>
      </c>
      <c r="I929" s="1631" t="s">
        <v>2049</v>
      </c>
      <c r="K929" s="1862">
        <f>'Part VI-Revenues &amp; Expenses'!K223</f>
        <v>11500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15000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Credit Reports</v>
      </c>
      <c r="J931" s="2154">
        <f>'Part VI-Revenues &amp; Expenses'!J225</f>
        <v>0</v>
      </c>
      <c r="K931" s="1862">
        <f>'Part VI-Revenues &amp; Expenses'!K225</f>
        <v>7500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39000</v>
      </c>
      <c r="L932" s="1862"/>
      <c r="M932" s="1868" t="str">
        <f>IF(P934="","",IF(P932&lt;P934, "WARNING! OE below required minimum.",""))</f>
        <v/>
      </c>
      <c r="N932" s="1629" t="s">
        <v>2186</v>
      </c>
      <c r="P932" s="1862">
        <f>F925+F934+F945+K923+K932+K942+P924+P927</f>
        <v>1245171</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Admin, Software Costs, Compliance Fees</v>
      </c>
      <c r="C933" s="521">
        <f>'Part VI-Revenues &amp; Expenses'!C227</f>
        <v>0</v>
      </c>
      <c r="D933" s="521">
        <f>'Part VI-Revenues &amp; Expenses'!D227</f>
        <v>0</v>
      </c>
      <c r="E933" s="521">
        <f>'Part VI-Revenues &amp; Expenses'!E227</f>
        <v>0</v>
      </c>
      <c r="F933" s="1847">
        <f>'Part VI-Revenues &amp; Expenses'!F227</f>
        <v>11700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26100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61000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40000</v>
      </c>
      <c r="G937" s="1847">
        <f>'Part VI-Revenues &amp; Expenses'!G231</f>
        <v>0</v>
      </c>
      <c r="I937" s="1631" t="s">
        <v>1368</v>
      </c>
      <c r="J937" s="1736" t="e">
        <f>K937/12/O819</f>
        <v>#DIV/0!</v>
      </c>
      <c r="K937" s="1862">
        <f>'Part VI-Revenues &amp; Expenses'!K231</f>
        <v>20000</v>
      </c>
      <c r="L937" s="1862">
        <f>'Part VI-Revenues &amp; Expenses'!L231</f>
        <v>0</v>
      </c>
      <c r="M937" s="1868" t="str">
        <f>IF(P936&lt;P945, "WARNING! RR proposed is below the DCA required minimum.","")</f>
        <v/>
      </c>
      <c r="N937" s="521" t="s">
        <v>3737</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10000</v>
      </c>
      <c r="G938" s="1847">
        <f>'Part VI-Revenues &amp; Expenses'!G232</f>
        <v>0</v>
      </c>
      <c r="I938" s="1631" t="s">
        <v>1369</v>
      </c>
      <c r="J938" s="1736" t="e">
        <f>K938/12/O819</f>
        <v>#DIV/0!</v>
      </c>
      <c r="K938" s="1862">
        <f>'Part VI-Revenues &amp; Expenses'!K232</f>
        <v>0</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35000</v>
      </c>
      <c r="G939" s="1847">
        <f>'Part VI-Revenues &amp; Expenses'!G233</f>
        <v>0</v>
      </c>
      <c r="I939" s="1631" t="s">
        <v>2352</v>
      </c>
      <c r="J939" s="1736" t="e">
        <f>K939/12/O819</f>
        <v>#DIV/0!</v>
      </c>
      <c r="K939" s="1862">
        <f>'Part VI-Revenues &amp; Expenses'!K233</f>
        <v>188000</v>
      </c>
      <c r="L939" s="1862">
        <f>'Part VI-Revenues &amp; Expenses'!L233</f>
        <v>0</v>
      </c>
      <c r="M939" s="1868"/>
      <c r="N939" s="1871" t="s">
        <v>2714</v>
      </c>
      <c r="O939" s="1872" t="s">
        <v>3848</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12000</v>
      </c>
      <c r="G940" s="1847">
        <f>'Part VI-Revenues &amp; Expenses'!G234</f>
        <v>0</v>
      </c>
      <c r="I940" s="1631" t="s">
        <v>1371</v>
      </c>
      <c r="K940" s="1862">
        <f>'Part VI-Revenues &amp; Expenses'!K234</f>
        <v>15000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25000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223000</v>
      </c>
      <c r="L942" s="1862"/>
      <c r="M942" s="1868"/>
      <c r="N942" s="1652" t="s">
        <v>3429</v>
      </c>
      <c r="O942" s="1874" t="str">
        <f>CONCATENATE(SUM(JH805:JL805)," units x $",'DCA Underwriting Assumptions'!$Q$65," =")</f>
        <v>244 units x $250 =</v>
      </c>
      <c r="P942" s="1874">
        <f>SUM(JH805:JL805)*'DCA Underwriting Assumptions'!$Q$65</f>
        <v>61000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25000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147000</v>
      </c>
      <c r="G945" s="1847"/>
      <c r="J945" s="1833"/>
      <c r="N945" s="1828" t="s">
        <v>2717</v>
      </c>
      <c r="O945" s="1823">
        <f>SUM(JC805:JG805)+SUM(JH805:JL805)+SUM(JM805:JQ805)+O841</f>
        <v>244</v>
      </c>
      <c r="P945" s="1875">
        <f>SUM(P941:P944)</f>
        <v>61000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1306171</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4106</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See Tab 1 of the LIHTC application for a full explanation of insurance and real estate tax estimates.   As per discussion with the tax office, the income approach to value is to be used and an 5.75% cap rate was applied to the projected NOI to establish appraised value.  Insurance estimates were provided by our insurance company.</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4105</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Somersby,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4535</v>
      </c>
    </row>
    <row r="961" spans="1:19" ht="12.75" customHeight="1">
      <c r="A961" s="742" t="s">
        <v>2188</v>
      </c>
      <c r="B961" s="1876">
        <v>0.02</v>
      </c>
      <c r="D961" s="1838" t="s">
        <v>4536</v>
      </c>
      <c r="E961" s="1838"/>
      <c r="F961" s="1838"/>
      <c r="G961" s="2156">
        <f>'Part VII-Pro Forma'!G5</f>
        <v>5000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Yes</v>
      </c>
      <c r="H964" s="1880" t="s">
        <v>1444</v>
      </c>
      <c r="K964" s="2158">
        <f>'Part VII-Pro Forma'!K8</f>
        <v>131526</v>
      </c>
    </row>
    <row r="965" spans="1:19">
      <c r="A965" s="742" t="s">
        <v>1418</v>
      </c>
      <c r="B965" s="1876">
        <v>0.02</v>
      </c>
      <c r="D965" s="1631" t="s">
        <v>1718</v>
      </c>
      <c r="G965" s="2157">
        <f>'Part VII-Pro Forma'!G9</f>
        <v>0</v>
      </c>
      <c r="H965" s="1880" t="s">
        <v>2356</v>
      </c>
      <c r="K965" s="2159">
        <f>'Part VII-Pro Forma'!K9</f>
        <v>0</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2773056</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7" t="s">
        <v>4187</v>
      </c>
    </row>
    <row r="971" spans="1:19">
      <c r="A971" s="742" t="s">
        <v>1016</v>
      </c>
      <c r="B971" s="1881">
        <f>MIN(B970*B965,'Part VI-Revenues &amp; Expenses'!$H$173)</f>
        <v>55461.120000000003</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7"/>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7" t="s">
        <v>3883</v>
      </c>
      <c r="R972" s="4317" t="s">
        <v>4186</v>
      </c>
      <c r="S972" s="4317"/>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7"/>
      <c r="R973" s="4317"/>
      <c r="S973" s="4317"/>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-1113645</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260005.55726175662</v>
      </c>
      <c r="S975" s="518">
        <f>B986+R975</f>
        <v>589527.75566175673</v>
      </c>
    </row>
    <row r="976" spans="1:19">
      <c r="A976" s="742" t="s">
        <v>1115</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533286.55726175662</v>
      </c>
      <c r="S976" s="518">
        <f>SUM(B986:C986)+R976</f>
        <v>-474966.60867648665</v>
      </c>
    </row>
    <row r="977" spans="1:19">
      <c r="A977" s="742" t="s">
        <v>1202</v>
      </c>
      <c r="B977" s="1881">
        <f>-('Part VI-Revenues &amp; Expenses'!$P$230)</f>
        <v>-61000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819714.55726175662</v>
      </c>
      <c r="S977" s="518">
        <f>SUM(B986:D986)+R977</f>
        <v>-1539615.47301473</v>
      </c>
    </row>
    <row r="978" spans="1:19">
      <c r="A978" s="742" t="s">
        <v>1203</v>
      </c>
      <c r="B978" s="1881">
        <f t="shared" ref="B978:K978" si="284">SUM(B970:B977)</f>
        <v>1653872.12</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1119148.5572617566</v>
      </c>
      <c r="S978" s="518">
        <f>SUM(B986:E986)+R978</f>
        <v>-2604423.4723529732</v>
      </c>
    </row>
    <row r="979" spans="1:19">
      <c r="A979" s="742" t="s">
        <v>1591</v>
      </c>
      <c r="B979" s="1881">
        <f>'Part VII-Pro Forma'!B25</f>
        <v>-1059344.3643382434</v>
      </c>
      <c r="C979" s="1881">
        <f>'Part VII-Pro Forma'!C25</f>
        <v>-1059344.3643382434</v>
      </c>
      <c r="D979" s="1881">
        <f>'Part VII-Pro Forma'!D25</f>
        <v>-1059344.3643382434</v>
      </c>
      <c r="E979" s="1881">
        <f>'Part VII-Pro Forma'!E25</f>
        <v>-1059344.3643382434</v>
      </c>
      <c r="F979" s="1881">
        <f>'Part VII-Pro Forma'!F25</f>
        <v>-1059344.3643382434</v>
      </c>
      <c r="G979" s="1881">
        <f>'Part VII-Pro Forma'!G25</f>
        <v>-1059344.3643382434</v>
      </c>
      <c r="H979" s="1881">
        <f>'Part VII-Pro Forma'!H25</f>
        <v>-1059344.3643382434</v>
      </c>
      <c r="I979" s="1881">
        <f>'Part VII-Pro Forma'!I25</f>
        <v>-1059344.3643382434</v>
      </c>
      <c r="J979" s="1881">
        <f>'Part VII-Pro Forma'!J25</f>
        <v>-1059344.3643382434</v>
      </c>
      <c r="K979" s="1881">
        <f>'Part VII-Pro Forma'!K25</f>
        <v>-1059344.3643382434</v>
      </c>
      <c r="Q979" s="517">
        <v>5</v>
      </c>
      <c r="R979" s="518">
        <f>-SUM(B985:F985)</f>
        <v>1431429.5572617566</v>
      </c>
      <c r="S979" s="518">
        <f>SUM(B986:F986)+R979</f>
        <v>-3669395.3807412162</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1573026.5572617566</v>
      </c>
      <c r="S980" s="518">
        <f>SUM(B986:G986)+R980</f>
        <v>-4734536.1154509597</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1573026.5572617566</v>
      </c>
      <c r="S981" s="518">
        <f>SUM(B986:H986)+R981</f>
        <v>-5799850.7412718479</v>
      </c>
    </row>
    <row r="982" spans="1:19">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1573026.5572617566</v>
      </c>
      <c r="S982" s="518">
        <f>SUM(B986:I986)+R982</f>
        <v>-6865344.4749372164</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1573026.5572617566</v>
      </c>
      <c r="S983" s="518">
        <f>SUM(B986:J986)+R983</f>
        <v>-7931022.6896823971</v>
      </c>
    </row>
    <row r="984" spans="1:19">
      <c r="A984" s="742" t="s">
        <v>1163</v>
      </c>
      <c r="B984" s="1881">
        <f>'Part VII-Pro Forma'!B30</f>
        <v>-5000</v>
      </c>
      <c r="C984" s="1881">
        <f>'Part VII-Pro Forma'!C30</f>
        <v>-5150</v>
      </c>
      <c r="D984" s="1881">
        <f>'Part VII-Pro Forma'!D30</f>
        <v>-5304.5</v>
      </c>
      <c r="E984" s="1881">
        <f>'Part VII-Pro Forma'!E30</f>
        <v>-5463.6350000000002</v>
      </c>
      <c r="F984" s="1881">
        <f>'Part VII-Pro Forma'!F30</f>
        <v>-5627.5440500000004</v>
      </c>
      <c r="G984" s="1881">
        <f>'Part VII-Pro Forma'!G30</f>
        <v>-5796.3703715000001</v>
      </c>
      <c r="H984" s="1881">
        <f>'Part VII-Pro Forma'!H30</f>
        <v>-5970.2614826449999</v>
      </c>
      <c r="I984" s="1881">
        <f>'Part VII-Pro Forma'!I30</f>
        <v>-6149.3693271243501</v>
      </c>
      <c r="J984" s="1881">
        <f>'Part VII-Pro Forma'!J30</f>
        <v>-6333.8504069380806</v>
      </c>
      <c r="K984" s="1881">
        <f>'Part VII-Pro Forma'!K30</f>
        <v>-6523.865919146223</v>
      </c>
      <c r="Q984" s="517">
        <v>10</v>
      </c>
      <c r="R984" s="518">
        <f>-SUM(B985:K985)</f>
        <v>1573026.5572617566</v>
      </c>
      <c r="S984" s="518">
        <f>SUM(B986:K986)+R984</f>
        <v>-8996890.9199397862</v>
      </c>
    </row>
    <row r="985" spans="1:19">
      <c r="A985" s="742" t="s">
        <v>4084</v>
      </c>
      <c r="B985" s="1881">
        <f>'Part VII-Pro Forma'!B31</f>
        <v>-260005.55726175662</v>
      </c>
      <c r="C985" s="1881">
        <f>'Part VII-Pro Forma'!C31</f>
        <v>-273281</v>
      </c>
      <c r="D985" s="1881">
        <f>'Part VII-Pro Forma'!D31</f>
        <v>-286428</v>
      </c>
      <c r="E985" s="1881">
        <f>'Part VII-Pro Forma'!E31</f>
        <v>-299434</v>
      </c>
      <c r="F985" s="1881">
        <f>'Part VII-Pro Forma'!F31</f>
        <v>-312281</v>
      </c>
      <c r="G985" s="1881">
        <f>'Part VII-Pro Forma'!G31</f>
        <v>-141597</v>
      </c>
      <c r="H985" s="1881">
        <f>'Part VII-Pro Forma'!H31</f>
        <v>0</v>
      </c>
      <c r="I985" s="1881">
        <f>'Part VII-Pro Forma'!I31</f>
        <v>0</v>
      </c>
      <c r="J985" s="1881">
        <f>'Part VII-Pro Forma'!J31</f>
        <v>0</v>
      </c>
      <c r="K985" s="1881">
        <f>'Part VII-Pro Forma'!K31</f>
        <v>0</v>
      </c>
      <c r="Q985" s="517">
        <v>11</v>
      </c>
      <c r="R985" s="518">
        <f>-SUM(B985:K985)-B1015</f>
        <v>1573026.5572617566</v>
      </c>
      <c r="S985" s="518">
        <f>SUM(B986:K986)+B1016+R985</f>
        <v>-10062954.86617475</v>
      </c>
    </row>
    <row r="986" spans="1:19">
      <c r="A986" s="742" t="s">
        <v>1164</v>
      </c>
      <c r="B986" s="1881">
        <f>SUM(B978:B985)</f>
        <v>329522.19840000011</v>
      </c>
      <c r="C986" s="1881">
        <f t="shared" ref="C986:K986" si="285">SUM(C978:C985)</f>
        <v>-1337775.3643382434</v>
      </c>
      <c r="D986" s="1881">
        <f t="shared" si="285"/>
        <v>-1351076.8643382434</v>
      </c>
      <c r="E986" s="1881">
        <f t="shared" si="285"/>
        <v>-1364241.9993382434</v>
      </c>
      <c r="F986" s="1881">
        <f t="shared" si="285"/>
        <v>-1377252.9083882433</v>
      </c>
      <c r="G986" s="1881">
        <f t="shared" si="285"/>
        <v>-1206737.7347097434</v>
      </c>
      <c r="H986" s="1881">
        <f t="shared" si="285"/>
        <v>-1065314.6258208884</v>
      </c>
      <c r="I986" s="1881">
        <f t="shared" si="285"/>
        <v>-1065493.7336653678</v>
      </c>
      <c r="J986" s="1881">
        <f t="shared" si="285"/>
        <v>-1065678.2147451814</v>
      </c>
      <c r="K986" s="1881">
        <f t="shared" si="285"/>
        <v>-1065868.2302573896</v>
      </c>
      <c r="Q986" s="517">
        <v>12</v>
      </c>
      <c r="R986" s="518">
        <f>-SUM(B985:K985) - SUM(B1015:C1015)</f>
        <v>1573026.5572617566</v>
      </c>
      <c r="S986" s="518">
        <f>SUM(B986:K986) + SUM(B60:C60)+R986</f>
        <v>-8996890.9199397862</v>
      </c>
    </row>
    <row r="987" spans="1:19">
      <c r="A987" s="742" t="str">
        <f>IF('Part III-Sources of Funds'!$E$38 = "Neither", "", "DCR Mortgage A")</f>
        <v>DCR Mortgage A</v>
      </c>
      <c r="B987" s="1882">
        <f t="shared" ref="B987:K987" si="286">IF(B979=0,"",-B978/B979)</f>
        <v>1.5612223708134316</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1573026.5572617566</v>
      </c>
      <c r="S987" s="518">
        <f>SUM(B986:K986) + SUM(B1016:D1016)+R987</f>
        <v>-12195693.568639092</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1573026.5572617566</v>
      </c>
      <c r="S988" s="518">
        <f>SUM(B986:K986) + SUM(B1016:E1016)+R988</f>
        <v>-13262380.601544593</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1573026.5572617566</v>
      </c>
      <c r="S989" s="518">
        <f>SUM(B986:K986) + SUM(B1016:F1016)+R989</f>
        <v>-14329287.91450711</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1573026.5572617566</v>
      </c>
      <c r="S990" s="518">
        <f>SUM(B986:K986) + SUM(B1016:G1016)+R990</f>
        <v>-15388632.278845355</v>
      </c>
    </row>
    <row r="991" spans="1:19">
      <c r="A991" s="742" t="s">
        <v>3712</v>
      </c>
      <c r="B991" s="1882">
        <f t="shared" ref="B991:K991" si="290">IF(AND(B979=0,B980=0,B981=0,B982=0),"",-B978/(B979+B980+B981+B982))</f>
        <v>1.5612223708134316</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1573026.5572617566</v>
      </c>
      <c r="S991" s="518">
        <f>SUM(B986:K986) + SUM(B1016:H1016)+R991</f>
        <v>-16447976.643183596</v>
      </c>
    </row>
    <row r="992" spans="1:19">
      <c r="A992" s="742" t="s">
        <v>770</v>
      </c>
      <c r="B992" s="1883">
        <f t="shared" ref="B992:K992" si="291">IF(OR(B976="Choose mgt fee",B976="Choose One!"),"",(B970+B971+B972+B973+B974) / -(B975+B976+B977))</f>
        <v>2.407976128958111</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1573026.5572617566</v>
      </c>
      <c r="S992" s="518">
        <f>SUM(B986:K986) + SUM(B1016:I1016)+R992</f>
        <v>-17507321.007521842</v>
      </c>
    </row>
    <row r="993" spans="1:19">
      <c r="A993" s="742" t="s">
        <v>2617</v>
      </c>
      <c r="B993" s="1881">
        <f>'Part VII-Pro Forma'!B39</f>
        <v>20757532.064481884</v>
      </c>
      <c r="C993" s="1881">
        <f>'Part VII-Pro Forma'!C39</f>
        <v>20440257.805174336</v>
      </c>
      <c r="D993" s="1881">
        <f>'Part VII-Pro Forma'!D39</f>
        <v>20111371.3142302</v>
      </c>
      <c r="E993" s="1881">
        <f>'Part VII-Pro Forma'!E39</f>
        <v>19770447.584200475</v>
      </c>
      <c r="F993" s="1881">
        <f>'Part VII-Pro Forma'!F39</f>
        <v>19417046.052371908</v>
      </c>
      <c r="G993" s="1881">
        <f>'Part VII-Pro Forma'!G39</f>
        <v>19050710.03144462</v>
      </c>
      <c r="H993" s="1881">
        <f>'Part VII-Pro Forma'!H39</f>
        <v>18670966.119372562</v>
      </c>
      <c r="I993" s="1881">
        <f>'Part VII-Pro Forma'!I39</f>
        <v>18277323.587604128</v>
      </c>
      <c r="J993" s="1881">
        <f>'Part VII-Pro Forma'!J39</f>
        <v>17869273.746932402</v>
      </c>
      <c r="K993" s="1881">
        <f>'Part VII-Pro Forma'!K39</f>
        <v>17446289.290135514</v>
      </c>
      <c r="Q993" s="517">
        <v>19</v>
      </c>
      <c r="R993" s="518">
        <f>-SUM(B985:K985) - SUM(B1015:J1015)</f>
        <v>1573026.5572617566</v>
      </c>
      <c r="S993" s="518">
        <f>SUM(B986:K986) + SUM(B1016:J1016)+R993</f>
        <v>-18566665.371860087</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1573026.5572617566</v>
      </c>
      <c r="S994" s="518">
        <f>SUM(B986:K986) + SUM(B1016:K1016)+R994</f>
        <v>-19626009.736198328</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4085</v>
      </c>
      <c r="B997" s="1881">
        <f>'Part VII-Pro Forma'!B43</f>
        <v>1313021.4427382434</v>
      </c>
      <c r="C997" s="1881">
        <f>'Part VII-Pro Forma'!C43</f>
        <v>1039740.4427382434</v>
      </c>
      <c r="D997" s="1881">
        <f>'Part VII-Pro Forma'!D43</f>
        <v>753312.44273824338</v>
      </c>
      <c r="E997" s="1881">
        <f>'Part VII-Pro Forma'!E43</f>
        <v>453878.44273824338</v>
      </c>
      <c r="F997" s="1881">
        <f>'Part VII-Pro Forma'!F43</f>
        <v>141597.44273824338</v>
      </c>
      <c r="G997" s="1881">
        <f>'Part VII-Pro Forma'!G43</f>
        <v>0.44273824337869883</v>
      </c>
      <c r="H997" s="1881">
        <f>'Part VII-Pro Forma'!H43</f>
        <v>0.44273824337869883</v>
      </c>
      <c r="I997" s="1881">
        <f>'Part VII-Pro Forma'!I43</f>
        <v>0.44273824337869883</v>
      </c>
      <c r="J997" s="1881">
        <f>'Part VII-Pro Forma'!J43</f>
        <v>0.44273824337869883</v>
      </c>
      <c r="K997" s="1881">
        <f>'Part VII-Pro Forma'!K43</f>
        <v>0.44273824337869883</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-1059344.3643382434</v>
      </c>
      <c r="C1009" s="1881">
        <f>'Part VII-Pro Forma'!C57</f>
        <v>-1059344.3643382434</v>
      </c>
      <c r="D1009" s="1881">
        <f>'Part VII-Pro Forma'!D57</f>
        <v>-1059344.3643382434</v>
      </c>
      <c r="E1009" s="1881">
        <f>'Part VII-Pro Forma'!E57</f>
        <v>-1059344.3643382434</v>
      </c>
      <c r="F1009" s="1881">
        <f>'Part VII-Pro Forma'!F57</f>
        <v>-1059344.3643382434</v>
      </c>
      <c r="G1009" s="1881">
        <f>'Part VII-Pro Forma'!G57</f>
        <v>-1059344.3643382434</v>
      </c>
      <c r="H1009" s="1881">
        <f>'Part VII-Pro Forma'!H57</f>
        <v>-1059344.3643382434</v>
      </c>
      <c r="I1009" s="1881">
        <f>'Part VII-Pro Forma'!I57</f>
        <v>-1059344.3643382434</v>
      </c>
      <c r="J1009" s="1881">
        <f>'Part VII-Pro Forma'!J57</f>
        <v>-1059344.3643382434</v>
      </c>
      <c r="K1009" s="1881">
        <f>'Part VII-Pro Forma'!K57</f>
        <v>-1059344.3643382434</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-6719.5818967206096</v>
      </c>
      <c r="C1014" s="1881">
        <f>'Part VII-Pro Forma'!C62</f>
        <v>-6921.1693536222283</v>
      </c>
      <c r="D1014" s="1881">
        <f>'Part VII-Pro Forma'!D62</f>
        <v>-7128.8044342308949</v>
      </c>
      <c r="E1014" s="1881">
        <f>'Part VII-Pro Forma'!E62</f>
        <v>-7342.6685672578224</v>
      </c>
      <c r="F1014" s="1881">
        <f>'Part VII-Pro Forma'!F62</f>
        <v>-7562.9486242755574</v>
      </c>
      <c r="G1014" s="1881">
        <f>'Part VII-Pro Forma'!G62</f>
        <v>0</v>
      </c>
      <c r="H1014" s="1881">
        <f>'Part VII-Pro Forma'!H62</f>
        <v>0</v>
      </c>
      <c r="I1014" s="1881">
        <f>'Part VII-Pro Forma'!I62</f>
        <v>0</v>
      </c>
      <c r="J1014" s="1881">
        <f>'Part VII-Pro Forma'!J62</f>
        <v>0</v>
      </c>
      <c r="K1014" s="1881">
        <f>'Part VII-Pro Forma'!K62</f>
        <v>0</v>
      </c>
    </row>
    <row r="1015" spans="1:11">
      <c r="A1015" s="742" t="s">
        <v>4084</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-1066063.9462349641</v>
      </c>
      <c r="C1016" s="1881">
        <f t="shared" ref="C1016:K1016" si="299">SUM(C1008:C1015)</f>
        <v>-1066265.5336918656</v>
      </c>
      <c r="D1016" s="1881">
        <f t="shared" si="299"/>
        <v>-1066473.1687724742</v>
      </c>
      <c r="E1016" s="1881">
        <f t="shared" si="299"/>
        <v>-1066687.0329055013</v>
      </c>
      <c r="F1016" s="1881">
        <f t="shared" si="299"/>
        <v>-1066907.312962519</v>
      </c>
      <c r="G1016" s="1881">
        <f t="shared" si="299"/>
        <v>-1059344.3643382434</v>
      </c>
      <c r="H1016" s="1881">
        <f t="shared" si="299"/>
        <v>-1059344.3643382434</v>
      </c>
      <c r="I1016" s="1881">
        <f t="shared" si="299"/>
        <v>-1059344.3643382434</v>
      </c>
      <c r="J1016" s="1881">
        <f t="shared" si="299"/>
        <v>-1059344.3643382434</v>
      </c>
      <c r="K1016" s="1881">
        <f t="shared" si="299"/>
        <v>-1059344.3643382434</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17007823.610557675</v>
      </c>
      <c r="C1023" s="1881">
        <f>'Part VII-Pro Forma'!C71</f>
        <v>16553310.095750269</v>
      </c>
      <c r="D1023" s="1881">
        <f>'Part VII-Pro Forma'!D71</f>
        <v>16082161.395260222</v>
      </c>
      <c r="E1023" s="1881">
        <f>'Part VII-Pro Forma'!E71</f>
        <v>15593768.661619458</v>
      </c>
      <c r="F1023" s="1881">
        <f>'Part VII-Pro Forma'!F71</f>
        <v>15087500.763554577</v>
      </c>
      <c r="G1023" s="1881">
        <f>'Part VII-Pro Forma'!G71</f>
        <v>14562703.470400009</v>
      </c>
      <c r="H1023" s="1881">
        <f>'Part VII-Pro Forma'!H71</f>
        <v>14018698.60666072</v>
      </c>
      <c r="I1023" s="1881">
        <f>'Part VII-Pro Forma'!I71</f>
        <v>13454783.175631925</v>
      </c>
      <c r="J1023" s="1881">
        <f>'Part VII-Pro Forma'!J71</f>
        <v>12870228.450943306</v>
      </c>
      <c r="K1023" s="1881">
        <f>'Part VII-Pro Forma'!K71</f>
        <v>12264279.034853749</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4085</v>
      </c>
      <c r="B1027" s="1881">
        <f>'Part VII-Pro Forma'!B75</f>
        <v>0.44273824337869883</v>
      </c>
      <c r="C1027" s="1881">
        <f>'Part VII-Pro Forma'!C75</f>
        <v>0.44273824337869883</v>
      </c>
      <c r="D1027" s="1881">
        <f>'Part VII-Pro Forma'!D75</f>
        <v>0.44273824337869883</v>
      </c>
      <c r="E1027" s="1881">
        <f>'Part VII-Pro Forma'!E75</f>
        <v>0.44273824337869883</v>
      </c>
      <c r="F1027" s="1881">
        <f>'Part VII-Pro Forma'!F75</f>
        <v>0.44273824337869883</v>
      </c>
      <c r="G1027" s="1881">
        <f>'Part VII-Pro Forma'!G75</f>
        <v>0.44273824337869883</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-1059344.3643382434</v>
      </c>
      <c r="C1039" s="1881">
        <f>'Part VII-Pro Forma'!C89</f>
        <v>-1059344.3643382434</v>
      </c>
      <c r="D1039" s="1881">
        <f>'Part VII-Pro Forma'!D89</f>
        <v>-1059344.3643382434</v>
      </c>
      <c r="E1039" s="1881">
        <f>'Part VII-Pro Forma'!E89</f>
        <v>-1059344.3643382434</v>
      </c>
      <c r="F1039" s="1881">
        <f>'Part VII-Pro Forma'!F89</f>
        <v>-1059344.3643382434</v>
      </c>
      <c r="G1039" s="1881">
        <f>'Part VII-Pro Forma'!G89</f>
        <v>-1059344.3643382434</v>
      </c>
      <c r="H1039" s="1881">
        <f>'Part VII-Pro Forma'!H89</f>
        <v>-1059344.3643382434</v>
      </c>
      <c r="I1039" s="1881">
        <f>'Part VII-Pro Forma'!I89</f>
        <v>-1059344.3643382434</v>
      </c>
      <c r="J1039" s="1881">
        <f>'Part VII-Pro Forma'!J89</f>
        <v>-1059344.3643382434</v>
      </c>
      <c r="K1039" s="1881">
        <f>'Part VII-Pro Forma'!K89</f>
        <v>-1059344.3643382434</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-1059344.3643382434</v>
      </c>
      <c r="C1045" s="1881">
        <f t="shared" si="313"/>
        <v>-1059344.3643382434</v>
      </c>
      <c r="D1045" s="1881">
        <f t="shared" si="313"/>
        <v>-1059344.3643382434</v>
      </c>
      <c r="E1045" s="1881">
        <f t="shared" si="313"/>
        <v>-1059344.3643382434</v>
      </c>
      <c r="F1045" s="1881">
        <f t="shared" si="313"/>
        <v>-1059344.3643382434</v>
      </c>
      <c r="G1045" s="1881">
        <f t="shared" si="313"/>
        <v>-1059344.3643382434</v>
      </c>
      <c r="H1045" s="1881">
        <f t="shared" si="313"/>
        <v>-1059344.3643382434</v>
      </c>
      <c r="I1045" s="1881">
        <f t="shared" si="313"/>
        <v>-1059344.3643382434</v>
      </c>
      <c r="J1045" s="1881">
        <f t="shared" si="313"/>
        <v>-1059344.3643382434</v>
      </c>
      <c r="K1045" s="1881">
        <f t="shared" si="313"/>
        <v>-1059344.3643382434</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11636151.882079709</v>
      </c>
      <c r="C1052" s="1881">
        <f>'Part VII-Pro Forma'!C102</f>
        <v>10985035.287895702</v>
      </c>
      <c r="D1052" s="1881">
        <f>'Part VII-Pro Forma'!D102</f>
        <v>10310087.839199286</v>
      </c>
      <c r="E1052" s="1881">
        <f>'Part VII-Pro Forma'!E102</f>
        <v>9610437.3271850571</v>
      </c>
      <c r="F1052" s="1881">
        <f>'Part VII-Pro Forma'!F102</f>
        <v>8885179.6202225275</v>
      </c>
      <c r="G1052" s="1881">
        <f>'Part VII-Pro Forma'!G102</f>
        <v>8133377.495481356</v>
      </c>
      <c r="H1052" s="1881">
        <f>'Part VII-Pro Forma'!H102</f>
        <v>7354059.427794083</v>
      </c>
      <c r="I1052" s="1881">
        <f>'Part VII-Pro Forma'!I102</f>
        <v>6546218.334191272</v>
      </c>
      <c r="J1052" s="1881">
        <f>'Part VII-Pro Forma'!J102</f>
        <v>5708810.2724866569</v>
      </c>
      <c r="K1052" s="1881">
        <f>'Part VII-Pro Forma'!K102</f>
        <v>4840753.0922305323</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-1059344.3643382434</v>
      </c>
      <c r="C1067" s="1881">
        <f>'Part VII-Pro Forma'!C119</f>
        <v>-1059344.3643382434</v>
      </c>
      <c r="D1067" s="1881">
        <f>'Part VII-Pro Forma'!D119</f>
        <v>-1059344.3643382434</v>
      </c>
      <c r="E1067" s="1881">
        <f>'Part VII-Pro Forma'!E119</f>
        <v>-1059344.3643382434</v>
      </c>
      <c r="F1067" s="1881">
        <f>'Part VII-Pro Forma'!F119</f>
        <v>-1059344.3643382434</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-1059344.3643382434</v>
      </c>
      <c r="C1073" s="1881">
        <f>SUM(C1066:C1072)</f>
        <v>-1059344.3643382434</v>
      </c>
      <c r="D1073" s="1881">
        <f>SUM(D1066:D1072)</f>
        <v>-1059344.3643382434</v>
      </c>
      <c r="E1073" s="1881">
        <f>SUM(E1066:E1072)</f>
        <v>-1059344.3643382434</v>
      </c>
      <c r="F1073" s="1881">
        <f>SUM(F1066:F1072)</f>
        <v>-1059344.3643382434</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3940925.036288064</v>
      </c>
      <c r="C1080" s="1881">
        <f>'Part VII-Pro Forma'!C132</f>
        <v>3008163.2912353952</v>
      </c>
      <c r="D1080" s="1881">
        <f>'Part VII-Pro Forma'!D132</f>
        <v>2041262.484700277</v>
      </c>
      <c r="E1080" s="1881">
        <f>'Part VII-Pro Forma'!E132</f>
        <v>1038973.1277053966</v>
      </c>
      <c r="F1080" s="1881">
        <f>'Part VII-Pro Forma'!F132</f>
        <v>1.5015248209238052E-6</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The debt service payments do not deviate from the amount shown the Souces of Funds tab. The development meets Threshold Feasibility requirements.</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Somersby,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4537</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3753</v>
      </c>
      <c r="C1125" s="1866"/>
      <c r="D1125" s="1866"/>
      <c r="E1125" s="1866"/>
      <c r="F1125" s="1866"/>
      <c r="G1125" s="1895"/>
      <c r="H1125" s="1895"/>
      <c r="I1125" s="1895"/>
      <c r="J1125" s="1895"/>
      <c r="K1125" s="1812"/>
      <c r="L1125" s="1812"/>
      <c r="M1125" s="1812"/>
      <c r="N1125" s="1812"/>
      <c r="O1125" s="1812"/>
      <c r="P1125" s="1812"/>
    </row>
    <row r="1126" spans="1:17" ht="303.75">
      <c r="A1126" s="1900"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4538</v>
      </c>
      <c r="B1131" s="1902"/>
      <c r="C1131" s="1902"/>
      <c r="D1131" s="1902"/>
      <c r="E1131" s="1902"/>
      <c r="F1131" s="1902"/>
      <c r="G1131" s="1741" t="s">
        <v>2715</v>
      </c>
      <c r="H1131" s="1741"/>
      <c r="I1131" s="1894"/>
      <c r="J1131" s="1631"/>
      <c r="K1131" s="1894" t="s">
        <v>3634</v>
      </c>
      <c r="L1131" s="1894"/>
      <c r="M1131" s="1894"/>
      <c r="N1131" s="1894"/>
    </row>
    <row r="1132" spans="1:17" ht="13.5">
      <c r="A1132" s="1902"/>
      <c r="B1132" s="1902"/>
      <c r="C1132" s="1902"/>
      <c r="D1132" s="1902"/>
      <c r="E1132" s="1902"/>
      <c r="F1132" s="1902"/>
      <c r="G1132" s="1741" t="s">
        <v>346</v>
      </c>
      <c r="H1132" s="1741"/>
      <c r="I1132" s="1894"/>
      <c r="J1132" s="1631"/>
      <c r="K1132" s="521" t="s">
        <v>3635</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3891</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49998466.819839999</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4088</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64</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64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51930500</v>
      </c>
      <c r="Q1157" s="1926">
        <f>'Part VIII-Threshold Criteria'!Q63</f>
        <v>0</v>
      </c>
    </row>
    <row r="1158" spans="1:17" ht="12.75" customHeight="1">
      <c r="C1158" s="1631"/>
      <c r="D1158" s="1906" t="s">
        <v>2441</v>
      </c>
      <c r="E1158" s="1895">
        <v>2</v>
      </c>
      <c r="F1158" s="1907">
        <f>'Part VI-Revenues &amp; Expenses'!$L$141</f>
        <v>120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120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60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60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4539</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244</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244</v>
      </c>
      <c r="G1163" s="1698"/>
      <c r="H1163" s="1931">
        <f>'Part VIII-Threshold Criteria'!H69</f>
        <v>51930500</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3753</v>
      </c>
      <c r="D1164" s="1842"/>
      <c r="E1164" s="1842"/>
      <c r="F1164" s="1842"/>
      <c r="G1164" s="1842"/>
      <c r="H1164" s="1841"/>
      <c r="I1164" s="1895"/>
      <c r="J1164" s="1895"/>
      <c r="K1164" s="1897" t="s">
        <v>1866</v>
      </c>
      <c r="L1164" s="1812"/>
      <c r="M1164" s="1812"/>
      <c r="N1164" s="1812"/>
      <c r="O1164" s="1812"/>
      <c r="P1164" s="1812"/>
      <c r="Q1164" s="1812"/>
    </row>
    <row r="1165" spans="1:17">
      <c r="A1165" s="1900" t="str">
        <f>'Part VIII-Threshold Criteria'!A71</f>
        <v>The Project Cost Limit is $51,930,500 and the proposed property is below cost limits.</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3753</v>
      </c>
      <c r="D1168" s="1842"/>
      <c r="E1168" s="1842"/>
      <c r="F1168" s="1842"/>
      <c r="G1168" s="1842"/>
      <c r="H1168" s="1841"/>
      <c r="I1168" s="1895"/>
      <c r="J1168" s="1895"/>
      <c r="K1168" s="1897" t="s">
        <v>1866</v>
      </c>
      <c r="L1168" s="1812"/>
      <c r="M1168" s="1812"/>
      <c r="N1168" s="1812"/>
      <c r="O1168" s="1812"/>
      <c r="P1168" s="1812"/>
      <c r="Q1168" s="1812"/>
    </row>
    <row r="1169" spans="1:17">
      <c r="A1169" s="1900" t="str">
        <f>'Part VIII-Threshold Criteria'!A75</f>
        <v>This development is a family development.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3741</v>
      </c>
      <c r="D1173" s="1921"/>
      <c r="E1173" s="1921"/>
      <c r="F1173" s="1921"/>
      <c r="G1173" s="1921"/>
      <c r="H1173" s="1921"/>
      <c r="I1173" s="1921"/>
      <c r="K1173" s="1921"/>
      <c r="L1173" s="1921"/>
      <c r="M1173" s="1934" t="s">
        <v>3696</v>
      </c>
      <c r="O1173" s="1900"/>
      <c r="P1173" s="1938" t="str">
        <f>'Part VIII-Threshold Criteria'!P79</f>
        <v>Agree</v>
      </c>
    </row>
    <row r="1174" spans="1:17">
      <c r="A1174" s="1935" t="s">
        <v>1985</v>
      </c>
      <c r="B1174" s="1841" t="s">
        <v>3740</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3902</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3893</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3753</v>
      </c>
      <c r="D1181" s="1842"/>
      <c r="E1181" s="1842"/>
      <c r="F1181" s="1842"/>
      <c r="G1181" s="1842"/>
      <c r="H1181" s="1841"/>
      <c r="I1181" s="1895"/>
      <c r="J1181" s="1895"/>
      <c r="K1181" s="1897" t="s">
        <v>1866</v>
      </c>
      <c r="L1181" s="1812"/>
      <c r="M1181" s="1812"/>
      <c r="N1181" s="1812"/>
      <c r="O1181" s="1812"/>
      <c r="P1181" s="1812"/>
      <c r="Q1181" s="1812"/>
    </row>
    <row r="1182" spans="1:17" ht="146.25">
      <c r="A1182" s="1900" t="str">
        <f>'Part VIII-Threshold Criteria'!A90</f>
        <v>Elmington Property Management will identify the needs of the community and provide social and recreational programming.</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Real Property Research Group</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11-12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0.98599999999999999</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3895</v>
      </c>
      <c r="D1189" s="1867"/>
      <c r="E1189" s="1867"/>
      <c r="F1189" s="1867"/>
      <c r="L1189" s="1937" t="s">
        <v>3896</v>
      </c>
      <c r="M1189" s="2161">
        <f>'Part VIII-Threshold Criteria'!M97</f>
        <v>5.1999999999999998E-2</v>
      </c>
      <c r="N1189" s="1939"/>
      <c r="O1189" s="1940" t="s">
        <v>4127</v>
      </c>
      <c r="P1189" s="2008" t="str">
        <f>'Part VIII-Threshold Criteria'!P97</f>
        <v>N/A</v>
      </c>
      <c r="Q1189" s="1938">
        <f>'Part VIII-Threshold Criteria'!Q97</f>
        <v>0</v>
      </c>
    </row>
    <row r="1190" spans="1:17">
      <c r="A1190" s="1933" t="s">
        <v>1735</v>
      </c>
      <c r="B1190" s="1921" t="s">
        <v>3894</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2004-517</v>
      </c>
      <c r="E1192" s="1894" t="str">
        <f>'Part VIII-Threshold Criteria'!E100</f>
        <v>Brookside</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f>'Part VIII-Threshold Criteria'!D101</f>
        <v>0</v>
      </c>
      <c r="E1193" s="1894">
        <f>'Part VIII-Threshold Criteria'!E101</f>
        <v>0</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3612</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3613</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3753</v>
      </c>
      <c r="D1200" s="1842"/>
      <c r="E1200" s="1842"/>
      <c r="F1200" s="1842"/>
      <c r="G1200" s="1842"/>
      <c r="H1200" s="1841"/>
      <c r="I1200" s="1895"/>
      <c r="J1200" s="1895"/>
      <c r="K1200" s="1895"/>
      <c r="L1200" s="1812"/>
      <c r="M1200" s="1812"/>
      <c r="N1200" s="1812"/>
      <c r="O1200" s="1812"/>
      <c r="P1200" s="1812"/>
      <c r="Q1200" s="1812"/>
    </row>
    <row r="1201" spans="1:17">
      <c r="A1201" s="1900" t="str">
        <f>'Part VIII-Threshold Criteria'!A104</f>
        <v>The development will include 244 units. The overall market has a very healthy occupancy of 98.6% and an overall capture rate of 5.2%. There has only been one LIHTC development funded in the Primary Market Area in DCA's history.</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Brian Neukam, Novogradac &amp; Company LLC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3753</v>
      </c>
      <c r="D1218" s="1842"/>
      <c r="E1218" s="1842"/>
      <c r="F1218" s="1842"/>
      <c r="G1218" s="1842"/>
      <c r="H1218" s="1841"/>
      <c r="I1218" s="1895"/>
      <c r="J1218" s="1895"/>
      <c r="K1218" s="1895"/>
      <c r="L1218" s="1812"/>
      <c r="M1218" s="1812"/>
      <c r="N1218" s="1812"/>
      <c r="O1218" s="1812"/>
      <c r="P1218" s="1812"/>
      <c r="Q1218" s="1812"/>
    </row>
    <row r="1219" spans="1:17">
      <c r="A1219" s="1900" t="str">
        <f>'Part VIII-Threshold Criteria'!A124</f>
        <v>The appraisal has been provided by Novogradac &amp; Company LLC with a land value of $3,200,000 as of October 12, 2020, supporting the value. There is no identity of interest between the buyer and seller. The appraisal meets USPAP standards.</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3636</v>
      </c>
      <c r="D1224" s="1867"/>
      <c r="E1224" s="1867"/>
      <c r="F1224" s="1867"/>
      <c r="G1224" s="1867"/>
      <c r="H1224" s="1867"/>
      <c r="I1224" s="1631"/>
      <c r="J1224" s="1631"/>
      <c r="K1224" s="1937" t="s">
        <v>1983</v>
      </c>
      <c r="L1224" s="1820" t="str">
        <f>'Part VIII-Threshold Criteria'!L129</f>
        <v>Geotechnical &amp; Environmental Consulting,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Geotechnical &amp; Environmental Consulting,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70</v>
      </c>
      <c r="Q1228" s="1938">
        <f>'Part VIII-Threshold Criteria'!Q133</f>
        <v>0</v>
      </c>
    </row>
    <row r="1229" spans="1:17">
      <c r="A1229" s="1825"/>
      <c r="B1229" s="1937" t="s">
        <v>1739</v>
      </c>
      <c r="C1229" s="521" t="s">
        <v>4114</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4540</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3753</v>
      </c>
      <c r="D1258" s="1842"/>
      <c r="E1258" s="1842"/>
      <c r="F1258" s="1842"/>
      <c r="G1258" s="1842"/>
      <c r="H1258" s="1841"/>
      <c r="I1258" s="1895"/>
      <c r="J1258" s="1895"/>
      <c r="K1258" s="1895"/>
      <c r="L1258" s="1812"/>
      <c r="M1258" s="1812"/>
      <c r="N1258" s="1812"/>
      <c r="O1258" s="1812"/>
      <c r="P1258" s="1812"/>
      <c r="Q1258" s="1812"/>
    </row>
    <row r="1259" spans="1:17">
      <c r="A1259" s="1900" t="str">
        <f>'Part VIII-Threshold Criteria'!A160</f>
        <v>The Phase I Environmental reported only Noise concerns. A Noise Attenuation Plan has been submitted that meets the QAP requirements.</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4541</v>
      </c>
      <c r="D1265" s="521"/>
      <c r="E1265" s="521"/>
      <c r="F1265" s="521"/>
      <c r="G1265" s="521"/>
      <c r="I1265" s="521" t="s">
        <v>2707</v>
      </c>
      <c r="K1265" s="2162">
        <f>'Part VIII-Threshold Criteria'!K166</f>
        <v>44404</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Prestwick Land Holdings,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3753</v>
      </c>
      <c r="D1269" s="1842"/>
      <c r="E1269" s="1842"/>
      <c r="F1269" s="1842"/>
      <c r="G1269" s="1842"/>
      <c r="H1269" s="1841"/>
      <c r="I1269" s="1895"/>
      <c r="J1269" s="1895"/>
      <c r="K1269" s="1895"/>
      <c r="L1269" s="1812"/>
      <c r="M1269" s="1812"/>
      <c r="N1269" s="1812"/>
      <c r="O1269" s="1812"/>
      <c r="P1269" s="1812"/>
      <c r="Q1269" s="1812"/>
    </row>
    <row r="1270" spans="1:17">
      <c r="A1270" s="1900" t="str">
        <f>'Part VIII-Threshold Criteria'!A170</f>
        <v xml:space="preserve">The entity with site control has the authority to assign the contract to Somersby Family I, LP. </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3637</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749</v>
      </c>
      <c r="B1277" s="1900" t="s">
        <v>3743</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3753</v>
      </c>
      <c r="D1279" s="1842"/>
      <c r="E1279" s="1842"/>
      <c r="F1279" s="1842"/>
      <c r="G1279" s="1842"/>
      <c r="H1279" s="1841"/>
      <c r="I1279" s="1895"/>
      <c r="J1279" s="1895"/>
      <c r="K1279" s="1895"/>
      <c r="L1279" s="1812"/>
      <c r="M1279" s="1812"/>
      <c r="N1279" s="1812"/>
      <c r="O1279" s="1812"/>
      <c r="P1279" s="1812"/>
      <c r="Q1279" s="1812"/>
    </row>
    <row r="1280" spans="1:17">
      <c r="A1280" s="1900" t="str">
        <f>'Part VIII-Threshold Criteria'!A180</f>
        <v>The site entrance is legally accessible by paved roads.</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4542</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3897</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3753</v>
      </c>
      <c r="D1296" s="1842"/>
      <c r="E1296" s="1842"/>
      <c r="F1296" s="1842"/>
      <c r="G1296" s="1842"/>
      <c r="H1296" s="1841"/>
      <c r="I1296" s="1895"/>
      <c r="J1296" s="1895"/>
      <c r="K1296" s="1895"/>
      <c r="L1296" s="1812"/>
      <c r="M1296" s="1812"/>
      <c r="N1296" s="1812"/>
      <c r="O1296" s="1812"/>
      <c r="P1296" s="1812"/>
      <c r="Q1296" s="1812"/>
    </row>
    <row r="1297" spans="1:17">
      <c r="A1297" s="1900" t="str">
        <f>'Part VIII-Threshold Criteria'!A197</f>
        <v>The site is zoned for its intended use.</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3753</v>
      </c>
      <c r="C1303" s="1838"/>
      <c r="D1303" s="1838"/>
      <c r="E1303" s="1838"/>
      <c r="F1303" s="1838"/>
      <c r="H1303" s="1937" t="s">
        <v>1738</v>
      </c>
      <c r="I1303" s="521" t="s">
        <v>1596</v>
      </c>
      <c r="J1303" s="1894" t="str">
        <f>'Part VIII-Threshold Criteria'!J204</f>
        <v>College Park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t="str">
        <f>'Part VIII-Threshold Criteria'!A205</f>
        <v>The proposed development will be 100% electric. No gas.</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Clayton County Water Authority</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Clayton County Water Authority</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3903</v>
      </c>
      <c r="D1314" s="521"/>
      <c r="E1314" s="521"/>
      <c r="F1314" s="521"/>
      <c r="G1314" s="521"/>
      <c r="H1314" s="521"/>
      <c r="I1314" s="521"/>
      <c r="J1314" s="521"/>
      <c r="K1314" s="1631"/>
      <c r="L1314" s="521"/>
      <c r="M1314" s="521"/>
      <c r="O1314" s="1937" t="s">
        <v>749</v>
      </c>
      <c r="P1314" s="1938" t="str">
        <f>'Part VIII-Threshold Criteria'!P212</f>
        <v>No</v>
      </c>
      <c r="Q1314" s="1938">
        <f>'Part VIII-Threshold Criteria'!Q212</f>
        <v>0</v>
      </c>
    </row>
    <row r="1315" spans="1:17">
      <c r="A1315" s="1935" t="s">
        <v>2115</v>
      </c>
      <c r="B1315" s="521" t="s">
        <v>3904</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3753</v>
      </c>
      <c r="D1316" s="1842"/>
      <c r="E1316" s="1842"/>
      <c r="F1316" s="1842"/>
      <c r="G1316" s="1842"/>
      <c r="H1316" s="1841"/>
      <c r="I1316" s="1895"/>
      <c r="J1316" s="1895"/>
      <c r="K1316" s="1895"/>
      <c r="L1316" s="1812"/>
      <c r="M1316" s="1812"/>
      <c r="N1316" s="1812"/>
      <c r="O1316" s="1812"/>
      <c r="P1316" s="1812"/>
      <c r="Q1316" s="1812"/>
    </row>
    <row r="1317" spans="1:17">
      <c r="A1317" s="1900" t="str">
        <f>'Part VIII-Threshold Criteria'!A215</f>
        <v>There is currently water and sewer available at the site.</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4543</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f>'Part VIII-Threshold Criteria'!P226</f>
        <v>0</v>
      </c>
      <c r="Q1327" s="1938">
        <f>'Part VIII-Threshold Criteria'!Q226</f>
        <v>0</v>
      </c>
    </row>
    <row r="1328" spans="1:17">
      <c r="A1328" s="1935"/>
      <c r="B1328" s="521" t="s">
        <v>4544</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67.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67.5">
      <c r="A1331" s="1938"/>
      <c r="B1331" s="1937" t="s">
        <v>1738</v>
      </c>
      <c r="C1331" s="1900" t="str">
        <f>'Part VIII-Threshold Criteria'!C230</f>
        <v>Wellness Center</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f>'Part VIII-Threshold Criteria'!P233</f>
        <v>0</v>
      </c>
      <c r="Q1332" s="1938">
        <f>'Part VIII-Threshold Criteria'!Q233</f>
        <v>0</v>
      </c>
    </row>
    <row r="1333" spans="1:17">
      <c r="A1333" s="1935"/>
      <c r="B1333" s="1937" t="s">
        <v>1737</v>
      </c>
      <c r="C1333" s="521" t="s">
        <v>3465</v>
      </c>
      <c r="E1333" s="521"/>
      <c r="F1333" s="521"/>
      <c r="L1333" s="1631"/>
      <c r="M1333" s="1631"/>
      <c r="O1333" s="1937" t="s">
        <v>1737</v>
      </c>
      <c r="P1333" s="1938">
        <f>'Part VIII-Threshold Criteria'!P234</f>
        <v>0</v>
      </c>
      <c r="Q1333" s="1938">
        <f>'Part VIII-Threshold Criteria'!Q234</f>
        <v>0</v>
      </c>
    </row>
    <row r="1334" spans="1:17">
      <c r="B1334" s="1937" t="s">
        <v>1738</v>
      </c>
      <c r="C1334" s="1841" t="s">
        <v>2808</v>
      </c>
      <c r="E1334" s="1841"/>
      <c r="F1334" s="1841"/>
      <c r="L1334" s="1631"/>
      <c r="M1334" s="1631"/>
      <c r="O1334" s="1937" t="s">
        <v>1738</v>
      </c>
      <c r="P1334" s="1938">
        <f>'Part VIII-Threshold Criteria'!P235</f>
        <v>0</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f>'Part VIII-Threshold Criteria'!P236</f>
        <v>0</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f>'Part VIII-Threshold Criteria'!P237</f>
        <v>0</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f>'Part VIII-Threshold Criteria'!P238</f>
        <v>0</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f>'Part VIII-Threshold Criteria'!P239</f>
        <v>0</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f>'Part VIII-Threshold Criteria'!P240</f>
        <v>0</v>
      </c>
      <c r="Q1339" s="1938">
        <f>'Part VIII-Threshold Criteria'!Q240</f>
        <v>0</v>
      </c>
    </row>
    <row r="1340" spans="1:17">
      <c r="A1340" s="1935" t="s">
        <v>2115</v>
      </c>
      <c r="B1340" s="521" t="s">
        <v>3662</v>
      </c>
      <c r="C1340" s="521"/>
      <c r="E1340" s="521"/>
      <c r="F1340" s="521"/>
      <c r="G1340" s="521"/>
      <c r="H1340" s="521"/>
      <c r="I1340" s="521"/>
      <c r="J1340" s="521"/>
      <c r="K1340" s="1631"/>
      <c r="L1340" s="521"/>
      <c r="M1340" s="521"/>
      <c r="O1340" s="1937" t="s">
        <v>2115</v>
      </c>
      <c r="P1340" s="1938">
        <f>'Part VIII-Threshold Criteria'!P241</f>
        <v>0</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3905</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3753</v>
      </c>
      <c r="D1343" s="1842"/>
      <c r="E1343" s="1842"/>
      <c r="F1343" s="1842"/>
      <c r="G1343" s="1842"/>
      <c r="H1343" s="1841"/>
      <c r="I1343" s="1895"/>
      <c r="J1343" s="1895"/>
      <c r="K1343" s="1895"/>
      <c r="L1343" s="1812"/>
      <c r="M1343" s="1812"/>
      <c r="N1343" s="1812"/>
      <c r="O1343" s="1812"/>
      <c r="P1343" s="1812"/>
      <c r="Q1343" s="1812"/>
    </row>
    <row r="1344" spans="1:17">
      <c r="A1344" s="1900" t="str">
        <f>'Part VIII-Threshold Criteria'!A245</f>
        <v>None of the proposed amenities requires a waiver.</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3906</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3761</v>
      </c>
      <c r="C1357" s="1900"/>
      <c r="D1357" s="1900"/>
      <c r="E1357" s="1900"/>
      <c r="F1357" s="1900"/>
      <c r="G1357" s="1900"/>
      <c r="H1357" s="1216" t="s">
        <v>4115</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4116</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4117</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4118</v>
      </c>
      <c r="K1360" s="1631"/>
      <c r="M1360" s="521"/>
      <c r="N1360" s="1957"/>
      <c r="O1360" s="1937" t="s">
        <v>2365</v>
      </c>
      <c r="P1360" s="1938">
        <f>'Part VIII-Threshold Criteria'!P263</f>
        <v>0</v>
      </c>
      <c r="Q1360" s="1938">
        <f>'Part VIII-Threshold Criteria'!Q263</f>
        <v>0</v>
      </c>
    </row>
    <row r="1361" spans="1:17" ht="12.75" customHeight="1">
      <c r="A1361" s="1933" t="s">
        <v>1735</v>
      </c>
      <c r="B1361" s="1900" t="s">
        <v>4545</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3753</v>
      </c>
      <c r="D1362" s="1842"/>
      <c r="E1362" s="1842"/>
      <c r="F1362" s="1842"/>
      <c r="G1362" s="1842"/>
      <c r="H1362" s="1841"/>
      <c r="I1362" s="1895"/>
      <c r="J1362" s="1895"/>
      <c r="K1362" s="1895"/>
      <c r="L1362" s="1812"/>
      <c r="M1362" s="1812"/>
      <c r="N1362" s="1812"/>
      <c r="O1362" s="1812"/>
      <c r="P1362" s="1812"/>
      <c r="Q1362" s="1812"/>
    </row>
    <row r="1363" spans="1:17">
      <c r="A1363" s="1900" t="str">
        <f>'Part VIII-Threshold Criteria'!A272</f>
        <v>This is not a rehab development.</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3908</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4119</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4120</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3753</v>
      </c>
      <c r="D1375" s="1842"/>
      <c r="E1375" s="1842"/>
      <c r="F1375" s="1842"/>
      <c r="G1375" s="1842"/>
      <c r="H1375" s="1841"/>
      <c r="I1375" s="1895"/>
      <c r="J1375" s="1895"/>
      <c r="K1375" s="1895"/>
      <c r="L1375" s="1812"/>
      <c r="M1375" s="1812"/>
      <c r="N1375" s="1812"/>
      <c r="O1375" s="1812"/>
      <c r="P1375" s="1812"/>
      <c r="Q1375" s="1812"/>
    </row>
    <row r="1376" spans="1:17">
      <c r="A1376" s="1900" t="str">
        <f>'Part VIII-Threshold Criteria'!A284</f>
        <v>The CSDP and supplemental documents meet the requirements above.</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4101</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3753</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4102</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4546</v>
      </c>
    </row>
    <row r="1389" spans="1:17" ht="12.75" customHeight="1">
      <c r="A1389" s="1933"/>
      <c r="B1389" s="1944" t="s">
        <v>1737</v>
      </c>
      <c r="C1389" s="1900" t="s">
        <v>3910</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3911</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3909</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4547</v>
      </c>
      <c r="D1393" s="1900"/>
      <c r="E1393" s="1900"/>
      <c r="F1393" s="1900"/>
      <c r="G1393" s="1900"/>
      <c r="H1393" s="1900"/>
      <c r="I1393" s="1921"/>
      <c r="J1393" s="1904" t="s">
        <v>3793</v>
      </c>
      <c r="K1393" s="1955"/>
      <c r="L1393" s="1955"/>
      <c r="M1393" s="1961" t="s">
        <v>3763</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c r="A1395" s="1650"/>
      <c r="B1395" s="1647"/>
      <c r="C1395" s="1900"/>
      <c r="D1395" s="1900"/>
      <c r="E1395" s="1900"/>
      <c r="F1395" s="1900"/>
      <c r="G1395" s="1900"/>
      <c r="H1395" s="1900"/>
      <c r="I1395" s="521" t="s">
        <v>4122</v>
      </c>
      <c r="J1395" s="1647"/>
      <c r="K1395" s="2163">
        <f>'Part VIII-Threshold Criteria'!K306</f>
        <v>13</v>
      </c>
      <c r="L1395" s="1648" t="str">
        <f>IF(K1395&lt;M1395,"Check!!!","")</f>
        <v/>
      </c>
      <c r="M1395" s="1962">
        <f>'Part VIII-Threshold Criteria'!M306</f>
        <v>13</v>
      </c>
      <c r="N1395" s="1963">
        <f>'DCA Underwriting Assumptions'!$Q$139</f>
        <v>0.05</v>
      </c>
      <c r="O1395" s="1937" t="s">
        <v>3638</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4548</v>
      </c>
      <c r="D1397" s="1900"/>
      <c r="E1397" s="1900"/>
      <c r="F1397" s="1900"/>
      <c r="G1397" s="1900"/>
      <c r="H1397" s="1900"/>
      <c r="I1397" s="1964" t="s">
        <v>4123</v>
      </c>
      <c r="J1397" s="1647"/>
      <c r="K1397" s="2163">
        <f>'Part VIII-Threshold Criteria'!K307</f>
        <v>6</v>
      </c>
      <c r="L1397" s="1648" t="str">
        <f>IF(K1397&lt;M1397,"Check!!!","")</f>
        <v/>
      </c>
      <c r="M1397" s="1962">
        <f>'Part VIII-Threshold Criteria'!M307</f>
        <v>6</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4549</v>
      </c>
      <c r="D1399" s="1900"/>
      <c r="E1399" s="1900"/>
      <c r="F1399" s="1900"/>
      <c r="G1399" s="1900"/>
      <c r="H1399" s="1900"/>
      <c r="I1399" s="521" t="s">
        <v>4124</v>
      </c>
      <c r="J1399" s="1647"/>
      <c r="K1399" s="2163">
        <f>'Part VIII-Threshold Criteria'!K309</f>
        <v>5</v>
      </c>
      <c r="L1399" s="1648" t="str">
        <f>IF(K1399&lt;M1399,"Check!!!","")</f>
        <v/>
      </c>
      <c r="M1399" s="1962">
        <f>'Part VIII-Threshold Criteria'!M309</f>
        <v>5</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3762</v>
      </c>
      <c r="J1404" s="1921"/>
      <c r="K1404" s="1921"/>
      <c r="L1404" s="1921" t="str">
        <f>'Part VIII-Threshold Criteria'!L314</f>
        <v>Teresa Kitay at Law</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2365</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3753</v>
      </c>
      <c r="D1409" s="1842"/>
      <c r="E1409" s="1842"/>
      <c r="F1409" s="1842"/>
      <c r="G1409" s="1842"/>
      <c r="H1409" s="1841"/>
      <c r="I1409" s="1895"/>
      <c r="J1409" s="1895"/>
      <c r="K1409" s="1895"/>
      <c r="L1409" s="1812"/>
      <c r="M1409" s="1812"/>
      <c r="N1409" s="1812"/>
      <c r="O1409" s="1812"/>
      <c r="P1409" s="1812"/>
      <c r="Q1409" s="1812"/>
    </row>
    <row r="1410" spans="1:17">
      <c r="A1410" s="1900" t="str">
        <f>'Part VIII-Threshold Criteria'!A320</f>
        <v>The development will comply with the above standards.</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4100</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4550</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4551</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3753</v>
      </c>
      <c r="D1426" s="1842"/>
      <c r="E1426" s="1842"/>
      <c r="F1426" s="1842"/>
      <c r="G1426" s="1842"/>
      <c r="H1426" s="1841"/>
      <c r="I1426" s="1895"/>
      <c r="J1426" s="1895"/>
      <c r="K1426" s="1895"/>
      <c r="L1426" s="1812"/>
      <c r="M1426" s="1812"/>
      <c r="N1426" s="1812"/>
      <c r="O1426" s="1812"/>
      <c r="P1426" s="1812"/>
      <c r="Q1426" s="1812"/>
    </row>
    <row r="1427" spans="1:17">
      <c r="A1427" s="1900" t="str">
        <f>'Part VIII-Threshold Criteria'!A337</f>
        <v>The development will comply with the above standards</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4103</v>
      </c>
      <c r="B1430" s="1805" t="s">
        <v>4141</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3913</v>
      </c>
      <c r="O1431" s="1944" t="s">
        <v>1983</v>
      </c>
      <c r="P1431" s="1938">
        <f>'Part VIII-Threshold Criteria'!P341</f>
        <v>0</v>
      </c>
      <c r="Q1431" s="1938">
        <f>'Part VIII-Threshold Criteria'!Q341</f>
        <v>0</v>
      </c>
    </row>
    <row r="1432" spans="1:17">
      <c r="A1432" s="1933" t="s">
        <v>1985</v>
      </c>
      <c r="B1432" s="1216" t="s">
        <v>4089</v>
      </c>
      <c r="O1432" s="1944" t="s">
        <v>1985</v>
      </c>
      <c r="P1432" s="1938">
        <f>'Part VIII-Threshold Criteria'!P342</f>
        <v>0</v>
      </c>
      <c r="Q1432" s="1938">
        <f>'Part VIII-Threshold Criteria'!Q342</f>
        <v>0</v>
      </c>
    </row>
    <row r="1433" spans="1:17">
      <c r="A1433" s="1933" t="s">
        <v>749</v>
      </c>
      <c r="B1433" s="1216" t="s">
        <v>2350</v>
      </c>
      <c r="O1433" s="1944" t="s">
        <v>749</v>
      </c>
      <c r="P1433" s="1938">
        <f>'Part VIII-Threshold Criteria'!P343</f>
        <v>0</v>
      </c>
      <c r="Q1433" s="1938">
        <f>'Part VIII-Threshold Criteria'!Q343</f>
        <v>0</v>
      </c>
    </row>
    <row r="1434" spans="1:17">
      <c r="A1434" s="1935" t="s">
        <v>2115</v>
      </c>
      <c r="B1434" s="1216" t="s">
        <v>3841</v>
      </c>
      <c r="O1434" s="1937" t="s">
        <v>2115</v>
      </c>
      <c r="P1434" s="1938">
        <f>'Part VIII-Threshold Criteria'!P344</f>
        <v>0</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3753</v>
      </c>
      <c r="D1437" s="1842"/>
      <c r="E1437" s="1842"/>
      <c r="F1437" s="1842"/>
      <c r="G1437" s="1842"/>
      <c r="H1437" s="1841"/>
      <c r="I1437" s="1895"/>
      <c r="J1437" s="1895"/>
      <c r="K1437" s="1895"/>
      <c r="L1437" s="1812"/>
      <c r="M1437" s="1812"/>
      <c r="N1437" s="1812"/>
      <c r="O1437" s="1812"/>
      <c r="P1437" s="1812"/>
      <c r="Q1437" s="1812"/>
    </row>
    <row r="1438" spans="1:17">
      <c r="A1438" s="1900" t="str">
        <f>'Part VIII-Threshold Criteria'!A348</f>
        <v>Applicant was deemed qualified on its pre-application determination request.</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4104</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3656</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3850</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4090</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3753</v>
      </c>
      <c r="D1445" s="1842"/>
      <c r="E1445" s="1842"/>
      <c r="F1445" s="1842"/>
      <c r="G1445" s="1842"/>
      <c r="H1445" s="1841"/>
      <c r="I1445" s="1895"/>
      <c r="J1445" s="1895"/>
      <c r="K1445" s="1895"/>
      <c r="L1445" s="1812"/>
      <c r="M1445" s="1812"/>
      <c r="N1445" s="1812"/>
      <c r="O1445" s="1812"/>
      <c r="P1445" s="1812"/>
      <c r="Q1445" s="1812"/>
    </row>
    <row r="1446" spans="1:17">
      <c r="A1446" s="1900" t="str">
        <f>'Part VIII-Threshold Criteria'!A356</f>
        <v>The compliance history summary was submitted at pre-application in the Performance Workbook.</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4107</v>
      </c>
      <c r="B1450" s="1629" t="s">
        <v>4080</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4081</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4082</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4072</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4073</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4074</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4075</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4076</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4552</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4077</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4078</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3753</v>
      </c>
      <c r="D1461" s="1842"/>
      <c r="E1461" s="1842"/>
      <c r="F1461" s="1842"/>
      <c r="G1461" s="1842"/>
      <c r="H1461" s="1841"/>
      <c r="I1461" s="1895"/>
      <c r="J1461" s="1895"/>
      <c r="K1461" s="1895"/>
      <c r="L1461" s="1812"/>
      <c r="M1461" s="1812"/>
      <c r="N1461" s="1812"/>
      <c r="O1461" s="1812"/>
      <c r="P1461" s="1812"/>
      <c r="Q1461" s="1812"/>
    </row>
    <row r="1462" spans="1:17">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4108</v>
      </c>
      <c r="B1466" s="1629" t="s">
        <v>3914</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3916</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4125</v>
      </c>
      <c r="D1468" s="521"/>
      <c r="E1468" s="521"/>
      <c r="F1468" s="521"/>
      <c r="G1468" s="1894">
        <f>'Part VIII-Threshold Criteria'!J378</f>
        <v>0</v>
      </c>
      <c r="H1468" s="1894">
        <f>'Part VIII-Threshold Criteria'!K378</f>
        <v>0</v>
      </c>
      <c r="I1468" s="1894">
        <f>'Part VIII-Threshold Criteria'!L378</f>
        <v>0</v>
      </c>
      <c r="J1468" s="1895" t="s">
        <v>3923</v>
      </c>
      <c r="K1468" s="1894">
        <f>'Part VIII-Threshold Criteria'!J379</f>
        <v>0</v>
      </c>
      <c r="L1468" s="1894">
        <f>'Part VIII-Threshold Criteria'!K379</f>
        <v>0</v>
      </c>
      <c r="M1468" s="1894">
        <f>'Part VIII-Threshold Criteria'!L379</f>
        <v>0</v>
      </c>
      <c r="N1468" s="521" t="s">
        <v>3915</v>
      </c>
      <c r="O1468" s="521"/>
      <c r="P1468" s="1894">
        <f>'Part VIII-Threshold Criteria'!P378</f>
        <v>0</v>
      </c>
      <c r="Q1468" s="1894">
        <f>'Part VIII-Threshold Criteria'!Q378</f>
        <v>0</v>
      </c>
    </row>
    <row r="1469" spans="1:17">
      <c r="A1469" s="1631"/>
      <c r="B1469" s="521" t="s">
        <v>1738</v>
      </c>
      <c r="C1469" s="521" t="s">
        <v>3917</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3918</v>
      </c>
      <c r="D1470" s="1630"/>
      <c r="E1470" s="1867"/>
      <c r="F1470" s="1966" t="str">
        <f>'Part VIII-Threshold Criteria'!J381</f>
        <v>Urban</v>
      </c>
      <c r="G1470" s="1966">
        <f>'Part VIII-Threshold Criteria'!K381</f>
        <v>0</v>
      </c>
      <c r="H1470" s="1834" t="s">
        <v>3919</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3920</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3930</v>
      </c>
      <c r="O1471" s="1937"/>
      <c r="P1471" s="1938">
        <f>'Part VIII-Threshold Criteria'!J383</f>
        <v>0</v>
      </c>
      <c r="Q1471" s="1938">
        <f>'Part VIII-Threshold Criteria'!L383</f>
        <v>0</v>
      </c>
    </row>
    <row r="1472" spans="1:17">
      <c r="A1472" s="1935"/>
      <c r="B1472" s="521" t="s">
        <v>1549</v>
      </c>
      <c r="C1472" s="521" t="s">
        <v>3921</v>
      </c>
      <c r="D1472" s="1631"/>
      <c r="E1472" s="521"/>
      <c r="F1472" s="1967">
        <f>'Part VIII-Threshold Criteria'!F384</f>
        <v>1731867</v>
      </c>
      <c r="G1472" s="1967">
        <f>'Part VIII-Threshold Criteria'!G384</f>
        <v>0</v>
      </c>
      <c r="H1472" s="521" t="s">
        <v>3922</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3924</v>
      </c>
      <c r="D1473" s="1631"/>
      <c r="E1473" s="521"/>
      <c r="F1473" s="521"/>
      <c r="G1473" s="521"/>
      <c r="H1473" s="521" t="s">
        <v>3592</v>
      </c>
      <c r="I1473" s="521"/>
      <c r="J1473" s="1967">
        <f>'Part VIII-Threshold Criteria'!J385</f>
        <v>0</v>
      </c>
      <c r="K1473" s="1967">
        <f>'Part VIII-Threshold Criteria'!K385</f>
        <v>0</v>
      </c>
      <c r="L1473" s="521" t="s">
        <v>3925</v>
      </c>
      <c r="M1473" s="1967">
        <f>'Part VIII-Threshold Criteria'!L385</f>
        <v>0</v>
      </c>
      <c r="N1473" s="1967">
        <f>'Part VIII-Threshold Criteria'!M385</f>
        <v>0</v>
      </c>
      <c r="O1473" s="1631"/>
      <c r="P1473" s="1631"/>
      <c r="Q1473" s="1631"/>
    </row>
    <row r="1474" spans="1:17">
      <c r="A1474" s="1631"/>
      <c r="B1474" s="521" t="s">
        <v>98</v>
      </c>
      <c r="C1474" s="521" t="s">
        <v>3926</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3927</v>
      </c>
      <c r="C1476" s="1631"/>
      <c r="D1476" s="1867"/>
      <c r="E1476" s="1867"/>
      <c r="F1476" s="1867"/>
      <c r="G1476" s="1867"/>
      <c r="H1476" s="1867"/>
      <c r="I1476" s="1631"/>
      <c r="J1476" s="521" t="s">
        <v>3932</v>
      </c>
      <c r="K1476" s="521"/>
      <c r="L1476" s="521"/>
      <c r="M1476" s="521"/>
      <c r="N1476" s="1867" t="s">
        <v>3929</v>
      </c>
      <c r="O1476" s="1867"/>
      <c r="P1476" s="1867"/>
      <c r="Q1476" s="1867"/>
    </row>
    <row r="1477" spans="1:17">
      <c r="A1477" s="1631"/>
      <c r="B1477" s="521" t="s">
        <v>1737</v>
      </c>
      <c r="C1477" s="1841" t="s">
        <v>3928</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3931</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3933</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3753</v>
      </c>
      <c r="D1480" s="1842"/>
      <c r="E1480" s="1842"/>
      <c r="F1480" s="1842"/>
      <c r="G1480" s="1842"/>
      <c r="H1480" s="1841"/>
      <c r="I1480" s="1895"/>
      <c r="J1480" s="1895"/>
      <c r="K1480" s="1895"/>
      <c r="L1480" s="1812"/>
      <c r="M1480" s="1812"/>
      <c r="N1480" s="1812"/>
      <c r="O1480" s="1812"/>
      <c r="P1480" s="1812"/>
      <c r="Q1480" s="1812"/>
    </row>
    <row r="1481" spans="1:17">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4109</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3697</v>
      </c>
      <c r="G1490" s="1834"/>
      <c r="H1490" s="1834"/>
      <c r="I1490" s="1834"/>
      <c r="J1490" s="1841" t="s">
        <v>3698</v>
      </c>
      <c r="L1490" s="1834"/>
      <c r="M1490" s="1970">
        <f>'Part III-Sources of Funds'!E1105</f>
        <v>0</v>
      </c>
      <c r="N1490" s="1970"/>
      <c r="O1490" s="1937" t="s">
        <v>2115</v>
      </c>
      <c r="P1490" s="1938">
        <f>'Part VIII-Threshold Criteria'!P403</f>
        <v>0</v>
      </c>
      <c r="Q1490" s="1938">
        <f>'Part VIII-Threshold Criteria'!Q403</f>
        <v>0</v>
      </c>
    </row>
    <row r="1491" spans="1:17">
      <c r="B1491" s="1842" t="s">
        <v>3753</v>
      </c>
      <c r="D1491" s="1842"/>
      <c r="E1491" s="1842"/>
      <c r="F1491" s="1842"/>
      <c r="G1491" s="1842"/>
      <c r="H1491" s="1841"/>
      <c r="I1491" s="1895"/>
      <c r="J1491" s="1895"/>
      <c r="K1491" s="1895"/>
      <c r="L1491" s="1812"/>
      <c r="M1491" s="1812"/>
      <c r="N1491" s="1812"/>
      <c r="O1491" s="1812"/>
      <c r="P1491" s="1812"/>
      <c r="Q1491" s="1812"/>
    </row>
    <row r="1492" spans="1:17">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4110</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3582</v>
      </c>
      <c r="D1498" s="1900"/>
      <c r="E1498" s="1900"/>
      <c r="O1498" s="1937" t="s">
        <v>1985</v>
      </c>
      <c r="P1498" s="1938">
        <f>'Part VIII-Threshold Criteria'!P411</f>
        <v>0</v>
      </c>
      <c r="Q1498" s="1938">
        <f>'Part VIII-Threshold Criteria'!Q411</f>
        <v>0</v>
      </c>
    </row>
    <row r="1499" spans="1:17">
      <c r="A1499" s="1935" t="s">
        <v>749</v>
      </c>
      <c r="B1499" s="521" t="s">
        <v>4079</v>
      </c>
      <c r="D1499" s="1900"/>
      <c r="E1499" s="1900"/>
      <c r="O1499" s="1937" t="s">
        <v>749</v>
      </c>
      <c r="P1499" s="1938">
        <f>'Part VIII-Threshold Criteria'!P412</f>
        <v>0</v>
      </c>
      <c r="Q1499" s="1938">
        <f>'Part VIII-Threshold Criteria'!Q412</f>
        <v>0</v>
      </c>
    </row>
    <row r="1500" spans="1:17">
      <c r="A1500" s="1935" t="s">
        <v>2115</v>
      </c>
      <c r="B1500" s="521" t="s">
        <v>3583</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3753</v>
      </c>
      <c r="D1502" s="1842"/>
      <c r="E1502" s="1842"/>
      <c r="F1502" s="1842"/>
      <c r="G1502" s="1842"/>
      <c r="H1502" s="1841"/>
      <c r="I1502" s="1895"/>
      <c r="J1502" s="1895"/>
      <c r="K1502" s="1895"/>
      <c r="L1502" s="1812"/>
      <c r="M1502" s="1812"/>
      <c r="N1502" s="1812"/>
      <c r="O1502" s="1812"/>
      <c r="P1502" s="1812"/>
      <c r="Q1502" s="1812"/>
    </row>
    <row r="1503" spans="1:17">
      <c r="A1503" s="1900" t="str">
        <f>'Part VIII-Threshold Criteria'!A416</f>
        <v>No legal opinions are required.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4111</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3753</v>
      </c>
      <c r="D1521" s="1842"/>
      <c r="E1521" s="1842"/>
      <c r="F1521" s="1842"/>
      <c r="G1521" s="1842"/>
      <c r="H1521" s="1841"/>
      <c r="I1521" s="1895"/>
      <c r="J1521" s="1895"/>
      <c r="K1521" s="1895"/>
      <c r="P1521" s="1812"/>
      <c r="Q1521" s="1812"/>
    </row>
    <row r="1522" spans="1:17">
      <c r="A1522" s="1900" t="str">
        <f>'Part VIII-Threshold Criteria'!A440</f>
        <v>The site is currently undeveloped and vacant.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4112</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3934</v>
      </c>
      <c r="C1527" s="1629"/>
      <c r="D1527" s="1894"/>
      <c r="E1527" s="1899"/>
      <c r="F1527" s="1899"/>
      <c r="G1527" s="1899"/>
      <c r="H1527" s="1899"/>
    </row>
    <row r="1528" spans="1:17" ht="12.75" customHeight="1">
      <c r="A1528" s="1933" t="s">
        <v>1983</v>
      </c>
      <c r="B1528" s="1900" t="s">
        <v>3937</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3935</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3936</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3938</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3939</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3940</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3941</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3942</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3943</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3753</v>
      </c>
      <c r="D1538" s="1842"/>
      <c r="E1538" s="1842"/>
      <c r="F1538" s="1842"/>
      <c r="G1538" s="1842"/>
      <c r="H1538" s="1841"/>
      <c r="I1538" s="1895"/>
      <c r="J1538" s="1895"/>
      <c r="K1538" s="1895"/>
      <c r="L1538" s="1812"/>
      <c r="M1538" s="1812"/>
      <c r="N1538" s="1812"/>
      <c r="O1538" s="1812"/>
      <c r="P1538" s="1812"/>
      <c r="Q1538" s="1812"/>
    </row>
    <row r="1539" spans="1:17">
      <c r="A1539" s="1900" t="str">
        <f>'Part VIII-Threshold Criteria'!A457</f>
        <v>The Applicant agrees to submit a marketing plan for AFFH.</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4113</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3753</v>
      </c>
      <c r="D1544" s="1842"/>
      <c r="E1544" s="1842"/>
      <c r="F1544" s="1842"/>
      <c r="G1544" s="1842"/>
      <c r="H1544" s="1841"/>
      <c r="I1544" s="1895"/>
      <c r="J1544" s="1895"/>
      <c r="K1544" s="1895"/>
      <c r="L1544" s="1812"/>
      <c r="M1544" s="1812"/>
      <c r="N1544" s="1812"/>
      <c r="O1544" s="1812"/>
      <c r="P1544" s="1812"/>
      <c r="Q1544" s="1812"/>
    </row>
    <row r="1545" spans="1:17">
      <c r="A1545" s="1900" t="str">
        <f>'Part VIII-Threshold Criteria'!A480</f>
        <v>The development is an effective, efficient, and lawful allocation and utilization of the Housing Credit Program.</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Somersby,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4553</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4554</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3648</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4555</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4143</v>
      </c>
      <c r="D1567" s="521"/>
      <c r="E1567" s="521"/>
      <c r="F1567" s="521"/>
      <c r="G1567" s="1866"/>
      <c r="H1567" s="1652" t="s">
        <v>4555</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3842</v>
      </c>
      <c r="B1568" s="1830"/>
      <c r="C1568" s="1830"/>
      <c r="D1568" s="1830"/>
      <c r="E1568" s="1830"/>
      <c r="F1568" s="1895" t="s">
        <v>4145</v>
      </c>
      <c r="G1568" s="1631"/>
      <c r="H1568" s="1631"/>
      <c r="I1568" s="1631"/>
      <c r="J1568" s="1895" t="s">
        <v>4145</v>
      </c>
      <c r="K1568" s="1895"/>
      <c r="L1568" s="1631"/>
      <c r="M1568" s="1631"/>
      <c r="N1568" s="1631"/>
      <c r="O1568" s="521" t="s">
        <v>4145</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4556</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4146</v>
      </c>
      <c r="B1583" s="521" t="s">
        <v>4147</v>
      </c>
      <c r="C1583" s="521"/>
      <c r="D1583" s="521"/>
      <c r="E1583" s="1741" t="s">
        <v>4174</v>
      </c>
      <c r="F1583" s="521" t="s">
        <v>4173</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4148</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4149</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4150</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4151</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4152</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4153</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4457</v>
      </c>
      <c r="B1591" s="1218" t="s">
        <v>4458</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4101</v>
      </c>
      <c r="B1592" s="1218" t="s">
        <v>4154</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4102</v>
      </c>
      <c r="B1593" s="1218" t="s">
        <v>4155</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4100</v>
      </c>
      <c r="B1594" s="1218" t="s">
        <v>4156</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4103</v>
      </c>
      <c r="B1595" s="1218" t="s">
        <v>4157</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3590</v>
      </c>
      <c r="I1599" s="1785"/>
      <c r="J1599" s="1997">
        <f>'Part VI-Revenues &amp; Expenses'!$O$65</f>
        <v>244</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4557</v>
      </c>
      <c r="C1605" s="2006"/>
      <c r="D1605" s="2006"/>
      <c r="E1605" s="1955"/>
      <c r="F1605" s="2006"/>
      <c r="G1605" s="2006"/>
      <c r="H1605" s="1867" t="s">
        <v>3652</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3956</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4096</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4558</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3843</v>
      </c>
      <c r="C1615" s="1976"/>
      <c r="D1615" s="2012"/>
      <c r="E1615" s="1976"/>
      <c r="F1615" s="2017"/>
      <c r="G1615" s="1652" t="s">
        <v>3985</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4559</v>
      </c>
      <c r="S1621" s="2019"/>
      <c r="T1621" s="2019"/>
      <c r="U1621" s="2019"/>
      <c r="V1621" s="1976"/>
      <c r="W1621" s="1976"/>
      <c r="X1621" s="1976"/>
      <c r="Y1621" s="1976"/>
      <c r="Z1621" s="1976"/>
    </row>
    <row r="1622" spans="1:26" ht="15">
      <c r="A1622" s="1977"/>
      <c r="B1622" s="1634" t="s">
        <v>3959</v>
      </c>
      <c r="C1622" s="1976"/>
      <c r="D1622" s="2012"/>
      <c r="E1622" s="1976"/>
      <c r="F1622" s="1976"/>
      <c r="G1622" s="1976"/>
      <c r="H1622" s="1820" t="s">
        <v>2794</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5">
      <c r="A1623" s="1977"/>
      <c r="B1623" s="2021" t="s">
        <v>1986</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3957</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3958</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3965</v>
      </c>
      <c r="C1627" s="1976"/>
      <c r="D1627" s="2012"/>
      <c r="E1627" s="1976"/>
      <c r="F1627" s="1634" t="s">
        <v>3716</v>
      </c>
      <c r="G1627" s="1634"/>
      <c r="H1627" s="1634"/>
      <c r="I1627" s="1634"/>
      <c r="J1627" s="1634" t="s">
        <v>3717</v>
      </c>
      <c r="K1627" s="1634"/>
      <c r="L1627" s="1634"/>
      <c r="M1627" s="1634"/>
      <c r="N1627" s="1937"/>
      <c r="O1627" s="1786" t="s">
        <v>4560</v>
      </c>
      <c r="P1627" s="2022"/>
      <c r="Q1627" s="1813"/>
      <c r="R1627" s="2019"/>
      <c r="S1627" s="2019"/>
      <c r="T1627" s="2019"/>
      <c r="U1627" s="2019"/>
      <c r="V1627" s="1976"/>
      <c r="W1627" s="1976"/>
      <c r="X1627" s="1976"/>
      <c r="Y1627" s="1976"/>
      <c r="Z1627" s="1976"/>
    </row>
    <row r="1628" spans="1:26" ht="15">
      <c r="A1628" s="1977"/>
      <c r="B1628" s="1976"/>
      <c r="C1628" s="1634" t="s">
        <v>3964</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3966</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4142</v>
      </c>
      <c r="B1630" s="1887"/>
      <c r="C1630" s="1634" t="s">
        <v>4094</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4093</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4561</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3747</v>
      </c>
      <c r="C1634" s="1976"/>
      <c r="D1634" s="2012"/>
      <c r="E1634" s="1976"/>
      <c r="F1634" s="1994" t="s">
        <v>4562</v>
      </c>
      <c r="G1634" s="1976"/>
      <c r="H1634" s="1976"/>
      <c r="I1634" s="2027" t="s">
        <v>4563</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4564</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4565</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3748</v>
      </c>
      <c r="D1637" s="1921"/>
      <c r="E1637" s="1921"/>
      <c r="F1637" s="1921"/>
      <c r="G1637" s="1937" t="s">
        <v>4092</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3749</v>
      </c>
      <c r="C1638" s="1484"/>
      <c r="D1638" s="1484"/>
      <c r="E1638" s="1484"/>
      <c r="F1638" s="2032" t="s">
        <v>4566</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4567</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4568</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4569</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4570</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4571</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4572</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3968</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3972</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3973</v>
      </c>
      <c r="D1654" s="2039"/>
      <c r="E1654" s="2039"/>
      <c r="F1654" s="2039"/>
      <c r="G1654" s="2039"/>
      <c r="H1654" s="2039"/>
      <c r="I1654" s="1975" t="e">
        <f>'Part IX Scoring Criteria'!#REF!</f>
        <v>#REF!</v>
      </c>
      <c r="J1654" s="1975" t="e">
        <f>'Part IX Scoring Criteria'!#REF!</f>
        <v>#REF!</v>
      </c>
      <c r="K1654" s="1845"/>
      <c r="L1654" s="2039"/>
      <c r="M1654" s="2039"/>
      <c r="N1654" s="2039"/>
      <c r="O1654" s="2039" t="s">
        <v>3981</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4573</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4574</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3778</v>
      </c>
      <c r="D1659" s="1631"/>
      <c r="E1659" s="1631"/>
      <c r="F1659" s="521" t="s">
        <v>3982</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3983</v>
      </c>
      <c r="C1665" s="1976"/>
      <c r="D1665" s="521"/>
      <c r="E1665" s="521"/>
      <c r="F1665" s="1813"/>
      <c r="G1665" s="1813"/>
      <c r="H1665" s="1813"/>
      <c r="I1665" s="2026" t="s">
        <v>4561</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3984</v>
      </c>
      <c r="C1667" s="1993"/>
      <c r="D1667" s="2012"/>
      <c r="E1667" s="1216" t="s">
        <v>4098</v>
      </c>
      <c r="F1667" s="1976"/>
      <c r="G1667" s="1929"/>
      <c r="H1667" s="1976"/>
      <c r="I1667" s="1937" t="s">
        <v>4092</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3986</v>
      </c>
      <c r="C1669" s="1993"/>
      <c r="D1669" s="2041"/>
      <c r="E1669" s="1689" t="s">
        <v>4202</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4128</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4129</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3987</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3988</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4575</v>
      </c>
      <c r="D1675" s="1652" t="s">
        <v>4099</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3991</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3992</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4126</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4576</v>
      </c>
      <c r="D1683" s="521" t="s">
        <v>3993</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3994</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4130</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4158</v>
      </c>
      <c r="D1686" s="1935"/>
      <c r="E1686" s="1935"/>
      <c r="F1686" s="1935"/>
      <c r="G1686" s="1938">
        <f>'Part IX Scoring Criteria'!O128</f>
        <v>0</v>
      </c>
      <c r="H1686" s="1938">
        <f>'Part IX Scoring Criteria'!P128</f>
        <v>0</v>
      </c>
      <c r="I1686" s="1841" t="s">
        <v>4161</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4159</v>
      </c>
      <c r="D1687" s="1935"/>
      <c r="E1687" s="1935"/>
      <c r="F1687" s="1935"/>
      <c r="G1687" s="1938">
        <f>'Part IX Scoring Criteria'!O129</f>
        <v>0</v>
      </c>
      <c r="H1687" s="1938">
        <f>'Part IX Scoring Criteria'!P129</f>
        <v>0</v>
      </c>
      <c r="I1687" s="521" t="s">
        <v>4162</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4160</v>
      </c>
      <c r="D1688" s="1935"/>
      <c r="E1688" s="1935"/>
      <c r="F1688" s="1935"/>
      <c r="G1688" s="1938">
        <f>'Part IX Scoring Criteria'!O130</f>
        <v>0</v>
      </c>
      <c r="H1688" s="1938">
        <f>'Part IX Scoring Criteria'!P130</f>
        <v>0</v>
      </c>
      <c r="I1688" s="1841" t="s">
        <v>4163</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3995</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4577</v>
      </c>
      <c r="D1693" s="1960"/>
      <c r="E1693" s="1960"/>
      <c r="F1693" s="1960"/>
      <c r="G1693" s="1841" t="s">
        <v>3996</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3997</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3998</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3999</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4000</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4578</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3832</v>
      </c>
      <c r="D1699" s="1216"/>
      <c r="E1699" s="521"/>
      <c r="F1699" s="521"/>
      <c r="G1699" s="1216" t="s">
        <v>4131</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4165</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3967</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4004</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4579</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3.25">
      <c r="A1716" s="1825"/>
      <c r="B1716" s="2052" t="s">
        <v>3819</v>
      </c>
      <c r="C1716" s="1834"/>
      <c r="D1716" s="1652" t="s">
        <v>4580</v>
      </c>
      <c r="E1716" s="1652"/>
      <c r="F1716" s="1652"/>
      <c r="G1716" s="1920" t="s">
        <v>3398</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5">
      <c r="A1717" s="1937" t="s">
        <v>2435</v>
      </c>
      <c r="B1717" s="1873" t="s">
        <v>4003</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4166</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4001</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4003</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4002</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4001</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4005</v>
      </c>
      <c r="C1725" s="1993"/>
      <c r="D1725" s="2041"/>
      <c r="E1725" s="2041"/>
      <c r="F1725" s="2026" t="s">
        <v>3391</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4168</v>
      </c>
      <c r="F1726" s="2058" t="s">
        <v>3660</v>
      </c>
      <c r="G1726" s="1808" t="s">
        <v>3399</v>
      </c>
      <c r="H1726" s="1808"/>
      <c r="I1726" s="1808"/>
      <c r="J1726" s="1808"/>
      <c r="K1726" s="1808"/>
      <c r="L1726" s="1808"/>
      <c r="M1726" s="1808"/>
      <c r="N1726" s="1808"/>
      <c r="O1726" s="1216"/>
      <c r="P1726" s="1965"/>
      <c r="Q1726" s="1216"/>
      <c r="R1726" s="1216" t="s">
        <v>2833</v>
      </c>
      <c r="S1726" s="1216"/>
      <c r="T1726" s="1955" t="str">
        <f>'Part I-Project Information'!$F$38</f>
        <v>College Park</v>
      </c>
      <c r="U1726" s="1955"/>
      <c r="V1726" s="1955"/>
      <c r="W1726" s="1955"/>
      <c r="X1726" s="1955"/>
      <c r="Y1726" s="1216"/>
      <c r="Z1726" s="1216"/>
    </row>
    <row r="1727" spans="1:26" ht="12.75" customHeight="1">
      <c r="A1727" s="1935"/>
      <c r="B1727" s="2058" t="s">
        <v>4008</v>
      </c>
      <c r="C1727" s="2058"/>
      <c r="D1727" s="2058"/>
      <c r="E1727" s="2058"/>
      <c r="F1727" s="2058"/>
      <c r="G1727" s="1900" t="s">
        <v>4007</v>
      </c>
      <c r="H1727" s="1900"/>
      <c r="I1727" s="1900"/>
      <c r="J1727" s="1900"/>
      <c r="K1727" s="1900"/>
      <c r="L1727" s="1900"/>
      <c r="M1727" s="1900"/>
      <c r="N1727" s="1900"/>
      <c r="O1727" s="2058" t="s">
        <v>3661</v>
      </c>
      <c r="P1727" s="2058"/>
      <c r="Q1727" s="1216"/>
      <c r="R1727" s="1955" t="s">
        <v>2834</v>
      </c>
      <c r="S1727" s="1216"/>
      <c r="T1727" s="1955" t="str">
        <f>'Part I-Project Information'!$J$39</f>
        <v>Fulton</v>
      </c>
      <c r="U1727" s="1955"/>
      <c r="V1727" s="1955"/>
      <c r="W1727" s="1955"/>
      <c r="X1727" s="1955"/>
      <c r="Y1727" s="1216"/>
      <c r="Z1727" s="1216"/>
    </row>
    <row r="1728" spans="1:26">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4006</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ht="13.5">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4167</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4009</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3884</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4015</v>
      </c>
      <c r="C1743" s="1993"/>
      <c r="D1743" s="1994"/>
      <c r="E1743" s="1994"/>
      <c r="F1743" s="1993"/>
      <c r="G1743" s="1993"/>
      <c r="H1743" s="1842" t="s">
        <v>4016</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4581</v>
      </c>
      <c r="C1745" s="1820"/>
      <c r="D1745" s="1820"/>
      <c r="E1745" s="1652" t="s">
        <v>4178</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4133</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4582</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4019</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4175</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4010</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4011</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4012</v>
      </c>
      <c r="E1756" s="1921"/>
      <c r="F1756" s="2069" t="e">
        <f>'Part IX Scoring Criteria'!#REF!</f>
        <v>#REF!</v>
      </c>
      <c r="G1756" s="2069" t="e">
        <f>'Part IX Scoring Criteria'!#REF!</f>
        <v>#REF!</v>
      </c>
      <c r="H1756" s="1913"/>
      <c r="I1756" s="1921" t="s">
        <v>4013</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4583</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4134</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4014</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4584</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4585</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3779</v>
      </c>
      <c r="E1764" s="1964" t="str">
        <f>'Part I-Project Information'!$N$39</f>
        <v>Yes</v>
      </c>
      <c r="G1764" s="1964" t="s">
        <v>3575</v>
      </c>
      <c r="I1764" s="2071" t="str">
        <f>'Part I-Project Information'!$O$38</f>
        <v>402.03</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4017</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8.75">
      <c r="A1770" s="1879"/>
      <c r="B1770" s="1964" t="s">
        <v>4192</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3788</v>
      </c>
      <c r="G1771" s="1921"/>
      <c r="J1771" s="2170">
        <f>'Part IX Scoring Criteria'!O215</f>
        <v>0</v>
      </c>
      <c r="K1771" s="2072" t="s">
        <v>3787</v>
      </c>
      <c r="L1771" s="1913"/>
      <c r="N1771" s="1637"/>
      <c r="O1771" s="1639"/>
      <c r="P1771" s="1639"/>
      <c r="V1771" s="2043"/>
      <c r="W1771" s="2043"/>
    </row>
    <row r="1772" spans="1:26" ht="18.75" customHeight="1">
      <c r="A1772" s="2073" t="s">
        <v>4172</v>
      </c>
      <c r="B1772" s="1900" t="s">
        <v>4169</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4170</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4171</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4586</v>
      </c>
      <c r="D1776" s="1899"/>
      <c r="E1776" s="1976"/>
      <c r="F1776" s="1976"/>
      <c r="G1776" s="2074">
        <f>'Part IV-A-Uses of Funds'!$G$132</f>
        <v>49998466.819839999</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4018</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4020</v>
      </c>
      <c r="C1783" s="1976"/>
      <c r="D1783" s="1216" t="s">
        <v>4021</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4022</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4023</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4024</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4025</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4587</v>
      </c>
      <c r="D1789" s="1631"/>
      <c r="G1789" s="1964" t="s">
        <v>3783</v>
      </c>
      <c r="Q1789" s="1689"/>
    </row>
    <row r="1790" spans="1:26">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4026</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4588</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4030</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4030</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4031</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c r="A1800" s="1935"/>
      <c r="B1800" s="2076"/>
      <c r="C1800" s="1900" t="s">
        <v>4589</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4137</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4135</v>
      </c>
      <c r="D1805" s="1899"/>
      <c r="E1805" s="1899"/>
      <c r="F1805" s="1899"/>
      <c r="G1805" s="1899"/>
      <c r="H1805" s="1899"/>
      <c r="I1805" s="1899"/>
      <c r="J1805" s="1899"/>
      <c r="K1805" s="1899"/>
      <c r="L1805" s="1900" t="s">
        <v>4139</v>
      </c>
      <c r="M1805" s="1900"/>
      <c r="N1805" s="1921" t="s">
        <v>4140</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4032</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4036</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3786</v>
      </c>
      <c r="D1811" s="1631"/>
      <c r="Q1811" s="1630"/>
    </row>
    <row r="1812" spans="1:26" ht="18.75" customHeight="1">
      <c r="A1812" s="1935"/>
      <c r="B1812" s="2077"/>
      <c r="C1812" s="1900" t="s">
        <v>4038</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4039</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4040</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4590</v>
      </c>
      <c r="D1816" s="1631"/>
      <c r="G1816" s="1964" t="s">
        <v>3783</v>
      </c>
      <c r="O1816" s="1895" t="s">
        <v>2510</v>
      </c>
      <c r="P1816" s="1895" t="s">
        <v>2510</v>
      </c>
      <c r="Q1816" s="1689"/>
    </row>
    <row r="1817" spans="1:26" ht="18.75" customHeight="1">
      <c r="A1817" s="1935"/>
      <c r="B1817" s="2050" t="s">
        <v>1986</v>
      </c>
      <c r="C1817" s="1900" t="s">
        <v>4034</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4035</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4180</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3601</v>
      </c>
      <c r="B1826" s="1820" t="s">
        <v>3599</v>
      </c>
      <c r="C1826" s="1993"/>
      <c r="D1826" s="1994"/>
      <c r="E1826" s="1994"/>
      <c r="F1826" s="1993"/>
      <c r="G1826" s="1993"/>
      <c r="H1826" s="1652"/>
      <c r="I1826" s="1993"/>
      <c r="J1826" s="1993"/>
      <c r="K1826" s="1993"/>
      <c r="L1826" s="1993"/>
      <c r="M1826" s="1630">
        <v>3</v>
      </c>
      <c r="N1826" s="2038" t="s">
        <v>4043</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4591</v>
      </c>
      <c r="D1831" s="1900"/>
      <c r="E1831" s="1900"/>
      <c r="F1831" s="1900"/>
      <c r="G1831" s="1900"/>
      <c r="H1831" s="1900"/>
      <c r="I1831" s="1900"/>
      <c r="J1831" s="2084" t="s">
        <v>4042</v>
      </c>
      <c r="K1831" s="2084" t="s">
        <v>4041</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4097</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3602</v>
      </c>
      <c r="C1836" s="1216"/>
      <c r="G1836" s="1964" t="s">
        <v>3603</v>
      </c>
      <c r="H1836" s="2088">
        <f>'Part VI-Revenues &amp; Expenses'!$O$64</f>
        <v>0</v>
      </c>
      <c r="I1836" s="1943" t="s">
        <v>3605</v>
      </c>
      <c r="J1836" s="2088">
        <f>'Part VI-Revenues &amp; Expenses'!$O$67</f>
        <v>244</v>
      </c>
      <c r="K1836" s="1943" t="s">
        <v>3606</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4044</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4592</v>
      </c>
      <c r="D1849" s="1631"/>
      <c r="E1849" s="1631"/>
      <c r="F1849" s="1631"/>
      <c r="H1849" s="1894" t="s">
        <v>3683</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4193</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4593</v>
      </c>
      <c r="R1850" s="1900"/>
      <c r="S1850" s="1900"/>
      <c r="T1850" s="1900"/>
      <c r="U1850" s="1900"/>
      <c r="V1850" s="1900"/>
      <c r="W1850" s="1900"/>
      <c r="X1850" s="1900"/>
      <c r="Y1850" s="1900"/>
      <c r="Z1850" s="1900"/>
    </row>
    <row r="1851" spans="1:26">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4594</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4595</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4596</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4597</v>
      </c>
      <c r="C1860" s="1631"/>
      <c r="D1860" s="1631"/>
      <c r="E1860" s="1631"/>
      <c r="F1860" s="1631"/>
      <c r="G1860" s="1631"/>
      <c r="H1860" s="2026" t="s">
        <v>4050</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4598</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4599</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4051</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4052</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4053</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4070</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4069</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4071</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4054</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4083</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4071</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4055</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4600</v>
      </c>
      <c r="B1892" s="1900"/>
      <c r="C1892" s="1900"/>
      <c r="D1892" s="1900"/>
      <c r="E1892" s="1900"/>
      <c r="F1892" s="1900"/>
      <c r="G1892" s="1900"/>
      <c r="H1892" s="1900"/>
      <c r="I1892" s="1921" t="s">
        <v>4144</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4101</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4059</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4056</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4057</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4058</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3485</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College Park</v>
      </c>
      <c r="D1910" s="1631"/>
      <c r="E1910" s="521" t="s">
        <v>3484</v>
      </c>
      <c r="F1910" s="521" t="str">
        <f>'Part I-Project Information'!$J$39</f>
        <v>Fulton</v>
      </c>
      <c r="G1910" s="1631"/>
      <c r="H1910" s="1841" t="s">
        <v>451</v>
      </c>
      <c r="I1910" s="1841" t="str">
        <f>'Part I-Project Information'!$N$39</f>
        <v>Yes</v>
      </c>
      <c r="J1910" s="1631"/>
      <c r="K1910" s="1841" t="s">
        <v>3616</v>
      </c>
      <c r="L1910" s="2071" t="str">
        <f>'Part I-Project Information'!$O$38</f>
        <v>402.03</v>
      </c>
      <c r="M1910" s="2071"/>
      <c r="N1910" s="2071"/>
      <c r="O1910" s="2071"/>
      <c r="P1910" s="2071"/>
      <c r="Q1910" s="1631"/>
      <c r="R1910" s="1631"/>
      <c r="S1910" s="1631"/>
      <c r="T1910" s="1631"/>
      <c r="U1910" s="1631"/>
      <c r="V1910" s="1631"/>
      <c r="W1910" s="1631"/>
      <c r="X1910" s="1631"/>
      <c r="Y1910" s="1631"/>
      <c r="Z1910" s="1631"/>
    </row>
    <row r="1911" spans="1:26" ht="15">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4102</v>
      </c>
      <c r="B1916" s="1978" t="s">
        <v>4062</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4063</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4064</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4065</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3621</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3619</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4601</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3620</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4138</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4602</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49998466.819839999</v>
      </c>
      <c r="K1937" s="1862"/>
      <c r="M1937" s="1628"/>
      <c r="N1937" s="1628"/>
      <c r="P1937" s="1628"/>
    </row>
    <row r="1938" spans="1:26" ht="12.75" customHeight="1">
      <c r="A1938" s="1887" t="s">
        <v>4603</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4243</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3623</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4066</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4067</v>
      </c>
      <c r="N1944" s="1937" t="s">
        <v>2437</v>
      </c>
      <c r="O1944" s="1938">
        <f>'Part IX Scoring Criteria'!O414</f>
        <v>0</v>
      </c>
      <c r="P1944" s="1938">
        <f>'Part IX Scoring Criteria'!P414</f>
        <v>0</v>
      </c>
    </row>
    <row r="1945" spans="1:26">
      <c r="B1945" s="1994" t="s">
        <v>3754</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4100</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3649</v>
      </c>
      <c r="C1951" s="1976"/>
      <c r="D1951" s="1631"/>
      <c r="E1951" s="1631"/>
      <c r="F1951" s="1631"/>
      <c r="G1951" s="1976"/>
      <c r="H1951" s="1976"/>
      <c r="I1951" s="1976"/>
      <c r="J1951" s="1841" t="s">
        <v>3811</v>
      </c>
      <c r="K1951" s="1976"/>
      <c r="L1951" s="1874">
        <f>'Part VI-Revenues &amp; Expenses'!$O$67*0.1</f>
        <v>24.400000000000002</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3810</v>
      </c>
      <c r="D1952" s="1900"/>
      <c r="E1952" s="1900"/>
      <c r="F1952" s="1900"/>
      <c r="G1952" s="1900"/>
      <c r="H1952" s="1900"/>
      <c r="I1952" s="1900"/>
      <c r="J1952" s="1841" t="s">
        <v>3813</v>
      </c>
      <c r="K1952" s="1976"/>
      <c r="L1952" s="1874">
        <f>'Part VI-Revenues &amp; Expenses'!$O$63</f>
        <v>244</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3814</v>
      </c>
      <c r="K1953" s="2028"/>
      <c r="L1953" s="1874">
        <f>L1952*0.1</f>
        <v>24.400000000000002</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3815</v>
      </c>
      <c r="K1954" s="2028"/>
      <c r="L1954" s="1874">
        <f>'Part VI-Revenues &amp; Expenses'!$K$63</f>
        <v>64</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3653</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4103</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4604</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4195</v>
      </c>
      <c r="C1973" s="1867"/>
      <c r="D1973" s="1867"/>
      <c r="E1973" s="1867"/>
      <c r="F1973" s="1867"/>
      <c r="G1973" s="1867"/>
      <c r="H1973" s="1867"/>
      <c r="I1973" s="1867"/>
      <c r="J1973" s="1867"/>
      <c r="K1973" s="1867"/>
      <c r="L1973" s="1867"/>
      <c r="M1973" s="1900" t="s">
        <v>4605</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244</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4606</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4196</v>
      </c>
      <c r="C1980" s="1900"/>
      <c r="D1980" s="1900"/>
      <c r="E1980" s="1900"/>
      <c r="F1980" s="1900"/>
      <c r="G1980" s="1900"/>
      <c r="H1980" s="1900"/>
      <c r="I1980" s="1900"/>
      <c r="J1980" s="1900"/>
      <c r="K1980" s="1900"/>
      <c r="L1980" s="1900"/>
      <c r="M1980" s="1952" t="s">
        <v>2830</v>
      </c>
      <c r="N1980" s="2030"/>
      <c r="O1980" s="2104">
        <f>'Part VI-Revenues &amp; Expenses'!$O$67</f>
        <v>244</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4104</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4609</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4190</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4191</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4198</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4203</v>
      </c>
    </row>
    <row r="2010" spans="1:26" ht="16.5">
      <c r="A2010" s="2113" t="str">
        <f>'Part I-Project Information'!$F$34</f>
        <v>Somersby</v>
      </c>
    </row>
    <row r="2011" spans="1:26" ht="16.5">
      <c r="A2011" s="2113" t="str">
        <f>CONCATENATE('Part I-Project Information'!$F$38,", ", 'Part I-Project Information'!$J$39," County")</f>
        <v>College Park,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2020-11-19T22:38:43Z</cp:lastPrinted>
  <dcterms:created xsi:type="dcterms:W3CDTF">2005-09-15T20:51:37Z</dcterms:created>
  <dcterms:modified xsi:type="dcterms:W3CDTF">2020-11-19T22:50:07Z</dcterms:modified>
</cp:coreProperties>
</file>