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Z:\Shared\Data\HDC\Development\Enclave at Milledgeville\DCA\Tax Credit Application\2019-0xxEnclMilledgvll\"/>
    </mc:Choice>
  </mc:AlternateContent>
  <xr:revisionPtr revIDLastSave="0" documentId="13_ncr:1_{3CD0E73D-73E5-4DD8-92E6-151C90A1068E}"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2" i="75" l="1"/>
  <c r="K233" i="75" l="1"/>
  <c r="F227" i="75"/>
  <c r="G90" i="78" l="1"/>
  <c r="P66" i="78" l="1"/>
  <c r="G66" i="78"/>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M772" i="94"/>
  <c r="C773" i="94"/>
  <c r="EF773" i="94" s="1"/>
  <c r="B773" i="94"/>
  <c r="M773" i="94"/>
  <c r="C774" i="94"/>
  <c r="B774" i="94"/>
  <c r="M774" i="94"/>
  <c r="AR774" i="94" s="1"/>
  <c r="C775" i="94"/>
  <c r="B775" i="94"/>
  <c r="M775" i="94"/>
  <c r="C776" i="94"/>
  <c r="B776" i="94"/>
  <c r="M776" i="94"/>
  <c r="C777" i="94"/>
  <c r="B777" i="94"/>
  <c r="M777" i="94"/>
  <c r="C778" i="94"/>
  <c r="B778" i="94"/>
  <c r="M778" i="94"/>
  <c r="EF778" i="94" s="1"/>
  <c r="C779" i="94"/>
  <c r="B779" i="94"/>
  <c r="M779" i="94"/>
  <c r="C780" i="94"/>
  <c r="B780" i="94"/>
  <c r="M780" i="94"/>
  <c r="C781" i="94"/>
  <c r="ED781" i="94" s="1"/>
  <c r="B781" i="94"/>
  <c r="M781" i="94"/>
  <c r="C782" i="94"/>
  <c r="B782" i="94"/>
  <c r="M782" i="94"/>
  <c r="C783" i="94"/>
  <c r="B783" i="94"/>
  <c r="M783" i="94"/>
  <c r="C784" i="94"/>
  <c r="B784" i="94"/>
  <c r="M784" i="94"/>
  <c r="C785" i="94"/>
  <c r="B785" i="94"/>
  <c r="AO785" i="94" s="1"/>
  <c r="M785" i="94"/>
  <c r="C786" i="94"/>
  <c r="B786" i="94"/>
  <c r="AD786" i="94" s="1"/>
  <c r="M786" i="94"/>
  <c r="ED786" i="94" s="1"/>
  <c r="C787" i="94"/>
  <c r="B787" i="94"/>
  <c r="M787" i="94"/>
  <c r="C788" i="94"/>
  <c r="B788" i="94"/>
  <c r="M788" i="94"/>
  <c r="C789" i="94"/>
  <c r="B789" i="94"/>
  <c r="M789" i="94"/>
  <c r="C790" i="94"/>
  <c r="B790" i="94"/>
  <c r="M790" i="94"/>
  <c r="EG790" i="94" s="1"/>
  <c r="C791" i="94"/>
  <c r="B791" i="94"/>
  <c r="M791" i="94"/>
  <c r="C792" i="94"/>
  <c r="B792" i="94"/>
  <c r="M792" i="94"/>
  <c r="C793" i="94"/>
  <c r="B793" i="94"/>
  <c r="M793" i="94"/>
  <c r="C794" i="94"/>
  <c r="B794" i="94"/>
  <c r="M794" i="94"/>
  <c r="C795" i="94"/>
  <c r="B795" i="94"/>
  <c r="M795" i="94"/>
  <c r="C796" i="94"/>
  <c r="B796" i="94"/>
  <c r="M796" i="94"/>
  <c r="C797" i="94"/>
  <c r="AW797" i="94" s="1"/>
  <c r="B797" i="94"/>
  <c r="M797" i="94"/>
  <c r="C798" i="94"/>
  <c r="B798" i="94"/>
  <c r="M798" i="94"/>
  <c r="ED798" i="94" s="1"/>
  <c r="C799" i="94"/>
  <c r="B799" i="94"/>
  <c r="M799" i="94"/>
  <c r="C800" i="94"/>
  <c r="B800" i="94"/>
  <c r="M800" i="94"/>
  <c r="C801" i="94"/>
  <c r="EF801" i="94" s="1"/>
  <c r="B801" i="94"/>
  <c r="M801" i="94"/>
  <c r="C802" i="94"/>
  <c r="B802" i="94"/>
  <c r="M802" i="94"/>
  <c r="EE802" i="94" s="1"/>
  <c r="C803" i="94"/>
  <c r="B803" i="94"/>
  <c r="M803" i="94"/>
  <c r="C804" i="94"/>
  <c r="B804" i="94"/>
  <c r="M804" i="94"/>
  <c r="C805" i="94"/>
  <c r="EF805" i="94" s="1"/>
  <c r="B805" i="94"/>
  <c r="BJ805" i="94" s="1"/>
  <c r="M805" i="94"/>
  <c r="C806" i="94"/>
  <c r="B806" i="94"/>
  <c r="M806" i="94"/>
  <c r="EG806" i="94" s="1"/>
  <c r="C807" i="94"/>
  <c r="B807" i="94"/>
  <c r="M807" i="94"/>
  <c r="C808" i="94"/>
  <c r="B808" i="94"/>
  <c r="M808" i="94"/>
  <c r="C809" i="94"/>
  <c r="B809" i="94"/>
  <c r="BE809" i="94" s="1"/>
  <c r="M809" i="94"/>
  <c r="BF775" i="94"/>
  <c r="EC807" i="94"/>
  <c r="AC807" i="94"/>
  <c r="AW773" i="94"/>
  <c r="BB795" i="94"/>
  <c r="BG794" i="94"/>
  <c r="ED785" i="94"/>
  <c r="ED799" i="94"/>
  <c r="AD776" i="94"/>
  <c r="AI775" i="94"/>
  <c r="AN776" i="94"/>
  <c r="AN807" i="94"/>
  <c r="AS795" i="94"/>
  <c r="AX779" i="94"/>
  <c r="AX796" i="94"/>
  <c r="BC803" i="94"/>
  <c r="BH799" i="94"/>
  <c r="EE773" i="94"/>
  <c r="EE781" i="94"/>
  <c r="EE791" i="94"/>
  <c r="EE807" i="94"/>
  <c r="Z781" i="94"/>
  <c r="AE802" i="94"/>
  <c r="AJ804" i="94"/>
  <c r="AO800" i="94"/>
  <c r="AT779" i="94"/>
  <c r="AT796" i="94"/>
  <c r="AY779" i="94"/>
  <c r="AY792" i="94"/>
  <c r="BD779" i="94"/>
  <c r="BD788" i="94"/>
  <c r="BD807" i="94"/>
  <c r="BI779" i="94"/>
  <c r="BI803" i="94"/>
  <c r="EF775" i="94"/>
  <c r="EF785" i="94"/>
  <c r="EF789" i="94"/>
  <c r="EF799" i="94"/>
  <c r="EF803" i="94"/>
  <c r="AA787" i="94"/>
  <c r="AA801" i="94"/>
  <c r="AF803" i="94"/>
  <c r="AK799" i="94"/>
  <c r="AP792" i="94"/>
  <c r="AU788" i="94"/>
  <c r="AZ783" i="94"/>
  <c r="BE787" i="94"/>
  <c r="BJ781" i="94"/>
  <c r="EG773" i="94"/>
  <c r="EG781" i="94"/>
  <c r="EG789" i="94"/>
  <c r="EG795" i="94"/>
  <c r="EG797" i="94"/>
  <c r="EG803" i="94"/>
  <c r="EG805"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92" i="72" s="1"/>
  <c r="O1740"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O2068" i="94"/>
  <c r="P2057" i="94"/>
  <c r="O2057" i="94"/>
  <c r="N2057" i="94"/>
  <c r="R386" i="72"/>
  <c r="M409" i="72" s="1"/>
  <c r="M2057" i="94" s="1"/>
  <c r="P2056" i="94"/>
  <c r="O2056" i="94"/>
  <c r="N2056" i="94"/>
  <c r="G17" i="78"/>
  <c r="G23" i="78"/>
  <c r="G27" i="78"/>
  <c r="G33" i="78"/>
  <c r="F36" i="78" s="1"/>
  <c r="G38" i="78"/>
  <c r="G64" i="78"/>
  <c r="G77" i="78"/>
  <c r="G83" i="78"/>
  <c r="G91" i="78"/>
  <c r="G105" i="78"/>
  <c r="G111" i="78"/>
  <c r="G118" i="78"/>
  <c r="G126" i="78"/>
  <c r="G130" i="78"/>
  <c r="K2057" i="94"/>
  <c r="L386" i="72"/>
  <c r="J409" i="72" s="1"/>
  <c r="J2057" i="94" s="1"/>
  <c r="O384" i="72"/>
  <c r="O2032" i="94" s="1"/>
  <c r="L2032" i="94" s="1"/>
  <c r="O369" i="72"/>
  <c r="O2017" i="94" s="1"/>
  <c r="E1666" i="94" s="1"/>
  <c r="O1991" i="94"/>
  <c r="O330" i="72"/>
  <c r="O1978" i="94" s="1"/>
  <c r="O336" i="72"/>
  <c r="O1984" i="94" s="1"/>
  <c r="Q1984" i="94" s="1"/>
  <c r="O334" i="72"/>
  <c r="O1982" i="94" s="1"/>
  <c r="Q1982" i="94" s="1"/>
  <c r="L306" i="72"/>
  <c r="O316" i="72" s="1"/>
  <c r="O320" i="72"/>
  <c r="O1968" i="94" s="1"/>
  <c r="O298" i="72"/>
  <c r="O1946" i="94" s="1"/>
  <c r="K1934" i="94"/>
  <c r="O1936" i="94"/>
  <c r="K1870" i="94"/>
  <c r="J222" i="72"/>
  <c r="J1870" i="94" s="1"/>
  <c r="O205" i="72"/>
  <c r="O1853" i="94" s="1"/>
  <c r="I182" i="72"/>
  <c r="I1830" i="94" s="1"/>
  <c r="I1829" i="94"/>
  <c r="I1828" i="94"/>
  <c r="O107" i="72"/>
  <c r="O1755" i="94" s="1"/>
  <c r="O1709" i="94"/>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Q1858" i="94" s="1"/>
  <c r="T1859"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M1816" i="94" s="1"/>
  <c r="T1816" i="94" s="1"/>
  <c r="I1816" i="94"/>
  <c r="H1816" i="94"/>
  <c r="K1815" i="94"/>
  <c r="J1815" i="94"/>
  <c r="L1815" i="94" s="1"/>
  <c r="M1815" i="94" s="1"/>
  <c r="T1815" i="94" s="1"/>
  <c r="I1815" i="94"/>
  <c r="H1815" i="94"/>
  <c r="K1814" i="94"/>
  <c r="J1814" i="94"/>
  <c r="L1814" i="94" s="1"/>
  <c r="M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L1785" i="94" s="1"/>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O111" i="75"/>
  <c r="O2074" i="94" s="1"/>
  <c r="Q2072" i="94"/>
  <c r="L2070" i="94"/>
  <c r="R2068" i="94"/>
  <c r="P2068" i="94"/>
  <c r="M2052" i="94"/>
  <c r="S2034" i="94"/>
  <c r="R2034" i="94"/>
  <c r="P2032" i="94"/>
  <c r="J2032" i="94"/>
  <c r="P2017" i="94"/>
  <c r="L2007" i="94"/>
  <c r="I2007" i="94"/>
  <c r="G1999" i="94"/>
  <c r="G1991" i="94"/>
  <c r="P1990" i="94"/>
  <c r="P2098" i="94" s="1"/>
  <c r="P1982" i="94"/>
  <c r="P1978" i="94"/>
  <c r="P1984" i="94" s="1"/>
  <c r="Q1971" i="94"/>
  <c r="Q1970" i="94"/>
  <c r="L306" i="94"/>
  <c r="P1968" i="94" s="1"/>
  <c r="L1966" i="94"/>
  <c r="P1964" i="94"/>
  <c r="L1955" i="94"/>
  <c r="J1955" i="94"/>
  <c r="L1954" i="94"/>
  <c r="U1948" i="94"/>
  <c r="U1947" i="94"/>
  <c r="P1946" i="94"/>
  <c r="H293" i="94"/>
  <c r="P1941" i="94" s="1"/>
  <c r="P1925" i="94" s="1"/>
  <c r="P1936" i="94"/>
  <c r="K1941" i="94"/>
  <c r="G1928" i="94"/>
  <c r="J1927" i="94"/>
  <c r="L1884" i="94"/>
  <c r="K1884" i="94"/>
  <c r="P153" i="94"/>
  <c r="L1883" i="94" s="1"/>
  <c r="O153" i="94"/>
  <c r="K1883" i="94" s="1"/>
  <c r="K1882" i="94"/>
  <c r="L1880" i="94"/>
  <c r="O107" i="94"/>
  <c r="K1880" i="94" s="1"/>
  <c r="P189" i="94"/>
  <c r="L1879" i="94" s="1"/>
  <c r="O189" i="94"/>
  <c r="K1879" i="94" s="1"/>
  <c r="L1870" i="94"/>
  <c r="I1861" i="94"/>
  <c r="J1859" i="94"/>
  <c r="L1857" i="94"/>
  <c r="L1856" i="94"/>
  <c r="Q1855" i="94"/>
  <c r="L1855" i="94"/>
  <c r="P1853" i="94"/>
  <c r="J1830" i="94"/>
  <c r="J1829" i="94"/>
  <c r="J1828" i="94"/>
  <c r="K1826" i="94"/>
  <c r="T1820" i="94"/>
  <c r="F1808" i="94"/>
  <c r="Q1772" i="94"/>
  <c r="Q1770" i="94"/>
  <c r="Q1757" i="94"/>
  <c r="L1757" i="94"/>
  <c r="J1757" i="94"/>
  <c r="M107" i="94"/>
  <c r="P1755" i="94" s="1"/>
  <c r="Q1748" i="94"/>
  <c r="J72" i="94"/>
  <c r="P1740" i="94" s="1"/>
  <c r="F1738" i="94"/>
  <c r="Q1737" i="94"/>
  <c r="J1720" i="94"/>
  <c r="P1709" i="94"/>
  <c r="M1934" i="94" s="1"/>
  <c r="L1934" i="94"/>
  <c r="J1704" i="94"/>
  <c r="K1700" i="94"/>
  <c r="P1699" i="94"/>
  <c r="K1697" i="94"/>
  <c r="O1681" i="94"/>
  <c r="P1678" i="94" s="1"/>
  <c r="J1681" i="94"/>
  <c r="P1674" i="94" s="1"/>
  <c r="F1681" i="94"/>
  <c r="P1673" i="94" s="1"/>
  <c r="P1670" i="94" s="1"/>
  <c r="F1668" i="94"/>
  <c r="O420" i="94"/>
  <c r="E1668" i="94"/>
  <c r="F1667" i="94"/>
  <c r="E1667" i="94"/>
  <c r="F1666" i="94"/>
  <c r="F1665" i="94"/>
  <c r="O359" i="94"/>
  <c r="E1665" i="94"/>
  <c r="F1664" i="94"/>
  <c r="E1664" i="94"/>
  <c r="F1663" i="94"/>
  <c r="E1663" i="94"/>
  <c r="F1662" i="94"/>
  <c r="F1661" i="94"/>
  <c r="Q1660" i="94"/>
  <c r="F1660" i="94"/>
  <c r="E1660" i="94"/>
  <c r="F1659" i="94"/>
  <c r="O61" i="94"/>
  <c r="E1659" i="94" s="1"/>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s="1"/>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N1464" i="94"/>
  <c r="N1399" i="94"/>
  <c r="J1231" i="94"/>
  <c r="L1224" i="94"/>
  <c r="L1223" i="94"/>
  <c r="L1222" i="94"/>
  <c r="L1221" i="94"/>
  <c r="L1220" i="94"/>
  <c r="R48" i="81"/>
  <c r="L1217" i="94" s="1"/>
  <c r="Q1216" i="94"/>
  <c r="P1216" i="94"/>
  <c r="Q48" i="81"/>
  <c r="L1216" i="94" s="1"/>
  <c r="P48" i="81"/>
  <c r="L1201" i="94" s="1"/>
  <c r="O48" i="81"/>
  <c r="Q1213" i="94"/>
  <c r="P1213" i="94"/>
  <c r="N48" i="81"/>
  <c r="L1213" i="94" s="1"/>
  <c r="L1210" i="94"/>
  <c r="L1209" i="94"/>
  <c r="L1208" i="94"/>
  <c r="L1207" i="94"/>
  <c r="L1206" i="94"/>
  <c r="L1202" i="94"/>
  <c r="L1199" i="94"/>
  <c r="R1159" i="94"/>
  <c r="A1159" i="94"/>
  <c r="K210" i="75"/>
  <c r="F112" i="74" s="1"/>
  <c r="F1127" i="94" s="1"/>
  <c r="J210" i="75"/>
  <c r="E112" i="74" s="1"/>
  <c r="E1127" i="94" s="1"/>
  <c r="I210" i="75"/>
  <c r="D112" i="74"/>
  <c r="D1127" i="94" s="1"/>
  <c r="H210" i="75"/>
  <c r="C112" i="74" s="1"/>
  <c r="C1127" i="94" s="1"/>
  <c r="G210" i="75"/>
  <c r="B112" i="74" s="1"/>
  <c r="B1127" i="94" s="1"/>
  <c r="K206" i="75"/>
  <c r="F111" i="74" s="1"/>
  <c r="F1126" i="94" s="1"/>
  <c r="J206" i="75"/>
  <c r="E111" i="74"/>
  <c r="E1126" i="94" s="1"/>
  <c r="I206" i="75"/>
  <c r="D111" i="74" s="1"/>
  <c r="D1126" i="94" s="1"/>
  <c r="H206" i="75"/>
  <c r="C111" i="74" s="1"/>
  <c r="C1126" i="94" s="1"/>
  <c r="G206" i="75"/>
  <c r="B111" i="74" s="1"/>
  <c r="B1126" i="94" s="1"/>
  <c r="P201" i="75"/>
  <c r="K82" i="74" s="1"/>
  <c r="K1097" i="94" s="1"/>
  <c r="O201" i="75"/>
  <c r="J82" i="74" s="1"/>
  <c r="J1097" i="94" s="1"/>
  <c r="N201" i="75"/>
  <c r="I82" i="74" s="1"/>
  <c r="I1097" i="94" s="1"/>
  <c r="M201" i="75"/>
  <c r="H82" i="74" s="1"/>
  <c r="H1097" i="94" s="1"/>
  <c r="L201" i="75"/>
  <c r="G82" i="74" s="1"/>
  <c r="G1097" i="94" s="1"/>
  <c r="K201" i="75"/>
  <c r="F82" i="74" s="1"/>
  <c r="F1097" i="94" s="1"/>
  <c r="J201" i="75"/>
  <c r="E82" i="74"/>
  <c r="E1097" i="94" s="1"/>
  <c r="I201" i="75"/>
  <c r="D82" i="74" s="1"/>
  <c r="D1097" i="94" s="1"/>
  <c r="H201" i="75"/>
  <c r="C82" i="74" s="1"/>
  <c r="C1097" i="94" s="1"/>
  <c r="G201" i="75"/>
  <c r="B82" i="74" s="1"/>
  <c r="B1097" i="94" s="1"/>
  <c r="P197" i="75"/>
  <c r="K81" i="74" s="1"/>
  <c r="K1096" i="94" s="1"/>
  <c r="O197" i="75"/>
  <c r="J81" i="74"/>
  <c r="J1096" i="94" s="1"/>
  <c r="N197" i="75"/>
  <c r="I81" i="74"/>
  <c r="I1096" i="94" s="1"/>
  <c r="M197" i="75"/>
  <c r="H81" i="74" s="1"/>
  <c r="H1096" i="94" s="1"/>
  <c r="L197" i="75"/>
  <c r="G81" i="74"/>
  <c r="G1096" i="94" s="1"/>
  <c r="K197" i="75"/>
  <c r="F81" i="74" s="1"/>
  <c r="F1096" i="94" s="1"/>
  <c r="J197" i="75"/>
  <c r="E81" i="74" s="1"/>
  <c r="E1096" i="94" s="1"/>
  <c r="I197" i="75"/>
  <c r="D81" i="74" s="1"/>
  <c r="D1096" i="94" s="1"/>
  <c r="H197" i="75"/>
  <c r="C81" i="74" s="1"/>
  <c r="C1096" i="94" s="1"/>
  <c r="G197" i="75"/>
  <c r="B81" i="74" s="1"/>
  <c r="B1096" i="94" s="1"/>
  <c r="P192" i="75"/>
  <c r="K50" i="74"/>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s="1"/>
  <c r="G1064" i="94" s="1"/>
  <c r="K188" i="75"/>
  <c r="F49" i="74" s="1"/>
  <c r="F1064" i="94" s="1"/>
  <c r="J188" i="75"/>
  <c r="E49" i="74"/>
  <c r="E1064" i="94" s="1"/>
  <c r="I188" i="75"/>
  <c r="D49" i="74" s="1"/>
  <c r="D1064" i="94" s="1"/>
  <c r="H188" i="75"/>
  <c r="C49" i="74" s="1"/>
  <c r="C1064" i="94" s="1"/>
  <c r="G188" i="75"/>
  <c r="B49" i="74" s="1"/>
  <c r="B1064" i="94" s="1"/>
  <c r="G179" i="75"/>
  <c r="B17" i="74" s="1"/>
  <c r="B1032" i="94" s="1"/>
  <c r="H179" i="75"/>
  <c r="C17" i="74" s="1"/>
  <c r="C1032" i="94" s="1"/>
  <c r="I179" i="75"/>
  <c r="D17" i="74" s="1"/>
  <c r="D1032" i="94" s="1"/>
  <c r="J179" i="75"/>
  <c r="E17" i="74"/>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s="1"/>
  <c r="B1033" i="94" s="1"/>
  <c r="H183" i="75"/>
  <c r="C18" i="74" s="1"/>
  <c r="C1033" i="94" s="1"/>
  <c r="I183" i="75"/>
  <c r="D18" i="74"/>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c r="K1033" i="94" s="1"/>
  <c r="G1154" i="94"/>
  <c r="A1154" i="94"/>
  <c r="F135" i="74"/>
  <c r="F1150" i="94" s="1"/>
  <c r="E135" i="74"/>
  <c r="E1150" i="94" s="1"/>
  <c r="D135" i="74"/>
  <c r="D1150" i="94" s="1"/>
  <c r="C135" i="74"/>
  <c r="C1150" i="94"/>
  <c r="B135" i="74"/>
  <c r="B1150" i="94" s="1"/>
  <c r="F134" i="74"/>
  <c r="F1149" i="94" s="1"/>
  <c r="E134" i="74"/>
  <c r="E1149" i="94" s="1"/>
  <c r="D134" i="74"/>
  <c r="D1149" i="94"/>
  <c r="C134" i="74"/>
  <c r="C1149" i="94" s="1"/>
  <c r="B134" i="74"/>
  <c r="B1149" i="94" s="1"/>
  <c r="F133" i="74"/>
  <c r="F1148" i="94" s="1"/>
  <c r="E133" i="74"/>
  <c r="E1148" i="94"/>
  <c r="D133" i="74"/>
  <c r="D1148" i="94" s="1"/>
  <c r="C133" i="74"/>
  <c r="C1148" i="94" s="1"/>
  <c r="B133" i="74"/>
  <c r="B1148" i="94" s="1"/>
  <c r="K105" i="74"/>
  <c r="K1120" i="94" s="1"/>
  <c r="J105" i="74"/>
  <c r="J1120" i="94" s="1"/>
  <c r="I105" i="74"/>
  <c r="I1120" i="94" s="1"/>
  <c r="H105" i="74"/>
  <c r="H1120" i="94"/>
  <c r="G105" i="74"/>
  <c r="G1120" i="94" s="1"/>
  <c r="F105" i="74"/>
  <c r="F1120" i="94" s="1"/>
  <c r="E105" i="74"/>
  <c r="E1120" i="94" s="1"/>
  <c r="D105" i="74"/>
  <c r="D1120" i="94" s="1"/>
  <c r="C105" i="74"/>
  <c r="C1120" i="94" s="1"/>
  <c r="B105" i="74"/>
  <c r="B1120" i="94" s="1"/>
  <c r="K104" i="74"/>
  <c r="K1119" i="94" s="1"/>
  <c r="J104" i="74"/>
  <c r="J1119" i="94"/>
  <c r="I104" i="74"/>
  <c r="I1119" i="94" s="1"/>
  <c r="H104" i="74"/>
  <c r="H1119" i="94" s="1"/>
  <c r="G104" i="74"/>
  <c r="G1119" i="94" s="1"/>
  <c r="F104" i="74"/>
  <c r="F1119" i="94"/>
  <c r="E104" i="74"/>
  <c r="E1119" i="94" s="1"/>
  <c r="D104" i="74"/>
  <c r="D1119" i="94" s="1"/>
  <c r="C104" i="74"/>
  <c r="C1119" i="94" s="1"/>
  <c r="B104" i="74"/>
  <c r="B1119" i="94"/>
  <c r="K103" i="74"/>
  <c r="K1118" i="94" s="1"/>
  <c r="J103" i="74"/>
  <c r="J1118" i="94" s="1"/>
  <c r="I103" i="74"/>
  <c r="I1118" i="94" s="1"/>
  <c r="H103" i="74"/>
  <c r="H1118" i="94" s="1"/>
  <c r="G103" i="74"/>
  <c r="G1118" i="94" s="1"/>
  <c r="F103" i="74"/>
  <c r="F1118" i="94" s="1"/>
  <c r="E103" i="74"/>
  <c r="E1118" i="94" s="1"/>
  <c r="D103" i="74"/>
  <c r="D1118" i="94"/>
  <c r="C103" i="74"/>
  <c r="C1118" i="94" s="1"/>
  <c r="B103" i="74"/>
  <c r="B1118" i="94" s="1"/>
  <c r="K75" i="74"/>
  <c r="K1090" i="94" s="1"/>
  <c r="J75" i="74"/>
  <c r="J1090" i="94" s="1"/>
  <c r="I75" i="74"/>
  <c r="I1090" i="94" s="1"/>
  <c r="H75" i="74"/>
  <c r="H1090" i="94" s="1"/>
  <c r="K74" i="74"/>
  <c r="K1089" i="94" s="1"/>
  <c r="J74" i="74"/>
  <c r="J1089" i="94"/>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c r="G73" i="74"/>
  <c r="G1088" i="94" s="1"/>
  <c r="F73" i="74"/>
  <c r="F1088" i="94" s="1"/>
  <c r="E73" i="74"/>
  <c r="E1088" i="94" s="1"/>
  <c r="D73" i="74"/>
  <c r="D1088" i="94"/>
  <c r="C73" i="74"/>
  <c r="C1088" i="94" s="1"/>
  <c r="B73" i="74"/>
  <c r="B1088" i="94" s="1"/>
  <c r="K72" i="74"/>
  <c r="K1087" i="94" s="1"/>
  <c r="J72" i="74"/>
  <c r="J1087" i="94"/>
  <c r="I72" i="74"/>
  <c r="I1087" i="94" s="1"/>
  <c r="H72" i="74"/>
  <c r="H1087" i="94" s="1"/>
  <c r="G72" i="74"/>
  <c r="G1087" i="94" s="1"/>
  <c r="F72" i="74"/>
  <c r="F1087" i="94" s="1"/>
  <c r="E72" i="74"/>
  <c r="E1087" i="94" s="1"/>
  <c r="D72" i="74"/>
  <c r="D1087" i="94" s="1"/>
  <c r="C72" i="74"/>
  <c r="C1087" i="94" s="1"/>
  <c r="B72" i="74"/>
  <c r="B1087" i="94"/>
  <c r="K42" i="74"/>
  <c r="K1057" i="94" s="1"/>
  <c r="J42" i="74"/>
  <c r="J1057" i="94" s="1"/>
  <c r="I42" i="74"/>
  <c r="I1057" i="94" s="1"/>
  <c r="H42" i="74"/>
  <c r="H1057" i="94"/>
  <c r="G42" i="74"/>
  <c r="G1057" i="94" s="1"/>
  <c r="F42" i="74"/>
  <c r="F1057" i="94" s="1"/>
  <c r="E42" i="74"/>
  <c r="E1057" i="94" s="1"/>
  <c r="D42" i="74"/>
  <c r="D1057" i="94"/>
  <c r="C42" i="74"/>
  <c r="C1057" i="94" s="1"/>
  <c r="B42" i="74"/>
  <c r="B1057" i="94" s="1"/>
  <c r="K41" i="74"/>
  <c r="K1056" i="94" s="1"/>
  <c r="J41" i="74"/>
  <c r="J1056" i="94" s="1"/>
  <c r="I41" i="74"/>
  <c r="I1056" i="94" s="1"/>
  <c r="H41" i="74"/>
  <c r="H1056" i="94" s="1"/>
  <c r="G41" i="74"/>
  <c r="G1056" i="94" s="1"/>
  <c r="F41" i="74"/>
  <c r="F1056" i="94"/>
  <c r="E41" i="74"/>
  <c r="E1056" i="94" s="1"/>
  <c r="D41" i="74"/>
  <c r="D1056" i="94" s="1"/>
  <c r="C41" i="74"/>
  <c r="C1056" i="94" s="1"/>
  <c r="B41" i="74"/>
  <c r="B1056" i="94"/>
  <c r="K40" i="74"/>
  <c r="K1055" i="94" s="1"/>
  <c r="J40" i="74"/>
  <c r="J1055" i="94" s="1"/>
  <c r="I40" i="74"/>
  <c r="I1055" i="94" s="1"/>
  <c r="H40" i="74"/>
  <c r="H1055" i="94"/>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977" i="94"/>
  <c r="L1982" i="94"/>
  <c r="K1044" i="94"/>
  <c r="J1044" i="94"/>
  <c r="I1044" i="94"/>
  <c r="H1044" i="94"/>
  <c r="G1044" i="94"/>
  <c r="F1044" i="94"/>
  <c r="E1044" i="94"/>
  <c r="D1044" i="94"/>
  <c r="C1044" i="94"/>
  <c r="B1044" i="94"/>
  <c r="P43" i="68"/>
  <c r="P420" i="94" s="1"/>
  <c r="B30" i="74"/>
  <c r="C30" i="74" s="1"/>
  <c r="P41" i="68"/>
  <c r="K28" i="74" s="1"/>
  <c r="K1043" i="94" s="1"/>
  <c r="J28" i="74"/>
  <c r="J1043" i="94" s="1"/>
  <c r="F28" i="74"/>
  <c r="F1043" i="94" s="1"/>
  <c r="D28" i="74"/>
  <c r="D1043" i="94" s="1"/>
  <c r="B28" i="74"/>
  <c r="B1043" i="94" s="1"/>
  <c r="P40" i="68"/>
  <c r="I27" i="74" s="1"/>
  <c r="I1042" i="94" s="1"/>
  <c r="K27" i="74"/>
  <c r="K1042" i="94" s="1"/>
  <c r="J27" i="74"/>
  <c r="J1042" i="94" s="1"/>
  <c r="H27" i="74"/>
  <c r="H1042" i="94" s="1"/>
  <c r="G27" i="74"/>
  <c r="G1042" i="94" s="1"/>
  <c r="E27" i="74"/>
  <c r="E1042" i="94"/>
  <c r="D27" i="74"/>
  <c r="D1042" i="94" s="1"/>
  <c r="B27" i="74"/>
  <c r="B1042" i="94" s="1"/>
  <c r="P39" i="68"/>
  <c r="K26" i="74"/>
  <c r="K1041" i="94" s="1"/>
  <c r="E26" i="74"/>
  <c r="E1041" i="94" s="1"/>
  <c r="P38" i="68"/>
  <c r="F1134" i="94" s="1"/>
  <c r="C13" i="74"/>
  <c r="C23" i="74" s="1"/>
  <c r="C1038" i="94" s="1"/>
  <c r="B23" i="74"/>
  <c r="B1038" i="94" s="1"/>
  <c r="K1024" i="94"/>
  <c r="K1023" i="94"/>
  <c r="G1024" i="94"/>
  <c r="G1023" i="94"/>
  <c r="G1020" i="94"/>
  <c r="B1023" i="94"/>
  <c r="F1137" i="94"/>
  <c r="E1137" i="94"/>
  <c r="D1137" i="94"/>
  <c r="C1137" i="94"/>
  <c r="B1137" i="94"/>
  <c r="F1136" i="94"/>
  <c r="E1136" i="94"/>
  <c r="C1136" i="94"/>
  <c r="B1136" i="94"/>
  <c r="E1135" i="94"/>
  <c r="K1107" i="94"/>
  <c r="J1107" i="94"/>
  <c r="I1107" i="94"/>
  <c r="H1107" i="94"/>
  <c r="G1107" i="94"/>
  <c r="F1107" i="94"/>
  <c r="E1107" i="94"/>
  <c r="D1107" i="94"/>
  <c r="C1107" i="94"/>
  <c r="B1107" i="94"/>
  <c r="K1106" i="94"/>
  <c r="I1106" i="94"/>
  <c r="H1106" i="94"/>
  <c r="G1106" i="94"/>
  <c r="E1106" i="94"/>
  <c r="D1106" i="94"/>
  <c r="C1106" i="94"/>
  <c r="H1105" i="94"/>
  <c r="G1105" i="94"/>
  <c r="A1083" i="94"/>
  <c r="A1114" i="94" s="1"/>
  <c r="A1144" i="94" s="1"/>
  <c r="K1075" i="94"/>
  <c r="J1075" i="94"/>
  <c r="I1075" i="94"/>
  <c r="H1075" i="94"/>
  <c r="G1075" i="94"/>
  <c r="F1075" i="94"/>
  <c r="E1075" i="94"/>
  <c r="D1075" i="94"/>
  <c r="C1075" i="94"/>
  <c r="B1075" i="94"/>
  <c r="A1075" i="94"/>
  <c r="A1107" i="94"/>
  <c r="A1137" i="94" s="1"/>
  <c r="J1074" i="94"/>
  <c r="I1074" i="94"/>
  <c r="H1074" i="94"/>
  <c r="F1074" i="94"/>
  <c r="E1074" i="94"/>
  <c r="D1074" i="94"/>
  <c r="B1074" i="94"/>
  <c r="A1074" i="94"/>
  <c r="A1106" i="94"/>
  <c r="A1136" i="94" s="1"/>
  <c r="F1073" i="94"/>
  <c r="E1073" i="94"/>
  <c r="A1073" i="94"/>
  <c r="A1105" i="94" s="1"/>
  <c r="A1135" i="94" s="1"/>
  <c r="A1072" i="94"/>
  <c r="A1104" i="94" s="1"/>
  <c r="A1134" i="94"/>
  <c r="A1050" i="94"/>
  <c r="A1082" i="94" s="1"/>
  <c r="A1113" i="94" s="1"/>
  <c r="A1143" i="94" s="1"/>
  <c r="A1049" i="94"/>
  <c r="A1081" i="94" s="1"/>
  <c r="A1112" i="94" s="1"/>
  <c r="A1142" i="94"/>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779" i="94" s="1"/>
  <c r="Q18" i="75"/>
  <c r="Q780" i="94" s="1"/>
  <c r="Q19" i="75"/>
  <c r="Q781" i="94" s="1"/>
  <c r="Q20" i="75"/>
  <c r="Q782" i="94" s="1"/>
  <c r="Q21" i="75"/>
  <c r="Q783" i="94" s="1"/>
  <c r="Q22" i="75"/>
  <c r="Q784" i="94" s="1"/>
  <c r="Q23" i="75"/>
  <c r="Q785" i="94" s="1"/>
  <c r="Q24" i="75"/>
  <c r="Q786" i="94" s="1"/>
  <c r="Q25" i="75"/>
  <c r="Q787" i="94" s="1"/>
  <c r="Q26" i="75"/>
  <c r="Q788" i="94" s="1"/>
  <c r="Q27" i="75"/>
  <c r="Q789" i="94" s="1"/>
  <c r="Q28" i="75"/>
  <c r="Q790" i="94" s="1"/>
  <c r="Q29" i="75"/>
  <c r="Q791" i="94" s="1"/>
  <c r="Q30" i="75"/>
  <c r="Q792" i="94" s="1"/>
  <c r="Q31" i="75"/>
  <c r="Q793" i="94" s="1"/>
  <c r="Q32" i="75"/>
  <c r="Q794" i="94" s="1"/>
  <c r="Q33" i="75"/>
  <c r="Q795" i="94" s="1"/>
  <c r="Q34" i="75"/>
  <c r="Q796" i="94" s="1"/>
  <c r="Q35" i="75"/>
  <c r="Q797" i="94" s="1"/>
  <c r="Q36" i="75"/>
  <c r="Q798" i="94" s="1"/>
  <c r="Q37" i="75"/>
  <c r="Q799" i="94" s="1"/>
  <c r="Q38" i="75"/>
  <c r="Q800" i="94" s="1"/>
  <c r="Q39" i="75"/>
  <c r="Q801" i="94" s="1"/>
  <c r="Q40" i="75"/>
  <c r="Q802" i="94" s="1"/>
  <c r="Q41" i="75"/>
  <c r="Q803" i="94" s="1"/>
  <c r="Q42" i="75"/>
  <c r="Q804" i="94" s="1"/>
  <c r="Q43" i="75"/>
  <c r="Q805" i="94" s="1"/>
  <c r="Q44" i="75"/>
  <c r="Q806" i="94" s="1"/>
  <c r="Q45" i="75"/>
  <c r="Q807" i="94" s="1"/>
  <c r="Q46" i="75"/>
  <c r="Q808" i="94" s="1"/>
  <c r="Q47" i="75"/>
  <c r="Q809" i="94" s="1"/>
  <c r="M1010" i="94"/>
  <c r="A1010" i="94"/>
  <c r="L1005" i="94"/>
  <c r="H1005" i="94"/>
  <c r="P978" i="94"/>
  <c r="P979" i="94"/>
  <c r="P977" i="94"/>
  <c r="P980" i="94" s="1"/>
  <c r="N979" i="94"/>
  <c r="I997" i="94"/>
  <c r="I987" i="94"/>
  <c r="K994" i="94"/>
  <c r="K995" i="94"/>
  <c r="K996" i="94"/>
  <c r="K997" i="94"/>
  <c r="K985" i="94"/>
  <c r="K986" i="94"/>
  <c r="K987" i="94"/>
  <c r="K978" i="94"/>
  <c r="F994" i="94"/>
  <c r="F1001" i="94" s="1"/>
  <c r="F995" i="94"/>
  <c r="F996" i="94"/>
  <c r="F997" i="94"/>
  <c r="F998" i="94"/>
  <c r="F999" i="94"/>
  <c r="F1000" i="94"/>
  <c r="F985" i="94"/>
  <c r="F986" i="94"/>
  <c r="F990" i="94" s="1"/>
  <c r="F987" i="94"/>
  <c r="F988" i="94"/>
  <c r="F989" i="94"/>
  <c r="K993" i="94"/>
  <c r="K998" i="94" s="1"/>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MR773" i="94" s="1"/>
  <c r="O773" i="94"/>
  <c r="HT773" i="94" s="1"/>
  <c r="P773" i="94"/>
  <c r="N774" i="94"/>
  <c r="O774" i="94"/>
  <c r="MC774" i="94" s="1"/>
  <c r="P774" i="94"/>
  <c r="N775" i="94"/>
  <c r="O775" i="94"/>
  <c r="P775" i="94"/>
  <c r="KG775" i="94" s="1"/>
  <c r="N776" i="94"/>
  <c r="O776" i="94"/>
  <c r="P776" i="94"/>
  <c r="IY776" i="94" s="1"/>
  <c r="N777" i="94"/>
  <c r="LB777" i="94" s="1"/>
  <c r="O777" i="94"/>
  <c r="LX777" i="94"/>
  <c r="P777" i="94"/>
  <c r="N778" i="94"/>
  <c r="ML778" i="94" s="1"/>
  <c r="O778" i="94"/>
  <c r="P778" i="94"/>
  <c r="N779" i="94"/>
  <c r="O779" i="94"/>
  <c r="P779" i="94"/>
  <c r="N780" i="94"/>
  <c r="O780" i="94"/>
  <c r="P780" i="94"/>
  <c r="N781" i="94"/>
  <c r="O781" i="94"/>
  <c r="P781" i="94"/>
  <c r="N782" i="94"/>
  <c r="O782" i="94"/>
  <c r="MA782" i="94" s="1"/>
  <c r="P782" i="94"/>
  <c r="N783" i="94"/>
  <c r="O783" i="94"/>
  <c r="P783" i="94"/>
  <c r="N784" i="94"/>
  <c r="O784" i="94"/>
  <c r="P784" i="94"/>
  <c r="IZ784" i="94" s="1"/>
  <c r="N785" i="94"/>
  <c r="O785" i="94"/>
  <c r="P785" i="94"/>
  <c r="N786" i="94"/>
  <c r="O786" i="94"/>
  <c r="P786" i="94"/>
  <c r="N787" i="94"/>
  <c r="O787" i="94"/>
  <c r="P787" i="94"/>
  <c r="N788" i="94"/>
  <c r="O788" i="94"/>
  <c r="P788" i="94"/>
  <c r="IW788" i="94" s="1"/>
  <c r="N789" i="94"/>
  <c r="O789" i="94"/>
  <c r="P789" i="94"/>
  <c r="JS789" i="94" s="1"/>
  <c r="N790" i="94"/>
  <c r="O790" i="94"/>
  <c r="P790" i="94"/>
  <c r="N791" i="94"/>
  <c r="O791" i="94"/>
  <c r="P791" i="94"/>
  <c r="N792" i="94"/>
  <c r="O792" i="94"/>
  <c r="P792" i="94"/>
  <c r="N793" i="94"/>
  <c r="O793" i="94"/>
  <c r="P793" i="94"/>
  <c r="N794" i="94"/>
  <c r="O794" i="94"/>
  <c r="MD794" i="94"/>
  <c r="P794" i="94"/>
  <c r="N795" i="94"/>
  <c r="IB795" i="94" s="1"/>
  <c r="O795" i="94"/>
  <c r="P795" i="94"/>
  <c r="N796" i="94"/>
  <c r="O796" i="94"/>
  <c r="P796" i="94"/>
  <c r="N797" i="94"/>
  <c r="IC797" i="94" s="1"/>
  <c r="O797" i="94"/>
  <c r="P797" i="94"/>
  <c r="N798" i="94"/>
  <c r="O798" i="94"/>
  <c r="P798" i="94"/>
  <c r="N799" i="94"/>
  <c r="O799" i="94"/>
  <c r="P799" i="94"/>
  <c r="N800" i="94"/>
  <c r="O800" i="94"/>
  <c r="P800" i="94"/>
  <c r="N801" i="94"/>
  <c r="O801" i="94"/>
  <c r="P801" i="94"/>
  <c r="N802" i="94"/>
  <c r="O802" i="94"/>
  <c r="LT802" i="94" s="1"/>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FY777" i="94" s="1"/>
  <c r="D778" i="94"/>
  <c r="E778" i="94"/>
  <c r="F778" i="94"/>
  <c r="G778" i="94"/>
  <c r="H778" i="94"/>
  <c r="J778" i="94"/>
  <c r="D779" i="94"/>
  <c r="E779" i="94"/>
  <c r="F779" i="94"/>
  <c r="G779" i="94"/>
  <c r="H779" i="94"/>
  <c r="J779" i="94"/>
  <c r="D780" i="94"/>
  <c r="E780" i="94"/>
  <c r="F780" i="94"/>
  <c r="G780" i="94"/>
  <c r="H780" i="94"/>
  <c r="J780" i="94"/>
  <c r="D781" i="94"/>
  <c r="E781" i="94"/>
  <c r="MO781" i="94" s="1"/>
  <c r="F781" i="94"/>
  <c r="G781" i="94"/>
  <c r="H781" i="94"/>
  <c r="J781" i="94"/>
  <c r="D782" i="94"/>
  <c r="E782" i="94"/>
  <c r="AH782" i="94" s="1"/>
  <c r="F782" i="94"/>
  <c r="G782" i="94"/>
  <c r="H782" i="94"/>
  <c r="J782" i="94"/>
  <c r="BV782" i="94" s="1"/>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Z800" i="94" s="1"/>
  <c r="D801" i="94"/>
  <c r="E801" i="94"/>
  <c r="F801" i="94"/>
  <c r="G801" i="94"/>
  <c r="H801" i="94"/>
  <c r="J801" i="94"/>
  <c r="CP801" i="94" s="1"/>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CC809" i="94" s="1"/>
  <c r="P772" i="94"/>
  <c r="O772" i="94"/>
  <c r="N772" i="94"/>
  <c r="IA772" i="94" s="1"/>
  <c r="J772" i="94"/>
  <c r="BM772" i="94" s="1"/>
  <c r="H772" i="94"/>
  <c r="G772" i="94"/>
  <c r="F772" i="94"/>
  <c r="E772" i="94"/>
  <c r="MH772" i="94" s="1"/>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LL802" i="94"/>
  <c r="LK802" i="94"/>
  <c r="HL802" i="94"/>
  <c r="GE802" i="94"/>
  <c r="FP802" i="94"/>
  <c r="FO802" i="94"/>
  <c r="FH802" i="94"/>
  <c r="FG802" i="94"/>
  <c r="EZ802" i="94"/>
  <c r="EY802" i="94"/>
  <c r="ER802" i="94"/>
  <c r="EQ802" i="94"/>
  <c r="EJ802" i="94"/>
  <c r="EI802" i="94"/>
  <c r="IA801" i="94"/>
  <c r="GD800" i="94"/>
  <c r="GB800" i="94"/>
  <c r="GA800" i="94"/>
  <c r="FV800" i="94"/>
  <c r="HZ797" i="94"/>
  <c r="GA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O793" i="94"/>
  <c r="FJ793" i="94"/>
  <c r="FC793" i="94"/>
  <c r="EW793" i="94"/>
  <c r="EP793" i="94"/>
  <c r="EI793" i="94"/>
  <c r="GE792" i="94"/>
  <c r="GD792" i="94"/>
  <c r="GC792" i="94"/>
  <c r="GB792" i="94"/>
  <c r="GA792" i="94"/>
  <c r="FZ792" i="94"/>
  <c r="FY792" i="94"/>
  <c r="FX792" i="94"/>
  <c r="FW792" i="94"/>
  <c r="FV792" i="94"/>
  <c r="IC789" i="94"/>
  <c r="IB789" i="94"/>
  <c r="IA789" i="94"/>
  <c r="HZ789" i="94"/>
  <c r="HY789" i="94"/>
  <c r="GE789" i="94"/>
  <c r="GD789" i="94"/>
  <c r="GC789" i="94"/>
  <c r="GB789" i="94"/>
  <c r="GA789" i="94"/>
  <c r="LO787" i="94"/>
  <c r="LN787" i="94"/>
  <c r="LM787" i="94"/>
  <c r="LL787" i="94"/>
  <c r="LK787" i="94"/>
  <c r="LJ787" i="94"/>
  <c r="LI787" i="94"/>
  <c r="LH787" i="94"/>
  <c r="LG787" i="94"/>
  <c r="LF787" i="94"/>
  <c r="IA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DQ787" i="94"/>
  <c r="DE787" i="94"/>
  <c r="C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Y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DP785" i="94"/>
  <c r="CV785" i="94"/>
  <c r="CJ785" i="94"/>
  <c r="BT785" i="94"/>
  <c r="LG782" i="94"/>
  <c r="FP782" i="94"/>
  <c r="FG782" i="94"/>
  <c r="EX782" i="94"/>
  <c r="EO782" i="94"/>
  <c r="DD782" i="94"/>
  <c r="CD782" i="94"/>
  <c r="KH781" i="94"/>
  <c r="JB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KU779" i="94"/>
  <c r="KM779" i="94"/>
  <c r="II779" i="94"/>
  <c r="IC779" i="94"/>
  <c r="HZ779" i="94"/>
  <c r="GE779" i="94"/>
  <c r="GD779" i="94"/>
  <c r="GC779" i="94"/>
  <c r="GB779" i="94"/>
  <c r="GA779" i="94"/>
  <c r="FY779" i="94"/>
  <c r="FX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A779" i="94"/>
  <c r="DW779" i="94"/>
  <c r="DS779" i="94"/>
  <c r="DP779" i="94"/>
  <c r="DL779" i="94"/>
  <c r="DK779" i="94"/>
  <c r="DH779" i="94"/>
  <c r="DD779" i="94"/>
  <c r="DC779" i="94"/>
  <c r="CZ779" i="94"/>
  <c r="CV779" i="94"/>
  <c r="CU779" i="94"/>
  <c r="CR779" i="94"/>
  <c r="CN779" i="94"/>
  <c r="CM779" i="94"/>
  <c r="CJ779" i="94"/>
  <c r="CF779" i="94"/>
  <c r="CE779" i="94"/>
  <c r="CB779" i="94"/>
  <c r="BX779" i="94"/>
  <c r="BW779" i="94"/>
  <c r="BT779" i="94"/>
  <c r="BP779" i="94"/>
  <c r="BO779" i="94"/>
  <c r="BL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KW777" i="94"/>
  <c r="KV777" i="94"/>
  <c r="KO777" i="94"/>
  <c r="KN777" i="94"/>
  <c r="KG777" i="94"/>
  <c r="KF777" i="94"/>
  <c r="JY777" i="94"/>
  <c r="JX777" i="94"/>
  <c r="JQ777" i="94"/>
  <c r="JP777" i="94"/>
  <c r="JI777" i="94"/>
  <c r="JH777" i="94"/>
  <c r="JA777" i="94"/>
  <c r="IZ777" i="94"/>
  <c r="IS777" i="94"/>
  <c r="IR777" i="94"/>
  <c r="IK777" i="94"/>
  <c r="IJ777" i="94"/>
  <c r="IC777" i="94"/>
  <c r="IB777" i="94"/>
  <c r="GE777" i="94"/>
  <c r="GD777" i="94"/>
  <c r="GC777" i="94"/>
  <c r="GB777" i="94"/>
  <c r="GA777" i="94"/>
  <c r="FX777" i="94"/>
  <c r="FW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A777" i="94"/>
  <c r="DZ777" i="94"/>
  <c r="DW777" i="94"/>
  <c r="DV777" i="94"/>
  <c r="DS777" i="94"/>
  <c r="DR777" i="94"/>
  <c r="DO777" i="94"/>
  <c r="DN777" i="94"/>
  <c r="DK777" i="94"/>
  <c r="DJ777" i="94"/>
  <c r="DG777" i="94"/>
  <c r="DF777" i="94"/>
  <c r="DC777" i="94"/>
  <c r="DB777" i="94"/>
  <c r="CY777" i="94"/>
  <c r="CX777" i="94"/>
  <c r="CU777" i="94"/>
  <c r="CT777" i="94"/>
  <c r="CQ777" i="94"/>
  <c r="CP777" i="94"/>
  <c r="CM777" i="94"/>
  <c r="CL777" i="94"/>
  <c r="CI777" i="94"/>
  <c r="CH777" i="94"/>
  <c r="CE777" i="94"/>
  <c r="CD777" i="94"/>
  <c r="CA777" i="94"/>
  <c r="BZ777" i="94"/>
  <c r="BW777" i="94"/>
  <c r="BV777" i="94"/>
  <c r="BS777" i="94"/>
  <c r="BR777" i="94"/>
  <c r="BO777" i="94"/>
  <c r="BN777" i="94"/>
  <c r="BK777" i="94"/>
  <c r="LI776" i="94"/>
  <c r="HW776" i="94"/>
  <c r="GE776" i="94"/>
  <c r="GD776" i="94"/>
  <c r="GC776" i="94"/>
  <c r="GB776" i="94"/>
  <c r="GA776" i="94"/>
  <c r="FZ776" i="94"/>
  <c r="FY776" i="94"/>
  <c r="FX776" i="94"/>
  <c r="FW776" i="94"/>
  <c r="FV776" i="94"/>
  <c r="FS776" i="94"/>
  <c r="CQ776" i="94"/>
  <c r="CI776" i="94"/>
  <c r="CA776" i="94"/>
  <c r="MB774" i="94"/>
  <c r="LW774" i="94"/>
  <c r="LT774" i="94"/>
  <c r="LO774" i="94"/>
  <c r="LN774" i="94"/>
  <c r="LM774" i="94"/>
  <c r="LL774" i="94"/>
  <c r="LK774" i="94"/>
  <c r="LJ774" i="94"/>
  <c r="LI774" i="94"/>
  <c r="LH774" i="94"/>
  <c r="LG774" i="94"/>
  <c r="LF774" i="94"/>
  <c r="IA774" i="94"/>
  <c r="HW774" i="94"/>
  <c r="HT774" i="94"/>
  <c r="HO774" i="94"/>
  <c r="HL774" i="94"/>
  <c r="HG774" i="94"/>
  <c r="HD774" i="94"/>
  <c r="GY774" i="94"/>
  <c r="GV774" i="94"/>
  <c r="GQ774" i="94"/>
  <c r="GN774" i="94"/>
  <c r="GI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P773" i="94"/>
  <c r="MO773" i="94"/>
  <c r="LB773" i="94"/>
  <c r="KZ773" i="94"/>
  <c r="KV773" i="94"/>
  <c r="KU773" i="94"/>
  <c r="KQ773" i="94"/>
  <c r="KP773" i="94"/>
  <c r="KL773" i="94"/>
  <c r="KJ773" i="94"/>
  <c r="KF773" i="94"/>
  <c r="KE773" i="94"/>
  <c r="KA773" i="94"/>
  <c r="JZ773" i="94"/>
  <c r="JV773" i="94"/>
  <c r="JT773" i="94"/>
  <c r="JP773" i="94"/>
  <c r="JO773" i="94"/>
  <c r="JK773" i="94"/>
  <c r="JJ773" i="94"/>
  <c r="JF773" i="94"/>
  <c r="JD773" i="94"/>
  <c r="IZ773" i="94"/>
  <c r="IY773" i="94"/>
  <c r="IU773" i="94"/>
  <c r="IT773" i="94"/>
  <c r="IP773" i="94"/>
  <c r="IN773" i="94"/>
  <c r="IJ773" i="94"/>
  <c r="II773" i="94"/>
  <c r="IE773" i="94"/>
  <c r="ID773" i="94"/>
  <c r="HZ773" i="94"/>
  <c r="GE773" i="94"/>
  <c r="GD773" i="94"/>
  <c r="GC773" i="94"/>
  <c r="GB773" i="94"/>
  <c r="GA773" i="94"/>
  <c r="IC772"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J732" i="94" s="1"/>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91" i="94" s="1"/>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W552" i="94"/>
  <c r="W542" i="94"/>
  <c r="V542" i="94"/>
  <c r="V550" i="94" s="1"/>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5" i="94" s="1"/>
  <c r="J573" i="94"/>
  <c r="M574" i="94"/>
  <c r="M573" i="94"/>
  <c r="M575" i="94" s="1"/>
  <c r="P574" i="94"/>
  <c r="P575" i="94" s="1"/>
  <c r="P573" i="94"/>
  <c r="P570" i="94"/>
  <c r="P569" i="94"/>
  <c r="P571" i="94" s="1"/>
  <c r="M570" i="94"/>
  <c r="M571" i="94" s="1"/>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S549" i="94"/>
  <c r="S548" i="94"/>
  <c r="S547" i="94"/>
  <c r="S546" i="94"/>
  <c r="S545" i="94"/>
  <c r="S544" i="94"/>
  <c r="S543" i="94"/>
  <c r="S550" i="94" s="1"/>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8" i="94" s="1"/>
  <c r="J525" i="94"/>
  <c r="J524" i="94"/>
  <c r="G525" i="94"/>
  <c r="G528" i="94" s="1"/>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J509" i="94" s="1"/>
  <c r="G498" i="94"/>
  <c r="G499" i="94"/>
  <c r="G500" i="94"/>
  <c r="G501" i="94"/>
  <c r="G502" i="94"/>
  <c r="G503" i="94"/>
  <c r="G504" i="94"/>
  <c r="G505" i="94"/>
  <c r="G506" i="94"/>
  <c r="G507" i="94"/>
  <c r="G508" i="94"/>
  <c r="A508" i="94" s="1"/>
  <c r="S558" i="94"/>
  <c r="P558" i="94"/>
  <c r="M558" i="94"/>
  <c r="J558" i="94"/>
  <c r="G558" i="94"/>
  <c r="G524" i="94"/>
  <c r="G511" i="94"/>
  <c r="S497" i="94"/>
  <c r="P497" i="94"/>
  <c r="M497" i="94"/>
  <c r="G497" i="94"/>
  <c r="A624" i="94"/>
  <c r="C590" i="94"/>
  <c r="C574" i="94"/>
  <c r="C570" i="94"/>
  <c r="C555" i="94"/>
  <c r="U555" i="94" s="1"/>
  <c r="C549" i="94"/>
  <c r="C548" i="94"/>
  <c r="U548" i="94"/>
  <c r="C535" i="94"/>
  <c r="C521" i="94"/>
  <c r="C508" i="94"/>
  <c r="C507" i="94"/>
  <c r="C486" i="94"/>
  <c r="S492" i="94"/>
  <c r="P492" i="94"/>
  <c r="M492" i="94"/>
  <c r="J492" i="94"/>
  <c r="G492" i="94"/>
  <c r="S486" i="94"/>
  <c r="P486" i="94"/>
  <c r="M486" i="94"/>
  <c r="J486" i="94"/>
  <c r="G486" i="94"/>
  <c r="C460" i="94"/>
  <c r="G460" i="94"/>
  <c r="C461" i="94"/>
  <c r="C459" i="94"/>
  <c r="S482" i="94"/>
  <c r="S481" i="94"/>
  <c r="S480" i="94"/>
  <c r="S483" i="94" s="1"/>
  <c r="P482" i="94"/>
  <c r="P481" i="94"/>
  <c r="P480" i="94"/>
  <c r="M482" i="94"/>
  <c r="M481" i="94"/>
  <c r="M480" i="94"/>
  <c r="J482" i="94"/>
  <c r="J481" i="94"/>
  <c r="J483" i="94" s="1"/>
  <c r="J480" i="94"/>
  <c r="G481" i="94"/>
  <c r="G482" i="94"/>
  <c r="S471" i="94"/>
  <c r="S470" i="94"/>
  <c r="S472" i="94" s="1"/>
  <c r="J471" i="94"/>
  <c r="J472" i="94" s="1"/>
  <c r="J470" i="94"/>
  <c r="G471" i="94"/>
  <c r="G470" i="94"/>
  <c r="F470" i="94" s="1"/>
  <c r="S477" i="94"/>
  <c r="S476" i="94"/>
  <c r="S475" i="94"/>
  <c r="S474" i="94"/>
  <c r="P477" i="94"/>
  <c r="P474" i="94"/>
  <c r="P475" i="94"/>
  <c r="P476" i="94"/>
  <c r="M477" i="94"/>
  <c r="M476" i="94"/>
  <c r="M475" i="94"/>
  <c r="M474" i="94"/>
  <c r="J477" i="94"/>
  <c r="J476" i="94"/>
  <c r="J475" i="94"/>
  <c r="J474" i="94"/>
  <c r="G477" i="94"/>
  <c r="G476" i="94"/>
  <c r="G478" i="94" s="1"/>
  <c r="G475" i="94"/>
  <c r="G474" i="94"/>
  <c r="S467" i="94"/>
  <c r="S464" i="94"/>
  <c r="S465" i="94"/>
  <c r="S466" i="94"/>
  <c r="M467" i="94"/>
  <c r="M468" i="94" s="1"/>
  <c r="G465" i="94"/>
  <c r="G466" i="94"/>
  <c r="G467" i="94"/>
  <c r="S461" i="94"/>
  <c r="S460" i="94"/>
  <c r="S459" i="94"/>
  <c r="S458" i="94"/>
  <c r="S457" i="94"/>
  <c r="S456" i="94"/>
  <c r="S455" i="94"/>
  <c r="S454" i="94"/>
  <c r="S453" i="94"/>
  <c r="S462" i="94" s="1"/>
  <c r="P461" i="94"/>
  <c r="P460" i="94"/>
  <c r="P459" i="94"/>
  <c r="P458" i="94"/>
  <c r="P457" i="94"/>
  <c r="P456" i="94"/>
  <c r="P455" i="94"/>
  <c r="P454" i="94"/>
  <c r="P453" i="94"/>
  <c r="M461" i="94"/>
  <c r="M460" i="94"/>
  <c r="M459" i="94"/>
  <c r="M458" i="94"/>
  <c r="M457" i="94"/>
  <c r="M456" i="94"/>
  <c r="M455" i="94"/>
  <c r="M454" i="94"/>
  <c r="M462" i="94" s="1"/>
  <c r="M453" i="94"/>
  <c r="J461" i="94"/>
  <c r="J460" i="94"/>
  <c r="J459" i="94"/>
  <c r="J458" i="94"/>
  <c r="J457" i="94"/>
  <c r="J456" i="94"/>
  <c r="J455" i="94"/>
  <c r="J454" i="94"/>
  <c r="J453" i="94"/>
  <c r="G454" i="94"/>
  <c r="G455" i="94"/>
  <c r="G456" i="94"/>
  <c r="G457" i="94"/>
  <c r="G458" i="94"/>
  <c r="G459" i="94"/>
  <c r="G461" i="94"/>
  <c r="G480" i="94"/>
  <c r="M470" i="94"/>
  <c r="M472" i="94" s="1"/>
  <c r="P470" i="94"/>
  <c r="P472" i="94" s="1"/>
  <c r="M466" i="94"/>
  <c r="G464" i="94"/>
  <c r="G453" i="94"/>
  <c r="J611" i="94"/>
  <c r="O610" i="94"/>
  <c r="I58" i="68"/>
  <c r="J609" i="94"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W469" i="94"/>
  <c r="O469" i="94"/>
  <c r="F464" i="94"/>
  <c r="W463" i="94"/>
  <c r="O463" i="94"/>
  <c r="W452" i="94"/>
  <c r="O452" i="94"/>
  <c r="V450" i="94"/>
  <c r="D450" i="94"/>
  <c r="A446" i="94"/>
  <c r="W446" i="94" s="1"/>
  <c r="MK772" i="94"/>
  <c r="MO772" i="94"/>
  <c r="HY772" i="94"/>
  <c r="HZ772" i="94"/>
  <c r="MN772" i="94"/>
  <c r="MI772" i="94"/>
  <c r="IQ772" i="94"/>
  <c r="IY772" i="94"/>
  <c r="JG772" i="94"/>
  <c r="JW772" i="94"/>
  <c r="KE772" i="94"/>
  <c r="KM772" i="94"/>
  <c r="LC772" i="94"/>
  <c r="MR772" i="94"/>
  <c r="JF772" i="94"/>
  <c r="KT772" i="94"/>
  <c r="IJ772" i="94"/>
  <c r="IR772" i="94"/>
  <c r="JH772" i="94"/>
  <c r="JP772" i="94"/>
  <c r="JX772" i="94"/>
  <c r="KN772" i="94"/>
  <c r="KV772" i="94"/>
  <c r="LD772" i="94"/>
  <c r="IO772" i="94"/>
  <c r="KC772" i="94"/>
  <c r="IX772" i="94"/>
  <c r="IK772" i="94"/>
  <c r="IS772" i="94"/>
  <c r="JA772" i="94"/>
  <c r="JQ772" i="94"/>
  <c r="JY772" i="94"/>
  <c r="KG772" i="94"/>
  <c r="KW772" i="94"/>
  <c r="LE772" i="94"/>
  <c r="ID772" i="94"/>
  <c r="IL772" i="94"/>
  <c r="IT772" i="94"/>
  <c r="JJ772" i="94"/>
  <c r="JR772" i="94"/>
  <c r="JZ772" i="94"/>
  <c r="KP772" i="94"/>
  <c r="KX772" i="94"/>
  <c r="ME772" i="94"/>
  <c r="KK772" i="94"/>
  <c r="LA772" i="94"/>
  <c r="JN772" i="94"/>
  <c r="LB772" i="94"/>
  <c r="IE772" i="94"/>
  <c r="IM772" i="94"/>
  <c r="JC772" i="94"/>
  <c r="JK772" i="94"/>
  <c r="JS772" i="94"/>
  <c r="KI772" i="94"/>
  <c r="KQ772" i="94"/>
  <c r="KY772" i="94"/>
  <c r="IG772" i="94"/>
  <c r="IW772" i="94"/>
  <c r="JE772" i="94"/>
  <c r="KS772" i="94"/>
  <c r="MP772" i="94"/>
  <c r="IP772" i="94"/>
  <c r="IF772" i="94"/>
  <c r="IN772" i="94"/>
  <c r="IV772" i="94"/>
  <c r="JL772" i="94"/>
  <c r="JT772" i="94"/>
  <c r="KB772" i="94"/>
  <c r="KR772" i="94"/>
  <c r="KZ772" i="94"/>
  <c r="HL772" i="94"/>
  <c r="FI775" i="94"/>
  <c r="BS793" i="94"/>
  <c r="CE793" i="94"/>
  <c r="CS793" i="94"/>
  <c r="DF793" i="94"/>
  <c r="DR793" i="94"/>
  <c r="EQ793" i="94"/>
  <c r="FE793" i="94"/>
  <c r="FR793" i="94"/>
  <c r="GL794" i="94"/>
  <c r="GT794" i="94"/>
  <c r="HC794" i="94"/>
  <c r="HN794" i="94"/>
  <c r="LX794" i="94"/>
  <c r="FT795" i="94"/>
  <c r="ET801" i="94"/>
  <c r="HT802" i="94"/>
  <c r="GO775" i="94"/>
  <c r="BU793" i="94"/>
  <c r="CH793" i="94"/>
  <c r="CT793" i="94"/>
  <c r="DG793" i="94"/>
  <c r="DS793" i="94"/>
  <c r="ET793" i="94"/>
  <c r="FF793" i="94"/>
  <c r="FS793" i="94"/>
  <c r="GM794" i="94"/>
  <c r="GU794" i="94"/>
  <c r="HE794" i="94"/>
  <c r="HP794" i="94"/>
  <c r="LZ794" i="94"/>
  <c r="HY795" i="94"/>
  <c r="CN772" i="94"/>
  <c r="LM773" i="94"/>
  <c r="HU775" i="94"/>
  <c r="BV793" i="94"/>
  <c r="CI793" i="94"/>
  <c r="CU793" i="94"/>
  <c r="DI793" i="94"/>
  <c r="DV793" i="94"/>
  <c r="EH793" i="94"/>
  <c r="EU793" i="94"/>
  <c r="FG793" i="94"/>
  <c r="FU793" i="94"/>
  <c r="GF794" i="94"/>
  <c r="GN794" i="94"/>
  <c r="GW794" i="94"/>
  <c r="HF794" i="94"/>
  <c r="HQ794" i="94"/>
  <c r="LP794" i="94"/>
  <c r="MA794" i="94"/>
  <c r="GN773" i="94"/>
  <c r="JA775" i="94"/>
  <c r="DV801" i="94"/>
  <c r="EZ772" i="94"/>
  <c r="LK772"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HK802" i="94"/>
  <c r="JK789" i="94"/>
  <c r="IW787" i="94"/>
  <c r="JD785" i="94"/>
  <c r="LC781" i="94"/>
  <c r="MO779" i="94"/>
  <c r="G968" i="94"/>
  <c r="D1028" i="94"/>
  <c r="DT800" i="94"/>
  <c r="LF800" i="94"/>
  <c r="ER800" i="94"/>
  <c r="MD792" i="94"/>
  <c r="LJ792" i="94"/>
  <c r="HM792" i="94"/>
  <c r="GP792" i="94"/>
  <c r="DM792" i="94"/>
  <c r="FQ792" i="94"/>
  <c r="CP792"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MJ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U549" i="94"/>
  <c r="P591" i="94"/>
  <c r="P595" i="94" s="1"/>
  <c r="JT774" i="94"/>
  <c r="CY776" i="94"/>
  <c r="GI776" i="94"/>
  <c r="LQ776" i="94"/>
  <c r="DT778" i="94"/>
  <c r="MK780" i="94"/>
  <c r="DG776" i="94"/>
  <c r="EM776" i="94"/>
  <c r="GQ776" i="94"/>
  <c r="LY776" i="94"/>
  <c r="BP778" i="94"/>
  <c r="EB778" i="94"/>
  <c r="MK774" i="94"/>
  <c r="DO776" i="94"/>
  <c r="EU776" i="94"/>
  <c r="GY776" i="94"/>
  <c r="MK776" i="94"/>
  <c r="BX778" i="94"/>
  <c r="IB778" i="94"/>
  <c r="ET792" i="94"/>
  <c r="J522" i="94"/>
  <c r="BK776" i="94"/>
  <c r="DW776" i="94"/>
  <c r="FC776" i="94"/>
  <c r="HG776" i="94"/>
  <c r="CF778" i="94"/>
  <c r="BS776" i="94"/>
  <c r="FK776" i="94"/>
  <c r="HO776" i="94"/>
  <c r="BV792" i="94"/>
  <c r="FL780" i="94"/>
  <c r="CP786" i="94"/>
  <c r="DD778" i="94"/>
  <c r="GR780" i="94"/>
  <c r="DV786" i="94"/>
  <c r="I749" i="94"/>
  <c r="GV794" i="94"/>
  <c r="HD794" i="94"/>
  <c r="HL794" i="94"/>
  <c r="HT794" i="94"/>
  <c r="LQ794" i="94"/>
  <c r="LY794" i="94"/>
  <c r="CB795" i="94"/>
  <c r="HZ795" i="94"/>
  <c r="GM802" i="94"/>
  <c r="HS802" i="94"/>
  <c r="EM803" i="94"/>
  <c r="L950" i="94"/>
  <c r="H954" i="94"/>
  <c r="P954" i="94"/>
  <c r="L959" i="94"/>
  <c r="FZ804" i="94"/>
  <c r="DJ798" i="94"/>
  <c r="CK796" i="94"/>
  <c r="FT790" i="94"/>
  <c r="FY780" i="94"/>
  <c r="FB801" i="94"/>
  <c r="GU802" i="94"/>
  <c r="IA803" i="94"/>
  <c r="M522" i="94"/>
  <c r="S528" i="94"/>
  <c r="L732" i="94"/>
  <c r="K749"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T782" i="94"/>
  <c r="CS782" i="94"/>
  <c r="EM782" i="94"/>
  <c r="EV782" i="94"/>
  <c r="FE782" i="94"/>
  <c r="FN782" i="94"/>
  <c r="FW782" i="94"/>
  <c r="HZ782" i="94"/>
  <c r="LN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CC782" i="94"/>
  <c r="DV782" i="94"/>
  <c r="EN782" i="94"/>
  <c r="EW782" i="94"/>
  <c r="FF782" i="94"/>
  <c r="FO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FQ782" i="94"/>
  <c r="FI782" i="94"/>
  <c r="FA782" i="94"/>
  <c r="ES782" i="94"/>
  <c r="EK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CM782" i="94"/>
  <c r="DO782" i="94"/>
  <c r="EP782" i="94"/>
  <c r="EY782" i="94"/>
  <c r="FH782" i="94"/>
  <c r="FR782" i="94"/>
  <c r="GA782" i="94"/>
  <c r="LI782"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CF782" i="94"/>
  <c r="DY782" i="94"/>
  <c r="EH782" i="94"/>
  <c r="EQ782" i="94"/>
  <c r="EZ782" i="94"/>
  <c r="FJ782" i="94"/>
  <c r="FS782" i="94"/>
  <c r="GB782" i="94"/>
  <c r="LJ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DH782" i="94"/>
  <c r="EI782" i="94"/>
  <c r="ER782" i="94"/>
  <c r="FB782" i="94"/>
  <c r="FK782" i="94"/>
  <c r="FT782" i="94"/>
  <c r="GC782" i="94"/>
  <c r="LK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Z782" i="94"/>
  <c r="CZ782" i="94"/>
  <c r="EJ782" i="94"/>
  <c r="ET782" i="94"/>
  <c r="FC782" i="94"/>
  <c r="FL782" i="94"/>
  <c r="FU782" i="94"/>
  <c r="GD782" i="94"/>
  <c r="LL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CA782" i="94"/>
  <c r="DS782" i="94"/>
  <c r="EL782" i="94"/>
  <c r="EU782" i="94"/>
  <c r="FD782" i="94"/>
  <c r="FM782" i="94"/>
  <c r="GE782" i="94"/>
  <c r="HY782" i="94"/>
  <c r="LM782" i="94"/>
  <c r="IN785" i="94"/>
  <c r="KZ785" i="94"/>
  <c r="IG787" i="94"/>
  <c r="KS787" i="94"/>
  <c r="IU789" i="94"/>
  <c r="MP789" i="94"/>
  <c r="CE790" i="94"/>
  <c r="EZ790" i="94"/>
  <c r="LY790" i="94"/>
  <c r="KH795" i="94"/>
  <c r="JZ797" i="94"/>
  <c r="IC786"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J783" i="94"/>
  <c r="MB783" i="94"/>
  <c r="LT783" i="94"/>
  <c r="LL783" i="94"/>
  <c r="JX783" i="94"/>
  <c r="IB783" i="94"/>
  <c r="HT783" i="94"/>
  <c r="HL783" i="94"/>
  <c r="HD783" i="94"/>
  <c r="GV783" i="94"/>
  <c r="GN783" i="94"/>
  <c r="GF783" i="94"/>
  <c r="FP783" i="94"/>
  <c r="FH783" i="94"/>
  <c r="EZ783" i="94"/>
  <c r="ER783" i="94"/>
  <c r="EJ783" i="94"/>
  <c r="EB783" i="94"/>
  <c r="DT783" i="94"/>
  <c r="DL783" i="94"/>
  <c r="DD783" i="94"/>
  <c r="CV783" i="94"/>
  <c r="CN783" i="94"/>
  <c r="CF783" i="94"/>
  <c r="BX783" i="94"/>
  <c r="BP783" i="94"/>
  <c r="MA783" i="94"/>
  <c r="LS783" i="94"/>
  <c r="LK783" i="94"/>
  <c r="LC783" i="94"/>
  <c r="IQ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JF783" i="94"/>
  <c r="HZ783" i="94"/>
  <c r="HP783" i="94"/>
  <c r="HF783" i="94"/>
  <c r="GT783" i="94"/>
  <c r="GJ783" i="94"/>
  <c r="FZ783" i="94"/>
  <c r="FN783" i="94"/>
  <c r="FD783" i="94"/>
  <c r="EH783" i="94"/>
  <c r="DX783" i="94"/>
  <c r="DN783" i="94"/>
  <c r="DB783" i="94"/>
  <c r="CR783" i="94"/>
  <c r="CH783" i="94"/>
  <c r="BV783" i="94"/>
  <c r="BL783" i="94"/>
  <c r="MM783" i="94"/>
  <c r="MC783" i="94"/>
  <c r="LQ783" i="94"/>
  <c r="LG783" i="94"/>
  <c r="KK783" i="94"/>
  <c r="HY783" i="94"/>
  <c r="HO783" i="94"/>
  <c r="HE783" i="94"/>
  <c r="GS783" i="94"/>
  <c r="GI783" i="94"/>
  <c r="FY783" i="94"/>
  <c r="FM783" i="94"/>
  <c r="FC783" i="94"/>
  <c r="ES783" i="94"/>
  <c r="DW783" i="94"/>
  <c r="DM783" i="94"/>
  <c r="DA783" i="94"/>
  <c r="CQ783" i="94"/>
  <c r="CG783" i="94"/>
  <c r="BU783" i="94"/>
  <c r="BK783" i="94"/>
  <c r="ML783" i="94"/>
  <c r="LZ783" i="94"/>
  <c r="LP783" i="94"/>
  <c r="LF783" i="94"/>
  <c r="IH783" i="94"/>
  <c r="HX783" i="94"/>
  <c r="HN783" i="94"/>
  <c r="HB783" i="94"/>
  <c r="GR783" i="94"/>
  <c r="GH783" i="94"/>
  <c r="FV783" i="94"/>
  <c r="FL783" i="94"/>
  <c r="FB783" i="94"/>
  <c r="EP783" i="94"/>
  <c r="DV783" i="94"/>
  <c r="DJ783" i="94"/>
  <c r="CZ783" i="94"/>
  <c r="CP783" i="94"/>
  <c r="CD783" i="94"/>
  <c r="BT783" i="94"/>
  <c r="MK783" i="94"/>
  <c r="LY783" i="94"/>
  <c r="LO783" i="94"/>
  <c r="JC783" i="94"/>
  <c r="HW783" i="94"/>
  <c r="HM783" i="94"/>
  <c r="HA783" i="94"/>
  <c r="GQ783" i="94"/>
  <c r="GG783" i="94"/>
  <c r="FU783" i="94"/>
  <c r="FK783" i="94"/>
  <c r="FA783" i="94"/>
  <c r="EO783" i="94"/>
  <c r="DU783" i="94"/>
  <c r="DI783" i="94"/>
  <c r="CY783" i="94"/>
  <c r="CO783" i="94"/>
  <c r="CC783" i="94"/>
  <c r="BS783" i="94"/>
  <c r="LV783" i="94"/>
  <c r="LJ783" i="94"/>
  <c r="KD783" i="94"/>
  <c r="HR783" i="94"/>
  <c r="HH783" i="94"/>
  <c r="GX783" i="94"/>
  <c r="GL783" i="94"/>
  <c r="GB783" i="94"/>
  <c r="FR783" i="94"/>
  <c r="FF783" i="94"/>
  <c r="EV783" i="94"/>
  <c r="EL783" i="94"/>
  <c r="DZ783" i="94"/>
  <c r="DP783" i="94"/>
  <c r="DF783" i="94"/>
  <c r="CT783" i="94"/>
  <c r="CJ783" i="94"/>
  <c r="BZ783" i="94"/>
  <c r="BN783" i="94"/>
  <c r="LU783" i="94"/>
  <c r="LI783" i="94"/>
  <c r="IM783" i="94"/>
  <c r="IC783" i="94"/>
  <c r="HQ783" i="94"/>
  <c r="HG783" i="94"/>
  <c r="GW783" i="94"/>
  <c r="GK783" i="94"/>
  <c r="GA783" i="94"/>
  <c r="FQ783" i="94"/>
  <c r="FE783" i="94"/>
  <c r="EU783" i="94"/>
  <c r="EK783" i="94"/>
  <c r="DY783" i="94"/>
  <c r="DO783" i="94"/>
  <c r="DE783" i="94"/>
  <c r="CS783" i="94"/>
  <c r="CI783" i="94"/>
  <c r="BY783" i="94"/>
  <c r="BM783" i="94"/>
  <c r="HI783" i="94"/>
  <c r="FS783" i="94"/>
  <c r="CK783" i="94"/>
  <c r="LX783" i="94"/>
  <c r="GZ783" i="94"/>
  <c r="FJ783" i="94"/>
  <c r="DR783" i="94"/>
  <c r="CB783" i="94"/>
  <c r="LW783" i="94"/>
  <c r="KG783" i="94"/>
  <c r="GY783" i="94"/>
  <c r="FI783" i="94"/>
  <c r="DQ783" i="94"/>
  <c r="CA783" i="94"/>
  <c r="LN783" i="94"/>
  <c r="IF783" i="94"/>
  <c r="GP783" i="94"/>
  <c r="EX783" i="94"/>
  <c r="DH783" i="94"/>
  <c r="BR783" i="94"/>
  <c r="HU783" i="94"/>
  <c r="GC783" i="94"/>
  <c r="EM783" i="94"/>
  <c r="CW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EY789" i="94"/>
  <c r="O873" i="94"/>
  <c r="A873" i="94" s="1"/>
  <c r="J945" i="94"/>
  <c r="J963" i="94"/>
  <c r="MM808" i="94"/>
  <c r="K945" i="94"/>
  <c r="K963" i="94"/>
  <c r="I968" i="94"/>
  <c r="H972" i="94"/>
  <c r="L954" i="94"/>
  <c r="M954" i="94"/>
  <c r="I959" i="94"/>
  <c r="K968" i="94"/>
  <c r="F981"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LE780" i="94"/>
  <c r="MG778" i="94"/>
  <c r="LD776" i="94"/>
  <c r="MF774" i="94"/>
  <c r="I972" i="94"/>
  <c r="K950" i="94"/>
  <c r="K959" i="94"/>
  <c r="G963" i="94"/>
  <c r="O963" i="94"/>
  <c r="E810"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LC782" i="94"/>
  <c r="KU782" i="94"/>
  <c r="KM782" i="94"/>
  <c r="KE782" i="94"/>
  <c r="JW782" i="94"/>
  <c r="JO782" i="94"/>
  <c r="JG782" i="94"/>
  <c r="IY782" i="94"/>
  <c r="IQ782" i="94"/>
  <c r="II782" i="94"/>
  <c r="MP782" i="94"/>
  <c r="LB782" i="94"/>
  <c r="KT782" i="94"/>
  <c r="KL782" i="94"/>
  <c r="KD782" i="94"/>
  <c r="JV782" i="94"/>
  <c r="JN782" i="94"/>
  <c r="JF782" i="94"/>
  <c r="IX782" i="94"/>
  <c r="IP782" i="94"/>
  <c r="IH782" i="94"/>
  <c r="MO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V528" i="94"/>
  <c r="V522" i="94"/>
  <c r="V478" i="94"/>
  <c r="V563" i="94"/>
  <c r="V571" i="94"/>
  <c r="V462" i="94"/>
  <c r="U574" i="94"/>
  <c r="G571" i="94"/>
  <c r="G550" i="94"/>
  <c r="F513" i="94"/>
  <c r="U521" i="94"/>
  <c r="S509" i="94"/>
  <c r="P509" i="94"/>
  <c r="M509" i="94"/>
  <c r="A507" i="94"/>
  <c r="U508" i="94"/>
  <c r="A574" i="94"/>
  <c r="A555" i="94"/>
  <c r="A549" i="94"/>
  <c r="A548" i="94"/>
  <c r="A521"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K895" i="94"/>
  <c r="F34" i="94"/>
  <c r="A24" i="94" s="1"/>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784" i="94"/>
  <c r="K784" i="94" s="1"/>
  <c r="L784" i="94" s="1"/>
  <c r="I783" i="94"/>
  <c r="K783" i="94" s="1"/>
  <c r="L783" i="94" s="1"/>
  <c r="I782" i="94"/>
  <c r="K782" i="94" s="1"/>
  <c r="L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Q336"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L1918" i="93" s="1"/>
  <c r="J1902" i="93"/>
  <c r="I1902" i="93"/>
  <c r="H1902" i="93"/>
  <c r="P1909" i="93"/>
  <c r="O1909" i="93"/>
  <c r="P1908" i="93"/>
  <c r="O1908" i="93"/>
  <c r="Q1908" i="93" s="1"/>
  <c r="P1901" i="93"/>
  <c r="O1901" i="93"/>
  <c r="N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P1864" i="93"/>
  <c r="O1864" i="93"/>
  <c r="Q1864" i="93" s="1"/>
  <c r="P1863" i="93"/>
  <c r="O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J1916" i="93"/>
  <c r="L1910" i="93"/>
  <c r="I1910" i="93"/>
  <c r="C1910" i="93"/>
  <c r="L1901" i="93"/>
  <c r="I1891" i="93"/>
  <c r="O1879" i="93"/>
  <c r="L1873" i="93"/>
  <c r="L1849" i="93"/>
  <c r="J1849" i="93"/>
  <c r="L1848" i="93"/>
  <c r="H1827" i="93"/>
  <c r="I1769" i="93"/>
  <c r="J1767" i="93"/>
  <c r="M1764" i="93"/>
  <c r="I1764" i="93"/>
  <c r="E1764" i="93"/>
  <c r="L1763" i="93"/>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c r="A1010" i="93"/>
  <c r="A1040" i="93"/>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K942" i="93" s="1"/>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O903" i="93" s="1"/>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G898" i="93" s="1"/>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K889" i="93" s="1"/>
  <c r="J888" i="93"/>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IK783" i="93" s="1"/>
  <c r="M782" i="93"/>
  <c r="M781" i="93"/>
  <c r="M780" i="93"/>
  <c r="M779" i="93"/>
  <c r="CZ779" i="93" s="1"/>
  <c r="M778" i="93"/>
  <c r="M777" i="93"/>
  <c r="M776" i="93"/>
  <c r="M775" i="93"/>
  <c r="ID775" i="93" s="1"/>
  <c r="M774" i="93"/>
  <c r="M773" i="93"/>
  <c r="M772" i="93"/>
  <c r="M771" i="93"/>
  <c r="BV771" i="93" s="1"/>
  <c r="M770" i="93"/>
  <c r="M769" i="93"/>
  <c r="M768" i="93"/>
  <c r="M767" i="93"/>
  <c r="J804" i="93"/>
  <c r="J803" i="93"/>
  <c r="J802" i="93"/>
  <c r="J801" i="93"/>
  <c r="J800" i="93"/>
  <c r="J799" i="93"/>
  <c r="J798" i="93"/>
  <c r="J797" i="93"/>
  <c r="J796" i="93"/>
  <c r="J795" i="93"/>
  <c r="AQ795" i="93" s="1"/>
  <c r="J794" i="93"/>
  <c r="J793" i="93"/>
  <c r="J792" i="93"/>
  <c r="J791" i="93"/>
  <c r="J790" i="93"/>
  <c r="J789" i="93"/>
  <c r="J788" i="93"/>
  <c r="J787" i="93"/>
  <c r="J786" i="93"/>
  <c r="J785" i="93"/>
  <c r="J784" i="93"/>
  <c r="J783" i="93"/>
  <c r="AW783" i="93" s="1"/>
  <c r="J782" i="93"/>
  <c r="J781" i="93"/>
  <c r="J780" i="93"/>
  <c r="J779" i="93"/>
  <c r="J778" i="93"/>
  <c r="J777" i="93"/>
  <c r="J776" i="93"/>
  <c r="J775" i="93"/>
  <c r="BS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JL795" i="93" s="1"/>
  <c r="E794" i="93"/>
  <c r="E793" i="93"/>
  <c r="E792" i="93"/>
  <c r="E791" i="93"/>
  <c r="E790" i="93"/>
  <c r="E789" i="93"/>
  <c r="E788" i="93"/>
  <c r="E787" i="93"/>
  <c r="E786" i="93"/>
  <c r="E785" i="93"/>
  <c r="E784" i="93"/>
  <c r="E783" i="93"/>
  <c r="E782" i="93"/>
  <c r="E781" i="93"/>
  <c r="E780" i="93"/>
  <c r="E779" i="93"/>
  <c r="E778" i="93"/>
  <c r="E777" i="93"/>
  <c r="E776" i="93"/>
  <c r="E775" i="93"/>
  <c r="JK775" i="93" s="1"/>
  <c r="E774" i="93"/>
  <c r="E773" i="93"/>
  <c r="E772" i="93"/>
  <c r="E771" i="93"/>
  <c r="JC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HQ800" i="93" s="1"/>
  <c r="C799" i="93"/>
  <c r="C798" i="93"/>
  <c r="C797" i="93"/>
  <c r="C796" i="93"/>
  <c r="C795" i="93"/>
  <c r="C794" i="93"/>
  <c r="C793" i="93"/>
  <c r="C792" i="93"/>
  <c r="C791" i="93"/>
  <c r="C790" i="93"/>
  <c r="C789" i="93"/>
  <c r="C788" i="93"/>
  <c r="C787" i="93"/>
  <c r="C786" i="93"/>
  <c r="C785" i="93"/>
  <c r="C784" i="93"/>
  <c r="C783" i="93"/>
  <c r="C782" i="93"/>
  <c r="C781" i="93"/>
  <c r="C780" i="93"/>
  <c r="C779" i="93"/>
  <c r="C778" i="93"/>
  <c r="GZ778" i="93" s="1"/>
  <c r="C777" i="93"/>
  <c r="C776" i="93"/>
  <c r="IA776" i="93" s="1"/>
  <c r="C775" i="93"/>
  <c r="C774" i="93"/>
  <c r="C773" i="93"/>
  <c r="C772" i="93"/>
  <c r="C771" i="93"/>
  <c r="C770" i="93"/>
  <c r="FZ770" i="93" s="1"/>
  <c r="C769" i="93"/>
  <c r="GJ769" i="93" s="1"/>
  <c r="C768" i="93"/>
  <c r="C767" i="93"/>
  <c r="B768" i="93"/>
  <c r="B769" i="93"/>
  <c r="B770" i="93"/>
  <c r="B771" i="93"/>
  <c r="B772" i="93"/>
  <c r="B773" i="93"/>
  <c r="B774" i="93"/>
  <c r="B775" i="93"/>
  <c r="B776" i="93"/>
  <c r="B777" i="93"/>
  <c r="B778" i="93"/>
  <c r="IH778" i="93" s="1"/>
  <c r="B779" i="93"/>
  <c r="B780" i="93"/>
  <c r="IN780" i="93" s="1"/>
  <c r="B781" i="93"/>
  <c r="B782" i="93"/>
  <c r="B783" i="93"/>
  <c r="B784" i="93"/>
  <c r="DM784" i="93" s="1"/>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K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N1477" i="93"/>
  <c r="CK787" i="93"/>
  <c r="EX781" i="93"/>
  <c r="DB771" i="93"/>
  <c r="CC795" i="93"/>
  <c r="BZ787" i="93"/>
  <c r="DA771" i="93"/>
  <c r="Z787" i="93"/>
  <c r="DC772" i="93"/>
  <c r="FA781" i="93"/>
  <c r="FS785" i="93"/>
  <c r="H916" i="93"/>
  <c r="DQ793" i="93"/>
  <c r="HA769" i="93"/>
  <c r="GV773" i="93"/>
  <c r="O894" i="93"/>
  <c r="EW769" i="93"/>
  <c r="HZ769" i="93"/>
  <c r="ID771" i="93"/>
  <c r="BX787" i="93"/>
  <c r="FA795" i="93"/>
  <c r="JG781" i="93"/>
  <c r="K898" i="93"/>
  <c r="K907" i="93"/>
  <c r="BY771" i="93"/>
  <c r="DU771" i="93"/>
  <c r="CB795" i="93"/>
  <c r="AL787" i="93"/>
  <c r="AK795" i="93"/>
  <c r="CS771" i="93"/>
  <c r="Z771" i="93"/>
  <c r="CD771" i="93"/>
  <c r="BU795" i="93"/>
  <c r="EW795" i="93"/>
  <c r="M898" i="93"/>
  <c r="CG771" i="93"/>
  <c r="CG787" i="93"/>
  <c r="CQ795" i="93"/>
  <c r="CN769" i="93"/>
  <c r="HH769" i="93"/>
  <c r="IT771" i="93"/>
  <c r="GL780" i="93"/>
  <c r="I912" i="93"/>
  <c r="CO775" i="93"/>
  <c r="FT777" i="93"/>
  <c r="FK767" i="93"/>
  <c r="CC769" i="93"/>
  <c r="EZ769" i="93"/>
  <c r="CV769" i="93"/>
  <c r="FB769" i="93"/>
  <c r="IH769" i="93"/>
  <c r="FY781" i="93"/>
  <c r="FG769" i="93"/>
  <c r="BP769" i="93"/>
  <c r="IC773" i="93"/>
  <c r="HL781" i="93"/>
  <c r="BR769" i="93"/>
  <c r="GX769" i="93"/>
  <c r="HS769" i="93"/>
  <c r="GZ769" i="93"/>
  <c r="JC781" i="93"/>
  <c r="FU771" i="93"/>
  <c r="IS775" i="93"/>
  <c r="HM767" i="93"/>
  <c r="JP767" i="93"/>
  <c r="JG783" i="93"/>
  <c r="HP783" i="93"/>
  <c r="HH783" i="93"/>
  <c r="FT783" i="93"/>
  <c r="HU783" i="93"/>
  <c r="GS783" i="93"/>
  <c r="FI783" i="93"/>
  <c r="DB783" i="93"/>
  <c r="CN783" i="93"/>
  <c r="HJ783" i="93"/>
  <c r="HA783" i="93"/>
  <c r="GQ783" i="93"/>
  <c r="DP783" i="93"/>
  <c r="DA783" i="93"/>
  <c r="BV783" i="93"/>
  <c r="HS783" i="93"/>
  <c r="GY783" i="93"/>
  <c r="FX783" i="93"/>
  <c r="EJ783" i="93"/>
  <c r="DN783" i="93"/>
  <c r="CH783" i="93"/>
  <c r="JA783" i="93"/>
  <c r="HQ783" i="93"/>
  <c r="GF783" i="93"/>
  <c r="FW783" i="93"/>
  <c r="EF783" i="93"/>
  <c r="DJ783" i="93"/>
  <c r="CG783" i="93"/>
  <c r="AH783" i="93"/>
  <c r="IW783" i="93"/>
  <c r="IB783" i="93"/>
  <c r="HO783" i="93"/>
  <c r="GN783" i="93"/>
  <c r="FM783" i="93"/>
  <c r="EW783" i="93"/>
  <c r="DI783" i="93"/>
  <c r="CC783" i="93"/>
  <c r="AG783" i="93"/>
  <c r="JH783" i="93"/>
  <c r="HN783" i="93"/>
  <c r="EV783" i="93"/>
  <c r="DC783" i="93"/>
  <c r="HM783" i="93"/>
  <c r="ET783" i="93"/>
  <c r="HL783" i="93"/>
  <c r="CS783" i="93"/>
  <c r="AX783" i="93"/>
  <c r="IP783" i="93"/>
  <c r="DZ783" i="93"/>
  <c r="AL783" i="93"/>
  <c r="FJ783" i="93"/>
  <c r="DY783" i="93"/>
  <c r="GV783" i="93"/>
  <c r="DU783" i="93"/>
  <c r="GU783" i="93"/>
  <c r="DD783" i="93"/>
  <c r="BY783" i="93"/>
  <c r="HY783" i="93"/>
  <c r="FC783" i="93"/>
  <c r="FB783" i="93"/>
  <c r="HX771" i="93"/>
  <c r="FL771" i="93"/>
  <c r="HW771" i="93"/>
  <c r="GA771" i="93"/>
  <c r="IC771" i="93"/>
  <c r="GG771" i="93"/>
  <c r="FQ771" i="93"/>
  <c r="GF771" i="93"/>
  <c r="HV771" i="93"/>
  <c r="GP771" i="93"/>
  <c r="HR771" i="93"/>
  <c r="GL771" i="93"/>
  <c r="GT795" i="93"/>
  <c r="GS795" i="93"/>
  <c r="HR795" i="93"/>
  <c r="FF795" i="93"/>
  <c r="HJ795" i="93"/>
  <c r="GD795" i="93"/>
  <c r="HI795" i="93"/>
  <c r="HG768" i="93"/>
  <c r="GY768" i="93"/>
  <c r="FC768" i="93"/>
  <c r="HE768" i="93"/>
  <c r="FQ768" i="93"/>
  <c r="HP768" i="93"/>
  <c r="JQ768" i="93"/>
  <c r="GS768" i="93"/>
  <c r="GH768" i="93"/>
  <c r="GF768" i="93"/>
  <c r="FV768" i="93"/>
  <c r="GE776" i="93"/>
  <c r="HL784" i="93"/>
  <c r="FX784" i="93"/>
  <c r="DA784" i="93"/>
  <c r="GM784" i="93"/>
  <c r="FG784" i="93"/>
  <c r="EY784" i="93"/>
  <c r="HY784" i="93"/>
  <c r="HE784" i="93"/>
  <c r="FC784" i="93"/>
  <c r="GR784" i="93"/>
  <c r="JP784" i="93"/>
  <c r="GQ784" i="93"/>
  <c r="HV784" i="93"/>
  <c r="GD784" i="93"/>
  <c r="FJ784" i="93"/>
  <c r="FS784" i="93"/>
  <c r="FR784" i="93"/>
  <c r="CV784" i="93"/>
  <c r="FF784" i="93"/>
  <c r="GC784" i="93"/>
  <c r="GB784" i="93"/>
  <c r="JJ792" i="93"/>
  <c r="HS792" i="93"/>
  <c r="CZ792" i="93"/>
  <c r="FI792" i="93"/>
  <c r="EZ792" i="93"/>
  <c r="HC792" i="93"/>
  <c r="GG800" i="93"/>
  <c r="JK772" i="93"/>
  <c r="HJ772" i="93"/>
  <c r="IB772" i="93"/>
  <c r="HA780" i="93"/>
  <c r="GK780" i="93"/>
  <c r="GR780" i="93"/>
  <c r="GJ780" i="93"/>
  <c r="HO780" i="93"/>
  <c r="GA780" i="93"/>
  <c r="HN780" i="93"/>
  <c r="GH780" i="93"/>
  <c r="HM780" i="93"/>
  <c r="GG780" i="93"/>
  <c r="FY780" i="93"/>
  <c r="HB780" i="93"/>
  <c r="FH780" i="93"/>
  <c r="FG780" i="93"/>
  <c r="GU780" i="93"/>
  <c r="GT780" i="93"/>
  <c r="IB780" i="93"/>
  <c r="FO780" i="93"/>
  <c r="HU788" i="93"/>
  <c r="GO788" i="93"/>
  <c r="FV788" i="93"/>
  <c r="GQ788" i="93"/>
  <c r="FN788" i="93"/>
  <c r="JL767" i="93"/>
  <c r="HZ767" i="93"/>
  <c r="HJ767" i="93"/>
  <c r="JM767" i="93"/>
  <c r="HU767" i="93"/>
  <c r="HK767" i="93"/>
  <c r="GL767" i="93"/>
  <c r="GD767" i="93"/>
  <c r="FN767" i="93"/>
  <c r="EX767" i="93"/>
  <c r="JK767" i="93"/>
  <c r="HT767" i="93"/>
  <c r="GS767" i="93"/>
  <c r="GC767" i="93"/>
  <c r="FU767" i="93"/>
  <c r="BY767" i="93"/>
  <c r="JI767" i="93"/>
  <c r="GZ767" i="93"/>
  <c r="FL767" i="93"/>
  <c r="GK767" i="93"/>
  <c r="FM767" i="93"/>
  <c r="GR767" i="93"/>
  <c r="FT767" i="93"/>
  <c r="HS767" i="93"/>
  <c r="DR791" i="93"/>
  <c r="DF791" i="93"/>
  <c r="FL791" i="93"/>
  <c r="IT791" i="93"/>
  <c r="JQ787" i="93"/>
  <c r="JE787" i="93"/>
  <c r="JP787" i="93"/>
  <c r="JL787" i="93"/>
  <c r="A787" i="93"/>
  <c r="JJ787" i="93"/>
  <c r="JH787" i="93"/>
  <c r="BW773" i="93"/>
  <c r="CY773" i="93"/>
  <c r="BY773" i="93"/>
  <c r="DA773" i="93"/>
  <c r="HU787" i="93"/>
  <c r="GO787" i="93"/>
  <c r="FI787" i="93"/>
  <c r="HR787" i="93"/>
  <c r="FV787" i="93"/>
  <c r="FF787" i="93"/>
  <c r="HQ787" i="93"/>
  <c r="FU787" i="93"/>
  <c r="FE787" i="93"/>
  <c r="GX787" i="93"/>
  <c r="FR787" i="93"/>
  <c r="HZ787" i="93"/>
  <c r="GT787" i="93"/>
  <c r="GS787" i="93"/>
  <c r="FM787" i="93"/>
  <c r="HF787" i="93"/>
  <c r="GP787" i="93"/>
  <c r="IC787" i="93"/>
  <c r="HV787" i="93"/>
  <c r="FZ787" i="93"/>
  <c r="HM787" i="93"/>
  <c r="HJ787" i="93"/>
  <c r="FA767" i="93"/>
  <c r="IX769" i="93"/>
  <c r="HZ771" i="93"/>
  <c r="JE767" i="93"/>
  <c r="FB771" i="93"/>
  <c r="BD803" i="93"/>
  <c r="DW789" i="93"/>
  <c r="IJ789" i="93"/>
  <c r="AK789" i="93"/>
  <c r="IX781" i="93"/>
  <c r="DP781" i="93"/>
  <c r="JB781" i="93"/>
  <c r="IQ781" i="93"/>
  <c r="DS781" i="93"/>
  <c r="CO781" i="93"/>
  <c r="CI781" i="93"/>
  <c r="AK781" i="93"/>
  <c r="CH781" i="93"/>
  <c r="EV781" i="93"/>
  <c r="CG781" i="93"/>
  <c r="EL781" i="93"/>
  <c r="CQ781" i="93"/>
  <c r="ED781" i="93"/>
  <c r="CP781" i="93"/>
  <c r="EA781" i="93"/>
  <c r="BW767" i="93"/>
  <c r="FC767" i="93"/>
  <c r="GP767" i="93"/>
  <c r="HD767" i="93"/>
  <c r="HQ767" i="93"/>
  <c r="FP768" i="93"/>
  <c r="GE768" i="93"/>
  <c r="DH769" i="93"/>
  <c r="A771" i="93"/>
  <c r="FE771" i="93"/>
  <c r="GE771" i="93"/>
  <c r="CR773" i="93"/>
  <c r="AO775" i="93"/>
  <c r="DK775" i="93"/>
  <c r="HC775" i="93"/>
  <c r="IH775" i="93"/>
  <c r="GM780" i="93"/>
  <c r="JI795" i="93"/>
  <c r="JO795" i="93"/>
  <c r="JJ795" i="93"/>
  <c r="AX771" i="93"/>
  <c r="CV771" i="93"/>
  <c r="BQ771" i="93"/>
  <c r="BF771" i="93"/>
  <c r="BS795" i="93"/>
  <c r="BM795" i="93"/>
  <c r="AY795" i="93"/>
  <c r="CW795" i="93"/>
  <c r="CY781" i="93"/>
  <c r="DC781" i="93"/>
  <c r="BY781" i="93"/>
  <c r="DB781" i="93"/>
  <c r="CY797" i="93"/>
  <c r="BW797" i="93"/>
  <c r="GK779" i="93"/>
  <c r="FC779" i="93"/>
  <c r="FR779" i="93"/>
  <c r="FG779" i="93"/>
  <c r="GT779" i="93"/>
  <c r="GI803" i="93"/>
  <c r="FC803" i="93"/>
  <c r="DS769" i="93"/>
  <c r="FB775" i="93"/>
  <c r="FW775" i="93"/>
  <c r="X783" i="93"/>
  <c r="DE767" i="93"/>
  <c r="GA767" i="93"/>
  <c r="GV768" i="93"/>
  <c r="HA771" i="93"/>
  <c r="CX775" i="93"/>
  <c r="BX767" i="93"/>
  <c r="FG767" i="93"/>
  <c r="GF767" i="93"/>
  <c r="GQ767" i="93"/>
  <c r="JG767" i="93"/>
  <c r="FR768" i="93"/>
  <c r="GZ768" i="93"/>
  <c r="EP769" i="93"/>
  <c r="FM771" i="93"/>
  <c r="GH771" i="93"/>
  <c r="AF773" i="93"/>
  <c r="CT773" i="93"/>
  <c r="DR775" i="93"/>
  <c r="GI775" i="93"/>
  <c r="II775" i="93"/>
  <c r="GN780" i="93"/>
  <c r="CZ767" i="93"/>
  <c r="GN767" i="93"/>
  <c r="HN767" i="93"/>
  <c r="DT773" i="93"/>
  <c r="BV767" i="93"/>
  <c r="HC767" i="93"/>
  <c r="BU783" i="93"/>
  <c r="GU767" i="93"/>
  <c r="HK771" i="93"/>
  <c r="CU773" i="93"/>
  <c r="DV775" i="93"/>
  <c r="FO775" i="93"/>
  <c r="HX783" i="93"/>
  <c r="IG783" i="93"/>
  <c r="IF783" i="93"/>
  <c r="IX775" i="93"/>
  <c r="IC775" i="93"/>
  <c r="HM775" i="93"/>
  <c r="GW775" i="93"/>
  <c r="GG775" i="93"/>
  <c r="FY775" i="93"/>
  <c r="FA775" i="93"/>
  <c r="EL775" i="93"/>
  <c r="DQ775" i="93"/>
  <c r="CI775" i="93"/>
  <c r="BU775" i="93"/>
  <c r="AI775" i="93"/>
  <c r="JH775" i="93"/>
  <c r="IT775" i="93"/>
  <c r="IB775" i="93"/>
  <c r="HL775" i="93"/>
  <c r="HD775" i="93"/>
  <c r="GF775" i="93"/>
  <c r="FX775" i="93"/>
  <c r="FP775" i="93"/>
  <c r="EH775" i="93"/>
  <c r="DM775" i="93"/>
  <c r="CH775" i="93"/>
  <c r="AH775" i="93"/>
  <c r="JF775" i="93"/>
  <c r="IO775" i="93"/>
  <c r="HJ775" i="93"/>
  <c r="HB775" i="93"/>
  <c r="GT775" i="93"/>
  <c r="FV775" i="93"/>
  <c r="FN775" i="93"/>
  <c r="EX775" i="93"/>
  <c r="EC775" i="93"/>
  <c r="DG775" i="93"/>
  <c r="CC775" i="93"/>
  <c r="BI775" i="93"/>
  <c r="AC775" i="93"/>
  <c r="JE775" i="93"/>
  <c r="IM775" i="93"/>
  <c r="HY775" i="93"/>
  <c r="HA775" i="93"/>
  <c r="GS775" i="93"/>
  <c r="GC775" i="93"/>
  <c r="FM775" i="93"/>
  <c r="EW775" i="93"/>
  <c r="EA775" i="93"/>
  <c r="DF775" i="93"/>
  <c r="BY775" i="93"/>
  <c r="AY775" i="93"/>
  <c r="Y775" i="93"/>
  <c r="HH775" i="93"/>
  <c r="GR775" i="93"/>
  <c r="FL775" i="93"/>
  <c r="ES775" i="93"/>
  <c r="DC775" i="93"/>
  <c r="W775" i="93"/>
  <c r="JC775" i="93"/>
  <c r="GQ775" i="93"/>
  <c r="GA775" i="93"/>
  <c r="FK775" i="93"/>
  <c r="DB775" i="93"/>
  <c r="BW775" i="93"/>
  <c r="IY775" i="93"/>
  <c r="HF775" i="93"/>
  <c r="FZ775" i="93"/>
  <c r="EM775" i="93"/>
  <c r="DA775" i="93"/>
  <c r="BV775" i="93"/>
  <c r="EZ779" i="93"/>
  <c r="JQ803" i="93"/>
  <c r="JP803" i="93"/>
  <c r="CT787" i="93"/>
  <c r="BB787" i="93"/>
  <c r="BF787" i="93"/>
  <c r="AU787" i="93"/>
  <c r="BW789" i="93"/>
  <c r="BV789" i="93"/>
  <c r="DB789" i="93"/>
  <c r="CZ789" i="93"/>
  <c r="CY789" i="93"/>
  <c r="BU767" i="93"/>
  <c r="GY767" i="93"/>
  <c r="JC767" i="93"/>
  <c r="EL769" i="93"/>
  <c r="FB767" i="93"/>
  <c r="GO767" i="93"/>
  <c r="HK768" i="93"/>
  <c r="GD771" i="93"/>
  <c r="IA771" i="93"/>
  <c r="FC775" i="93"/>
  <c r="GZ775" i="93"/>
  <c r="FH767" i="93"/>
  <c r="FS767" i="93"/>
  <c r="HW767" i="93"/>
  <c r="JH767" i="93"/>
  <c r="FE768" i="93"/>
  <c r="HA768" i="93"/>
  <c r="EQ769" i="93"/>
  <c r="IN769" i="93"/>
  <c r="CV767" i="93"/>
  <c r="FI767" i="93"/>
  <c r="FW767" i="93"/>
  <c r="HG767" i="93"/>
  <c r="HY767" i="93"/>
  <c r="FF768" i="93"/>
  <c r="HT768" i="93"/>
  <c r="DK769" i="93"/>
  <c r="ED769" i="93"/>
  <c r="FO771" i="93"/>
  <c r="GS771" i="93"/>
  <c r="GB772" i="93"/>
  <c r="DW775" i="93"/>
  <c r="FR775" i="93"/>
  <c r="GM775" i="93"/>
  <c r="FE784" i="93"/>
  <c r="HJ780" i="93"/>
  <c r="EY767" i="93"/>
  <c r="FX767" i="93"/>
  <c r="GW767" i="93"/>
  <c r="HL767" i="93"/>
  <c r="JO767" i="93"/>
  <c r="FG768" i="93"/>
  <c r="GN768" i="93"/>
  <c r="HV768" i="93"/>
  <c r="EF769" i="93"/>
  <c r="BA771" i="93"/>
  <c r="GT771" i="93"/>
  <c r="HQ771" i="93"/>
  <c r="BL773" i="93"/>
  <c r="CM775" i="93"/>
  <c r="EG775" i="93"/>
  <c r="FS775" i="93"/>
  <c r="HP775" i="93"/>
  <c r="JJ775" i="93"/>
  <c r="GL779" i="93"/>
  <c r="IS773" i="93"/>
  <c r="EJ773" i="93"/>
  <c r="DM773" i="93"/>
  <c r="IR773" i="93"/>
  <c r="EF773" i="93"/>
  <c r="CN773" i="93"/>
  <c r="IK773" i="93"/>
  <c r="EB773" i="93"/>
  <c r="DE773" i="93"/>
  <c r="IJ773" i="93"/>
  <c r="ES773" i="93"/>
  <c r="DX773" i="93"/>
  <c r="AB773" i="93"/>
  <c r="JE769" i="93"/>
  <c r="IM769" i="93"/>
  <c r="HW769" i="93"/>
  <c r="HG769" i="93"/>
  <c r="GY769" i="93"/>
  <c r="GQ769" i="93"/>
  <c r="GA769" i="93"/>
  <c r="FS769" i="93"/>
  <c r="FK769" i="93"/>
  <c r="EM769" i="93"/>
  <c r="EE769" i="93"/>
  <c r="DO769" i="93"/>
  <c r="CY769" i="93"/>
  <c r="CI769" i="93"/>
  <c r="CA769" i="93"/>
  <c r="BC769" i="93"/>
  <c r="AU769" i="93"/>
  <c r="AM769" i="93"/>
  <c r="JA769" i="93"/>
  <c r="IS769" i="93"/>
  <c r="IC769" i="93"/>
  <c r="HU769" i="93"/>
  <c r="HM769" i="93"/>
  <c r="GW769" i="93"/>
  <c r="GO769" i="93"/>
  <c r="GG769" i="93"/>
  <c r="FQ769" i="93"/>
  <c r="FI769" i="93"/>
  <c r="FA769" i="93"/>
  <c r="EC769" i="93"/>
  <c r="DU769" i="93"/>
  <c r="DE769" i="93"/>
  <c r="CO769" i="93"/>
  <c r="BY769" i="93"/>
  <c r="BQ769" i="93"/>
  <c r="AS769" i="93"/>
  <c r="AK769" i="93"/>
  <c r="AC769" i="93"/>
  <c r="IJ769" i="93"/>
  <c r="IB769" i="93"/>
  <c r="HL769" i="93"/>
  <c r="HD769" i="93"/>
  <c r="GV769" i="93"/>
  <c r="GF769" i="93"/>
  <c r="FX769" i="93"/>
  <c r="FP769" i="93"/>
  <c r="HY777" i="93"/>
  <c r="GC777" i="93"/>
  <c r="FM777" i="93"/>
  <c r="GG777" i="93"/>
  <c r="FQ777" i="93"/>
  <c r="IB777" i="93"/>
  <c r="HP777" i="93"/>
  <c r="GU777" i="93"/>
  <c r="HC777" i="93"/>
  <c r="GQ777" i="93"/>
  <c r="FV777" i="93"/>
  <c r="IG785" i="93"/>
  <c r="HY785" i="93"/>
  <c r="HQ785" i="93"/>
  <c r="IB785" i="93"/>
  <c r="HS785" i="93"/>
  <c r="HB785" i="93"/>
  <c r="GT785" i="93"/>
  <c r="GL785" i="93"/>
  <c r="FV785" i="93"/>
  <c r="FN785" i="93"/>
  <c r="FF785" i="93"/>
  <c r="EJ785" i="93"/>
  <c r="DT785" i="93"/>
  <c r="DD785" i="93"/>
  <c r="CF785" i="93"/>
  <c r="BX785" i="93"/>
  <c r="BH785" i="93"/>
  <c r="AR785" i="93"/>
  <c r="AB785" i="93"/>
  <c r="IW785" i="93"/>
  <c r="HR785" i="93"/>
  <c r="HI785" i="93"/>
  <c r="HA785" i="93"/>
  <c r="GK785" i="93"/>
  <c r="GC785" i="93"/>
  <c r="FU785" i="93"/>
  <c r="FE785" i="93"/>
  <c r="EW785" i="93"/>
  <c r="EG785" i="93"/>
  <c r="DC785" i="93"/>
  <c r="CU785" i="93"/>
  <c r="BW785" i="93"/>
  <c r="BO785" i="93"/>
  <c r="BG785" i="93"/>
  <c r="AI785" i="93"/>
  <c r="AA785" i="93"/>
  <c r="IF785" i="93"/>
  <c r="HU785" i="93"/>
  <c r="HH785" i="93"/>
  <c r="GN785" i="93"/>
  <c r="GB785" i="93"/>
  <c r="FR785" i="93"/>
  <c r="EV785" i="93"/>
  <c r="EB785" i="93"/>
  <c r="DH785" i="93"/>
  <c r="BZ785" i="93"/>
  <c r="BN785" i="93"/>
  <c r="AT785" i="93"/>
  <c r="X785" i="93"/>
  <c r="IE785" i="93"/>
  <c r="HT785" i="93"/>
  <c r="HG785" i="93"/>
  <c r="GM785" i="93"/>
  <c r="GA785" i="93"/>
  <c r="FQ785" i="93"/>
  <c r="DY785" i="93"/>
  <c r="DE785" i="93"/>
  <c r="CI785" i="93"/>
  <c r="BM785" i="93"/>
  <c r="AS785" i="93"/>
  <c r="AG785" i="93"/>
  <c r="ID785" i="93"/>
  <c r="HP785" i="93"/>
  <c r="HF785" i="93"/>
  <c r="GJ785" i="93"/>
  <c r="FZ785" i="93"/>
  <c r="FP785" i="93"/>
  <c r="ER785" i="93"/>
  <c r="DB785" i="93"/>
  <c r="CR785" i="93"/>
  <c r="CH785" i="93"/>
  <c r="BL785" i="93"/>
  <c r="BB785" i="93"/>
  <c r="AP785" i="93"/>
  <c r="IN785" i="93"/>
  <c r="IC785" i="93"/>
  <c r="HO785" i="93"/>
  <c r="HE785" i="93"/>
  <c r="GU785" i="93"/>
  <c r="GI785" i="93"/>
  <c r="FY785" i="93"/>
  <c r="FO785" i="93"/>
  <c r="FC785" i="93"/>
  <c r="EO785" i="93"/>
  <c r="DU785" i="93"/>
  <c r="CQ785" i="93"/>
  <c r="CG785" i="93"/>
  <c r="BU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71" i="93"/>
  <c r="ET771" i="93"/>
  <c r="ED771" i="93"/>
  <c r="DN771" i="93"/>
  <c r="IW771" i="93"/>
  <c r="ES771" i="93"/>
  <c r="EC771" i="93"/>
  <c r="DM771" i="93"/>
  <c r="IS771" i="93"/>
  <c r="EO771" i="93"/>
  <c r="DY771" i="93"/>
  <c r="DI771" i="93"/>
  <c r="IP771" i="93"/>
  <c r="EL771" i="93"/>
  <c r="DV771" i="93"/>
  <c r="DF771"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GB777" i="93"/>
  <c r="HS777" i="93"/>
  <c r="GB781" i="93"/>
  <c r="FT785" i="93"/>
  <c r="AG769" i="93"/>
  <c r="EI769" i="93"/>
  <c r="AR773" i="93"/>
  <c r="EN773" i="93"/>
  <c r="FE773" i="93"/>
  <c r="FU773" i="93"/>
  <c r="GK773" i="93"/>
  <c r="HA773" i="93"/>
  <c r="HQ773" i="93"/>
  <c r="IN773" i="93"/>
  <c r="GY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GZ777" i="93"/>
  <c r="HB781" i="93"/>
  <c r="JP785" i="93"/>
  <c r="HC789" i="93"/>
  <c r="JN792" i="93"/>
  <c r="HZ792" i="93"/>
  <c r="HR792" i="93"/>
  <c r="HJ792" i="93"/>
  <c r="HB792" i="93"/>
  <c r="GT792" i="93"/>
  <c r="GL792" i="93"/>
  <c r="GD792" i="93"/>
  <c r="FV792" i="93"/>
  <c r="FN792" i="93"/>
  <c r="FF792" i="93"/>
  <c r="EX792" i="93"/>
  <c r="BV792" i="93"/>
  <c r="JM792" i="93"/>
  <c r="HY792" i="93"/>
  <c r="HQ792" i="93"/>
  <c r="HI792" i="93"/>
  <c r="HA792" i="93"/>
  <c r="GS792" i="93"/>
  <c r="GK792" i="93"/>
  <c r="GC792" i="93"/>
  <c r="FU792" i="93"/>
  <c r="FM792" i="93"/>
  <c r="FE792" i="93"/>
  <c r="EW792" i="93"/>
  <c r="HX792" i="93"/>
  <c r="HP792" i="93"/>
  <c r="HH792" i="93"/>
  <c r="GZ792" i="93"/>
  <c r="GR792" i="93"/>
  <c r="GJ792" i="93"/>
  <c r="GB792" i="93"/>
  <c r="FT792" i="93"/>
  <c r="FL792" i="93"/>
  <c r="FD792" i="93"/>
  <c r="JC792" i="93"/>
  <c r="HW792" i="93"/>
  <c r="HO792" i="93"/>
  <c r="HG792" i="93"/>
  <c r="GY792" i="93"/>
  <c r="GQ792" i="93"/>
  <c r="GI792" i="93"/>
  <c r="GA792" i="93"/>
  <c r="FS792" i="93"/>
  <c r="FK792" i="93"/>
  <c r="FC792" i="93"/>
  <c r="JO800" i="93"/>
  <c r="HP800" i="93"/>
  <c r="HB800" i="93"/>
  <c r="GP800" i="93"/>
  <c r="GC800" i="93"/>
  <c r="FQ800" i="93"/>
  <c r="FD800" i="93"/>
  <c r="HZ800" i="93"/>
  <c r="HN800" i="93"/>
  <c r="HA800" i="93"/>
  <c r="GO800" i="93"/>
  <c r="GB800" i="93"/>
  <c r="FN800" i="93"/>
  <c r="FB800" i="93"/>
  <c r="JQ800" i="93"/>
  <c r="HY800" i="93"/>
  <c r="HM800" i="93"/>
  <c r="GZ800" i="93"/>
  <c r="GL800" i="93"/>
  <c r="FZ800" i="93"/>
  <c r="FM800" i="93"/>
  <c r="FA800" i="93"/>
  <c r="JN800" i="93"/>
  <c r="HX800" i="93"/>
  <c r="HJ800" i="93"/>
  <c r="GX800" i="93"/>
  <c r="GK800" i="93"/>
  <c r="FY800" i="93"/>
  <c r="FL800" i="93"/>
  <c r="EX800" i="93"/>
  <c r="JM800" i="93"/>
  <c r="HV800" i="93"/>
  <c r="HI800" i="93"/>
  <c r="GW800" i="93"/>
  <c r="GJ800" i="93"/>
  <c r="FV800" i="93"/>
  <c r="FJ800" i="93"/>
  <c r="EW800" i="93"/>
  <c r="BX800" i="93"/>
  <c r="JP788" i="93"/>
  <c r="JQ796" i="93"/>
  <c r="HX796" i="93"/>
  <c r="GY796" i="93"/>
  <c r="GC796" i="93"/>
  <c r="FJ796" i="93"/>
  <c r="HV796" i="93"/>
  <c r="GX796" i="93"/>
  <c r="GB796" i="93"/>
  <c r="FI796" i="93"/>
  <c r="HH796" i="93"/>
  <c r="GK796" i="93"/>
  <c r="FQ796" i="93"/>
  <c r="HR796" i="93"/>
  <c r="GT796" i="93"/>
  <c r="FZ796" i="93"/>
  <c r="FG796" i="93"/>
  <c r="HE796" i="93"/>
  <c r="GI796" i="93"/>
  <c r="FN796" i="93"/>
  <c r="HD804" i="93"/>
  <c r="FH804" i="93"/>
  <c r="GZ804" i="93"/>
  <c r="FD804" i="93"/>
  <c r="GO804" i="93"/>
  <c r="GN804" i="93"/>
  <c r="GJ804" i="93"/>
  <c r="HT804" i="93"/>
  <c r="FX804" i="93"/>
  <c r="FE800" i="93"/>
  <c r="GH800" i="93"/>
  <c r="HR800" i="93"/>
  <c r="EY792" i="93"/>
  <c r="FO792" i="93"/>
  <c r="GE792" i="93"/>
  <c r="GU792" i="93"/>
  <c r="HK792" i="93"/>
  <c r="IA792" i="93"/>
  <c r="JO792" i="93"/>
  <c r="FU796" i="93"/>
  <c r="IC796" i="93"/>
  <c r="FF800" i="93"/>
  <c r="GR800" i="93"/>
  <c r="HU800" i="93"/>
  <c r="FI800" i="93"/>
  <c r="GS800" i="93"/>
  <c r="FI804" i="93"/>
  <c r="JO788" i="93"/>
  <c r="FA792" i="93"/>
  <c r="FQ792" i="93"/>
  <c r="GG792" i="93"/>
  <c r="GW792" i="93"/>
  <c r="HM792" i="93"/>
  <c r="IC792" i="93"/>
  <c r="JQ792" i="93"/>
  <c r="GD796" i="93"/>
  <c r="JM796" i="93"/>
  <c r="FR800" i="93"/>
  <c r="GT800" i="93"/>
  <c r="FY804" i="93"/>
  <c r="CA792" i="93"/>
  <c r="FB792" i="93"/>
  <c r="FR792" i="93"/>
  <c r="GH792" i="93"/>
  <c r="GX792" i="93"/>
  <c r="HN792" i="93"/>
  <c r="GG796" i="93"/>
  <c r="JN796" i="93"/>
  <c r="FT800" i="93"/>
  <c r="HE800" i="93"/>
  <c r="HP804"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ID799" i="93"/>
  <c r="CL801" i="93"/>
  <c r="GU801" i="93"/>
  <c r="IZ771" i="93"/>
  <c r="JK803"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CP801" i="93"/>
  <c r="HE801"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CY801" i="93"/>
  <c r="HK801"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Z801" i="93"/>
  <c r="FD801" i="93"/>
  <c r="HF797" i="93"/>
  <c r="HP797" i="93"/>
  <c r="DA799" i="93"/>
  <c r="AU801" i="93"/>
  <c r="FK801" i="93"/>
  <c r="JJ771" i="93"/>
  <c r="JL801" i="93"/>
  <c r="L885" i="93"/>
  <c r="M903" i="93"/>
  <c r="I907" i="93"/>
  <c r="G916" i="93"/>
  <c r="FW776" i="93"/>
  <c r="GM776" i="93"/>
  <c r="GU776" i="93"/>
  <c r="HC776" i="93"/>
  <c r="EY776" i="93"/>
  <c r="HK776" i="93"/>
  <c r="FG776" i="93"/>
  <c r="HS776" i="93"/>
  <c r="EZ776" i="93"/>
  <c r="FH776" i="93"/>
  <c r="FP776" i="93"/>
  <c r="FX776" i="93"/>
  <c r="GF776" i="93"/>
  <c r="GN776" i="93"/>
  <c r="GV776" i="93"/>
  <c r="HD776" i="93"/>
  <c r="HL776" i="93"/>
  <c r="HT776" i="93"/>
  <c r="IB776" i="93"/>
  <c r="JP776" i="93"/>
  <c r="FA776" i="93"/>
  <c r="FI776" i="93"/>
  <c r="FQ776" i="93"/>
  <c r="FY776" i="93"/>
  <c r="GG776" i="93"/>
  <c r="GO776" i="93"/>
  <c r="GW776" i="93"/>
  <c r="HE776" i="93"/>
  <c r="HM776" i="93"/>
  <c r="HU776" i="93"/>
  <c r="IC776" i="93"/>
  <c r="JQ776" i="93"/>
  <c r="FB776" i="93"/>
  <c r="FJ776" i="93"/>
  <c r="FR776" i="93"/>
  <c r="FZ776" i="93"/>
  <c r="GH776" i="93"/>
  <c r="GP776" i="93"/>
  <c r="GX776" i="93"/>
  <c r="HF776" i="93"/>
  <c r="HN776" i="93"/>
  <c r="HV776" i="93"/>
  <c r="DK776" i="93"/>
  <c r="FC776" i="93"/>
  <c r="FK776" i="93"/>
  <c r="FS776" i="93"/>
  <c r="GA776" i="93"/>
  <c r="GI776" i="93"/>
  <c r="GQ776" i="93"/>
  <c r="GY776" i="93"/>
  <c r="HG776" i="93"/>
  <c r="HO776" i="93"/>
  <c r="HW776" i="93"/>
  <c r="CW776" i="93"/>
  <c r="FD776" i="93"/>
  <c r="FL776" i="93"/>
  <c r="FT776" i="93"/>
  <c r="GB776" i="93"/>
  <c r="GJ776" i="93"/>
  <c r="GR776" i="93"/>
  <c r="GZ776" i="93"/>
  <c r="HH776" i="93"/>
  <c r="HP776" i="93"/>
  <c r="HX776" i="93"/>
  <c r="BW776" i="93"/>
  <c r="EW776" i="93"/>
  <c r="FE776" i="93"/>
  <c r="FM776" i="93"/>
  <c r="FU776" i="93"/>
  <c r="GC776" i="93"/>
  <c r="GK776" i="93"/>
  <c r="GS776" i="93"/>
  <c r="HA776" i="93"/>
  <c r="HI776" i="93"/>
  <c r="HQ776" i="93"/>
  <c r="HY776" i="93"/>
  <c r="JM776" i="93"/>
  <c r="EX776" i="93"/>
  <c r="FF776" i="93"/>
  <c r="FN776" i="93"/>
  <c r="FV776" i="93"/>
  <c r="GD776" i="93"/>
  <c r="GL776" i="93"/>
  <c r="GT776" i="93"/>
  <c r="HB776" i="93"/>
  <c r="HJ776" i="93"/>
  <c r="HR776" i="93"/>
  <c r="HZ776" i="93"/>
  <c r="JL771" i="93"/>
  <c r="JE771" i="93"/>
  <c r="JM771" i="93"/>
  <c r="JN772" i="93"/>
  <c r="JM780" i="93"/>
  <c r="JN771" i="93"/>
  <c r="JG771" i="93"/>
  <c r="JO771" i="93"/>
  <c r="JC779" i="93"/>
  <c r="JO780" i="93"/>
  <c r="JD771" i="93"/>
  <c r="JF771" i="93"/>
  <c r="JH771" i="93"/>
  <c r="JP771" i="93"/>
  <c r="JL779" i="93"/>
  <c r="JP780" i="93"/>
  <c r="JI771" i="93"/>
  <c r="JQ771" i="93"/>
  <c r="JQ780" i="93"/>
  <c r="JF779" i="93"/>
  <c r="CI797" i="93"/>
  <c r="CH803" i="93"/>
  <c r="IH803" i="93"/>
  <c r="DP803" i="93"/>
  <c r="AS789" i="93"/>
  <c r="CO789" i="93"/>
  <c r="EM789" i="93"/>
  <c r="IK789" i="93"/>
  <c r="Y797" i="93"/>
  <c r="AT789" i="93"/>
  <c r="CP789" i="93"/>
  <c r="EP789" i="93"/>
  <c r="IX789" i="93"/>
  <c r="AB797" i="93"/>
  <c r="BB797" i="93"/>
  <c r="IY789" i="93"/>
  <c r="BB789"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DX801" i="93"/>
  <c r="CZ803" i="93"/>
  <c r="FT803" i="93"/>
  <c r="JD803" i="93"/>
  <c r="CE767" i="93"/>
  <c r="DV767" i="93"/>
  <c r="DA803" i="93"/>
  <c r="GB803" i="93"/>
  <c r="IM797" i="93"/>
  <c r="BM767" i="93"/>
  <c r="CO767" i="93"/>
  <c r="DP767" i="93"/>
  <c r="EN767" i="93"/>
  <c r="BP767" i="93"/>
  <c r="BZ767" i="93"/>
  <c r="CH767" i="93"/>
  <c r="CP767" i="93"/>
  <c r="DI767" i="93"/>
  <c r="DQ767" i="93"/>
  <c r="DY767" i="93"/>
  <c r="EG767" i="93"/>
  <c r="EO767" i="93"/>
  <c r="IG767" i="93"/>
  <c r="IO767" i="93"/>
  <c r="IW767" i="93"/>
  <c r="CX771" i="93"/>
  <c r="CV787" i="93"/>
  <c r="CX795" i="93"/>
  <c r="CU803" i="93"/>
  <c r="EI797" i="93"/>
  <c r="CX797" i="93"/>
  <c r="CB797" i="93"/>
  <c r="BG797" i="93"/>
  <c r="AN797" i="93"/>
  <c r="X797" i="93"/>
  <c r="DT797" i="93"/>
  <c r="CN797" i="93"/>
  <c r="BS797" i="93"/>
  <c r="AX797" i="93"/>
  <c r="AG797" i="93"/>
  <c r="DN797" i="93"/>
  <c r="CM797" i="93"/>
  <c r="BR797" i="93"/>
  <c r="AV797" i="93"/>
  <c r="AF797" i="93"/>
  <c r="GC799" i="93"/>
  <c r="EX799" i="93"/>
  <c r="EW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DF767" i="93"/>
  <c r="EL767" i="93"/>
  <c r="IL767" i="93"/>
  <c r="EF767" i="93"/>
  <c r="BT767" i="93"/>
  <c r="CJ767" i="93"/>
  <c r="CR767" i="93"/>
  <c r="DK767" i="93"/>
  <c r="BX803" i="93"/>
  <c r="EF803" i="93"/>
  <c r="HH803" i="93"/>
  <c r="JC796" i="93"/>
  <c r="HW796" i="93"/>
  <c r="HO796" i="93"/>
  <c r="HG796" i="93"/>
  <c r="JP796" i="93"/>
  <c r="IB796" i="93"/>
  <c r="HT796" i="93"/>
  <c r="HL796" i="93"/>
  <c r="HD796" i="93"/>
  <c r="GV796" i="93"/>
  <c r="GN796" i="93"/>
  <c r="GF796" i="93"/>
  <c r="FX796" i="93"/>
  <c r="FP796" i="93"/>
  <c r="JO796" i="93"/>
  <c r="JG796" i="93"/>
  <c r="IA796" i="93"/>
  <c r="HS796" i="93"/>
  <c r="HK796" i="93"/>
  <c r="HC796" i="93"/>
  <c r="GU796" i="93"/>
  <c r="GM796" i="93"/>
  <c r="GE796" i="93"/>
  <c r="FW796" i="93"/>
  <c r="HQ804" i="93"/>
  <c r="HA804" i="93"/>
  <c r="GK804" i="93"/>
  <c r="FU804" i="93"/>
  <c r="FE804" i="93"/>
  <c r="BX804" i="93"/>
  <c r="IC804" i="93"/>
  <c r="HM804" i="93"/>
  <c r="GW804" i="93"/>
  <c r="GG804" i="93"/>
  <c r="FQ804" i="93"/>
  <c r="FA804" i="93"/>
  <c r="BV804" i="93"/>
  <c r="JQ804" i="93"/>
  <c r="IB804" i="93"/>
  <c r="HL804" i="93"/>
  <c r="GV804" i="93"/>
  <c r="GF804" i="93"/>
  <c r="FP804" i="93"/>
  <c r="EZ804" i="93"/>
  <c r="CX804" i="93"/>
  <c r="JN804" i="93"/>
  <c r="HY804" i="93"/>
  <c r="HI804" i="93"/>
  <c r="GS804" i="93"/>
  <c r="GC804" i="93"/>
  <c r="FM804" i="93"/>
  <c r="EW804" i="93"/>
  <c r="JM804" i="93"/>
  <c r="HX804" i="93"/>
  <c r="HH804" i="93"/>
  <c r="GR804" i="93"/>
  <c r="GB804" i="93"/>
  <c r="FL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CD803" i="93"/>
  <c r="EY803" i="93"/>
  <c r="HO803" i="93"/>
  <c r="FT804" i="93"/>
  <c r="HE804" i="93"/>
  <c r="AD801" i="93"/>
  <c r="BS801" i="93"/>
  <c r="EC801" i="93"/>
  <c r="GE801" i="93"/>
  <c r="HP801" i="93"/>
  <c r="CU796" i="93"/>
  <c r="ER782" i="93"/>
  <c r="EH790" i="93"/>
  <c r="JP800" i="93"/>
  <c r="DQ770" i="93"/>
  <c r="C970" i="93"/>
  <c r="C971" i="93"/>
  <c r="IL797" i="93"/>
  <c r="EY800" i="93"/>
  <c r="FG800" i="93"/>
  <c r="FO800" i="93"/>
  <c r="FW800" i="93"/>
  <c r="GE800" i="93"/>
  <c r="GM800" i="93"/>
  <c r="GU800" i="93"/>
  <c r="HC800" i="93"/>
  <c r="HK800" i="93"/>
  <c r="HS800" i="93"/>
  <c r="IA800" i="93"/>
  <c r="AL801" i="93"/>
  <c r="CA801" i="93"/>
  <c r="EY801" i="93"/>
  <c r="GF801" i="93"/>
  <c r="HX801" i="93"/>
  <c r="EZ800" i="93"/>
  <c r="FH800" i="93"/>
  <c r="FP800" i="93"/>
  <c r="FX800" i="93"/>
  <c r="GF800" i="93"/>
  <c r="GN800" i="93"/>
  <c r="GV800" i="93"/>
  <c r="HD800" i="93"/>
  <c r="HL800" i="93"/>
  <c r="HT800" i="93"/>
  <c r="IC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BB768" i="93"/>
  <c r="AE768" i="93"/>
  <c r="AF768" i="93"/>
  <c r="AW768" i="93"/>
  <c r="AX768" i="93"/>
  <c r="BA768" i="93"/>
  <c r="AY768" i="93"/>
  <c r="AS768" i="93"/>
  <c r="FC800" i="93"/>
  <c r="FK800" i="93"/>
  <c r="FS800" i="93"/>
  <c r="GA800" i="93"/>
  <c r="GI800" i="93"/>
  <c r="GQ800" i="93"/>
  <c r="GY800" i="93"/>
  <c r="HG800" i="93"/>
  <c r="HO800" i="93"/>
  <c r="HW800" i="93"/>
  <c r="BF801" i="93"/>
  <c r="CX801" i="93"/>
  <c r="FO801" i="93"/>
  <c r="EF802" i="93"/>
  <c r="HL801" i="93"/>
  <c r="O838" i="93"/>
  <c r="K885" i="93"/>
  <c r="M894" i="93"/>
  <c r="I898" i="93"/>
  <c r="I916" i="93"/>
  <c r="GU782" i="93"/>
  <c r="L907" i="93"/>
  <c r="CU767" i="93"/>
  <c r="CU775" i="93"/>
  <c r="CW783" i="93"/>
  <c r="M907" i="93"/>
  <c r="K923" i="93"/>
  <c r="DB770" i="93"/>
  <c r="DR778" i="93"/>
  <c r="IM786" i="93"/>
  <c r="AB794" i="93"/>
  <c r="JP804" i="93"/>
  <c r="ES774" i="93"/>
  <c r="DL782" i="93"/>
  <c r="IP790" i="93"/>
  <c r="G889" i="93"/>
  <c r="O889" i="93"/>
  <c r="K903" i="93"/>
  <c r="HP778" i="93"/>
  <c r="L903" i="93"/>
  <c r="K916" i="93"/>
  <c r="O1583" i="93"/>
  <c r="P1567" i="93" s="1"/>
  <c r="F1569" i="93"/>
  <c r="P1564" i="93" s="1"/>
  <c r="O1569" i="93"/>
  <c r="P1566" i="93" s="1"/>
  <c r="J1569" i="93"/>
  <c r="P1565" i="93"/>
  <c r="D969" i="93"/>
  <c r="C975" i="93"/>
  <c r="C977" i="93"/>
  <c r="G912" i="93"/>
  <c r="HC786" i="93"/>
  <c r="HN786" i="93"/>
  <c r="GM790" i="93"/>
  <c r="GC794" i="93"/>
  <c r="GC798" i="93"/>
  <c r="FJ770" i="93"/>
  <c r="HA770" i="93"/>
  <c r="GF774" i="93"/>
  <c r="FD778" i="93"/>
  <c r="FD782"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D791" i="93"/>
  <c r="HV791" i="93"/>
  <c r="HN791" i="93"/>
  <c r="HF791" i="93"/>
  <c r="GX791" i="93"/>
  <c r="JM791" i="93"/>
  <c r="IA791" i="93"/>
  <c r="HS791" i="93"/>
  <c r="HK791" i="93"/>
  <c r="HC791" i="93"/>
  <c r="JC791" i="93"/>
  <c r="HU791" i="93"/>
  <c r="HE791" i="93"/>
  <c r="GT791" i="93"/>
  <c r="GL791" i="93"/>
  <c r="GD791" i="93"/>
  <c r="FV791" i="93"/>
  <c r="FN791" i="93"/>
  <c r="FF791" i="93"/>
  <c r="JO791" i="93"/>
  <c r="HX791" i="93"/>
  <c r="HH791" i="93"/>
  <c r="GU791" i="93"/>
  <c r="GM791" i="93"/>
  <c r="GE791" i="93"/>
  <c r="FW791" i="93"/>
  <c r="FO791" i="93"/>
  <c r="FG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F799" i="93"/>
  <c r="HW799" i="93"/>
  <c r="HO799" i="93"/>
  <c r="HG799" i="93"/>
  <c r="GY799" i="93"/>
  <c r="GQ799" i="93"/>
  <c r="GI799" i="93"/>
  <c r="GA799" i="93"/>
  <c r="FS799" i="93"/>
  <c r="FK799" i="93"/>
  <c r="FC799" i="93"/>
  <c r="JG799" i="93"/>
  <c r="IB799" i="93"/>
  <c r="HT799" i="93"/>
  <c r="HL799" i="93"/>
  <c r="HD799" i="93"/>
  <c r="GV799" i="93"/>
  <c r="GN799" i="93"/>
  <c r="GF799" i="93"/>
  <c r="FX799" i="93"/>
  <c r="FP799" i="93"/>
  <c r="FH799" i="93"/>
  <c r="JP799" i="93"/>
  <c r="HZ799" i="93"/>
  <c r="HJ799" i="93"/>
  <c r="GT799" i="93"/>
  <c r="GD799" i="93"/>
  <c r="FN799" i="93"/>
  <c r="JQ799" i="93"/>
  <c r="IC799" i="93"/>
  <c r="HM799" i="93"/>
  <c r="GW799" i="93"/>
  <c r="GG799" i="93"/>
  <c r="FQ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N790" i="93"/>
  <c r="JC794" i="93"/>
  <c r="DR798" i="93"/>
  <c r="EL778" i="93"/>
  <c r="JG782"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B774" i="93"/>
  <c r="AK778" i="93"/>
  <c r="CM778" i="93"/>
  <c r="CQ782" i="93"/>
  <c r="CP786" i="93"/>
  <c r="CR794" i="93"/>
  <c r="BO770" i="93"/>
  <c r="AT778" i="93"/>
  <c r="BC782" i="93"/>
  <c r="BI786"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Q782" i="93"/>
  <c r="AS783" i="93"/>
  <c r="BD783" i="93"/>
  <c r="BN783" i="93"/>
  <c r="CT783" i="93"/>
  <c r="CX783" i="93"/>
  <c r="BA787" i="93"/>
  <c r="BK787" i="93"/>
  <c r="CW787" i="93"/>
  <c r="AU791" i="93"/>
  <c r="BJ791" i="93"/>
  <c r="BD792" i="93"/>
  <c r="AW795" i="93"/>
  <c r="BL795" i="93"/>
  <c r="CU795" i="93"/>
  <c r="AT799" i="93"/>
  <c r="BL799" i="93"/>
  <c r="CU799" i="93"/>
  <c r="AT803" i="93"/>
  <c r="BT803" i="93"/>
  <c r="CV803" i="93"/>
  <c r="AT771" i="93"/>
  <c r="BB771" i="93"/>
  <c r="BJ771" i="93"/>
  <c r="BR771" i="93"/>
  <c r="CT771" i="93"/>
  <c r="AS775" i="93"/>
  <c r="BC775" i="93"/>
  <c r="BN775" i="93"/>
  <c r="AR783" i="93"/>
  <c r="BB783" i="93"/>
  <c r="BM783" i="93"/>
  <c r="AW787" i="93"/>
  <c r="BG787" i="93"/>
  <c r="BR787" i="93"/>
  <c r="BR791" i="93"/>
  <c r="CT791" i="93"/>
  <c r="AR795" i="93"/>
  <c r="BG795" i="93"/>
  <c r="BT795" i="93"/>
  <c r="CT795" i="93"/>
  <c r="AQ799" i="93"/>
  <c r="CT799" i="93"/>
  <c r="AR803" i="93"/>
  <c r="BP803" i="93"/>
  <c r="A773" i="93"/>
  <c r="A781" i="93"/>
  <c r="A793" i="93"/>
  <c r="JG773" i="93"/>
  <c r="JK773" i="93"/>
  <c r="JO773" i="93"/>
  <c r="JH781" i="93"/>
  <c r="JQ785" i="93"/>
  <c r="JQ789" i="93"/>
  <c r="JD797" i="93"/>
  <c r="JO797" i="93"/>
  <c r="JD773" i="93"/>
  <c r="JP773"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I777" i="93"/>
  <c r="JM777" i="93"/>
  <c r="JF781" i="93"/>
  <c r="JJ781" i="93"/>
  <c r="A785" i="93"/>
  <c r="JC785" i="93"/>
  <c r="JG785" i="93"/>
  <c r="JK785" i="93"/>
  <c r="JC789" i="93"/>
  <c r="JG789" i="93"/>
  <c r="JK789" i="93"/>
  <c r="JF793" i="93"/>
  <c r="JJ793" i="93"/>
  <c r="JG797" i="93"/>
  <c r="JN770" i="93"/>
  <c r="JF770" i="93"/>
  <c r="JB770" i="93"/>
  <c r="IW770" i="93"/>
  <c r="IQ770" i="93"/>
  <c r="IL770" i="93"/>
  <c r="IG770" i="93"/>
  <c r="IB770" i="93"/>
  <c r="HT770" i="93"/>
  <c r="HP770" i="93"/>
  <c r="HL770" i="93"/>
  <c r="HD770" i="93"/>
  <c r="GZ770" i="93"/>
  <c r="GV770" i="93"/>
  <c r="GN770" i="93"/>
  <c r="GJ770" i="93"/>
  <c r="GF770" i="93"/>
  <c r="FX770" i="93"/>
  <c r="FT770" i="93"/>
  <c r="FP770" i="93"/>
  <c r="FH770" i="93"/>
  <c r="FD770" i="93"/>
  <c r="EZ770" i="93"/>
  <c r="EU770" i="93"/>
  <c r="EP770" i="93"/>
  <c r="EK770" i="93"/>
  <c r="EE770" i="93"/>
  <c r="DZ770" i="93"/>
  <c r="DU770" i="93"/>
  <c r="DO770" i="93"/>
  <c r="DJ770" i="93"/>
  <c r="DE770" i="93"/>
  <c r="CZ770" i="93"/>
  <c r="CV770" i="93"/>
  <c r="CQ770" i="93"/>
  <c r="CL770" i="93"/>
  <c r="CG770" i="93"/>
  <c r="CA770" i="93"/>
  <c r="BW770" i="93"/>
  <c r="BM770" i="93"/>
  <c r="BG770" i="93"/>
  <c r="BB770" i="93"/>
  <c r="AQ770" i="93"/>
  <c r="AL770" i="93"/>
  <c r="AG770" i="93"/>
  <c r="AA770" i="93"/>
  <c r="JP774" i="93"/>
  <c r="JL774" i="93"/>
  <c r="JH774" i="93"/>
  <c r="IX774" i="93"/>
  <c r="IP774" i="93"/>
  <c r="II774" i="93"/>
  <c r="HY774" i="93"/>
  <c r="HU774" i="93"/>
  <c r="HQ774" i="93"/>
  <c r="HI774" i="93"/>
  <c r="HE774" i="93"/>
  <c r="HA774" i="93"/>
  <c r="GS774" i="93"/>
  <c r="GO774" i="93"/>
  <c r="GK774" i="93"/>
  <c r="GC774" i="93"/>
  <c r="FY774" i="93"/>
  <c r="FU774" i="93"/>
  <c r="FM774" i="93"/>
  <c r="FI774" i="93"/>
  <c r="FE774" i="93"/>
  <c r="EW774" i="93"/>
  <c r="EO774" i="93"/>
  <c r="EH774" i="93"/>
  <c r="EA774" i="93"/>
  <c r="DU774" i="93"/>
  <c r="DP774" i="93"/>
  <c r="DK774" i="93"/>
  <c r="DE774" i="93"/>
  <c r="DA774" i="93"/>
  <c r="CW774" i="93"/>
  <c r="CS774" i="93"/>
  <c r="CN774" i="93"/>
  <c r="CI774" i="93"/>
  <c r="CC774" i="93"/>
  <c r="BX774" i="93"/>
  <c r="BO774" i="93"/>
  <c r="BI774" i="93"/>
  <c r="BD774" i="93"/>
  <c r="AS774" i="93"/>
  <c r="AN774" i="93"/>
  <c r="AI774" i="93"/>
  <c r="AC774" i="93"/>
  <c r="X774" i="93"/>
  <c r="IX778" i="93"/>
  <c r="HU778" i="93"/>
  <c r="GO778" i="93"/>
  <c r="FU778" i="93"/>
  <c r="FE778" i="93"/>
  <c r="IY778" i="93"/>
  <c r="IS778" i="93"/>
  <c r="IK778" i="93"/>
  <c r="ID778" i="93"/>
  <c r="HV778" i="93"/>
  <c r="HR778" i="93"/>
  <c r="HN778" i="93"/>
  <c r="HF778" i="93"/>
  <c r="HB778" i="93"/>
  <c r="GX778" i="93"/>
  <c r="GP778" i="93"/>
  <c r="GL778" i="93"/>
  <c r="GH778" i="93"/>
  <c r="FZ778" i="93"/>
  <c r="FV778" i="93"/>
  <c r="FR778" i="93"/>
  <c r="FJ778" i="93"/>
  <c r="FF778" i="93"/>
  <c r="FB778" i="93"/>
  <c r="EQ778" i="93"/>
  <c r="EI778" i="93"/>
  <c r="EC778" i="93"/>
  <c r="DV778" i="93"/>
  <c r="DN778" i="93"/>
  <c r="DG778" i="93"/>
  <c r="DA778" i="93"/>
  <c r="CS778" i="93"/>
  <c r="CK778" i="93"/>
  <c r="CD778" i="93"/>
  <c r="BX778" i="93"/>
  <c r="BS778" i="93"/>
  <c r="BK778" i="93"/>
  <c r="BE778" i="93"/>
  <c r="AP778" i="93"/>
  <c r="AI778" i="93"/>
  <c r="AC778" i="93"/>
  <c r="IP778" i="93"/>
  <c r="II778" i="93"/>
  <c r="IC778" i="93"/>
  <c r="HY778" i="93"/>
  <c r="HM778" i="93"/>
  <c r="HI778" i="93"/>
  <c r="HA778" i="93"/>
  <c r="GS778" i="93"/>
  <c r="GK778" i="93"/>
  <c r="GG778" i="93"/>
  <c r="FY778" i="93"/>
  <c r="FQ778" i="93"/>
  <c r="FM778" i="93"/>
  <c r="FA778" i="93"/>
  <c r="EW778" i="93"/>
  <c r="JP782" i="93"/>
  <c r="JH782" i="93"/>
  <c r="JD782" i="93"/>
  <c r="IY782" i="93"/>
  <c r="IQ782" i="93"/>
  <c r="IJ782" i="93"/>
  <c r="IC782" i="93"/>
  <c r="HY782" i="93"/>
  <c r="HQ782" i="93"/>
  <c r="HM782" i="93"/>
  <c r="HI782" i="93"/>
  <c r="HA782" i="93"/>
  <c r="GW782" i="93"/>
  <c r="GS782" i="93"/>
  <c r="GK782" i="93"/>
  <c r="GG782" i="93"/>
  <c r="GC782" i="93"/>
  <c r="FU782" i="93"/>
  <c r="FQ782" i="93"/>
  <c r="FM782" i="93"/>
  <c r="FE782" i="93"/>
  <c r="FA782" i="93"/>
  <c r="EW782" i="93"/>
  <c r="EO782" i="93"/>
  <c r="EI782" i="93"/>
  <c r="JJ782" i="93"/>
  <c r="HX782" i="93"/>
  <c r="GX782" i="93"/>
  <c r="GB782" i="93"/>
  <c r="FG782" i="93"/>
  <c r="EC782" i="93"/>
  <c r="DB782" i="93"/>
  <c r="BY782" i="93"/>
  <c r="AR782" i="93"/>
  <c r="JK782" i="93"/>
  <c r="JF782" i="93"/>
  <c r="IZ782" i="93"/>
  <c r="IO782" i="93"/>
  <c r="IF782" i="93"/>
  <c r="HZ782" i="93"/>
  <c r="HT782" i="93"/>
  <c r="HJ782" i="93"/>
  <c r="HD782" i="93"/>
  <c r="GY782" i="93"/>
  <c r="GN782" i="93"/>
  <c r="GI782" i="93"/>
  <c r="GD782" i="93"/>
  <c r="FS782" i="93"/>
  <c r="FN782" i="93"/>
  <c r="FH782" i="93"/>
  <c r="FC782" i="93"/>
  <c r="EX782" i="93"/>
  <c r="EN782" i="93"/>
  <c r="EE782" i="93"/>
  <c r="DX782" i="93"/>
  <c r="DQ782" i="93"/>
  <c r="DI782" i="93"/>
  <c r="DC782" i="93"/>
  <c r="CY782" i="93"/>
  <c r="CU782" i="93"/>
  <c r="CO782" i="93"/>
  <c r="CG782" i="93"/>
  <c r="CA782" i="93"/>
  <c r="BV782" i="93"/>
  <c r="BP782" i="93"/>
  <c r="BH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GE778" i="93"/>
  <c r="HC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R780" i="93"/>
  <c r="EF780" i="93"/>
  <c r="CR780" i="93"/>
  <c r="BH780" i="93"/>
  <c r="AB780" i="93"/>
  <c r="EP780" i="93"/>
  <c r="CQ780" i="93"/>
  <c r="AW780" i="93"/>
  <c r="IP780" i="93"/>
  <c r="DS780" i="93"/>
  <c r="BK780" i="93"/>
  <c r="IY780" i="93"/>
  <c r="EC780" i="93"/>
  <c r="BO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CH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DF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CR779" i="93"/>
  <c r="AB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BR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S554" i="93" s="1"/>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A499" i="93" s="1"/>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M469" i="93" s="1"/>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M474" i="93"/>
  <c r="E977" i="93"/>
  <c r="E975" i="93"/>
  <c r="E971" i="93"/>
  <c r="E970" i="93"/>
  <c r="F969" i="93"/>
  <c r="F975" i="93" s="1"/>
  <c r="A53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G977" i="93" s="1"/>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F472" i="93"/>
  <c r="H969" i="93"/>
  <c r="H971" i="93" s="1"/>
  <c r="A206" i="85"/>
  <c r="A11" i="83"/>
  <c r="I9" i="92"/>
  <c r="G11" i="91"/>
  <c r="F197" i="90"/>
  <c r="D101" i="90"/>
  <c r="E163" i="90"/>
  <c r="C16" i="90"/>
  <c r="A206" i="90"/>
  <c r="A200" i="90"/>
  <c r="C5" i="90"/>
  <c r="C8" i="84"/>
  <c r="E8" i="84"/>
  <c r="H2" i="91" s="1"/>
  <c r="E9" i="89"/>
  <c r="H7" i="92" s="1"/>
  <c r="E50" i="89"/>
  <c r="G49" i="89"/>
  <c r="E49" i="89"/>
  <c r="F30" i="89"/>
  <c r="D62" i="90" s="1"/>
  <c r="E24" i="89"/>
  <c r="E23" i="89"/>
  <c r="E21" i="89"/>
  <c r="E17" i="89"/>
  <c r="C31" i="90" s="1"/>
  <c r="E16" i="89"/>
  <c r="C30" i="90" s="1"/>
  <c r="F48" i="92" s="1"/>
  <c r="E13" i="89"/>
  <c r="E11" i="89"/>
  <c r="C25" i="90"/>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170" i="90"/>
  <c r="C28" i="90"/>
  <c r="G5" i="92" s="1"/>
  <c r="E28" i="89"/>
  <c r="O6" i="86"/>
  <c r="O12" i="86" s="1"/>
  <c r="P1840" i="93"/>
  <c r="O1840" i="93"/>
  <c r="C30" i="84"/>
  <c r="C32" i="84"/>
  <c r="B32" i="84"/>
  <c r="C31" i="84"/>
  <c r="B31" i="84"/>
  <c r="C25" i="84"/>
  <c r="F15" i="85" s="1"/>
  <c r="B25" i="84"/>
  <c r="M11" i="84"/>
  <c r="G130" i="90" s="1"/>
  <c r="E16" i="84"/>
  <c r="F19" i="85" s="1"/>
  <c r="C16" i="84"/>
  <c r="C14" i="84"/>
  <c r="F17" i="85" s="1"/>
  <c r="E11" i="84"/>
  <c r="E57" i="90"/>
  <c r="C11" i="84"/>
  <c r="C57" i="90" s="1"/>
  <c r="H12" i="84"/>
  <c r="C12" i="84"/>
  <c r="K11" i="84"/>
  <c r="D130" i="90" s="1"/>
  <c r="H11" i="84"/>
  <c r="C130" i="90" s="1"/>
  <c r="K10" i="84"/>
  <c r="C146" i="90" s="1"/>
  <c r="H10" i="84"/>
  <c r="C144" i="90"/>
  <c r="C10" i="84"/>
  <c r="C55" i="90" s="1"/>
  <c r="H9" i="84"/>
  <c r="E65" i="89" s="1"/>
  <c r="D14" i="84"/>
  <c r="G6" i="74"/>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G351" i="72"/>
  <c r="G1884" i="93"/>
  <c r="O343" i="72"/>
  <c r="K321" i="72"/>
  <c r="E1589" i="93"/>
  <c r="E1592" i="93"/>
  <c r="O1900" i="93"/>
  <c r="O1761" i="93"/>
  <c r="J180" i="72"/>
  <c r="P171" i="72" s="1"/>
  <c r="J1734" i="93"/>
  <c r="J181" i="72"/>
  <c r="J1735" i="93"/>
  <c r="I1735" i="93"/>
  <c r="I1734" i="93"/>
  <c r="P1761" i="93"/>
  <c r="E1587" i="93"/>
  <c r="P1648" i="93"/>
  <c r="E1585" i="93"/>
  <c r="O1648" i="93"/>
  <c r="P61" i="72"/>
  <c r="P1611" i="93" s="1"/>
  <c r="E11" i="72"/>
  <c r="E1584" i="93"/>
  <c r="O1611" i="93"/>
  <c r="M286" i="72"/>
  <c r="M1833" i="93" s="1"/>
  <c r="L286" i="72"/>
  <c r="L1833" i="93" s="1"/>
  <c r="B96" i="78"/>
  <c r="F384" i="73"/>
  <c r="F1472" i="93" s="1"/>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1" i="93"/>
  <c r="K801" i="93" s="1"/>
  <c r="L801" i="93" s="1"/>
  <c r="I800" i="93"/>
  <c r="K800" i="93" s="1"/>
  <c r="L800" i="93" s="1"/>
  <c r="I797" i="93"/>
  <c r="K797" i="93" s="1"/>
  <c r="L797" i="93" s="1"/>
  <c r="I795" i="93"/>
  <c r="K795" i="93" s="1"/>
  <c r="L795" i="93" s="1"/>
  <c r="I793" i="93"/>
  <c r="K793" i="93" s="1"/>
  <c r="L793" i="93" s="1"/>
  <c r="I791" i="93"/>
  <c r="K791" i="93" s="1"/>
  <c r="L791" i="93" s="1"/>
  <c r="I789" i="93"/>
  <c r="K789" i="93" s="1"/>
  <c r="L789" i="93" s="1"/>
  <c r="I788" i="93"/>
  <c r="K788" i="93" s="1"/>
  <c r="L788" i="93" s="1"/>
  <c r="I785" i="93"/>
  <c r="K785" i="93" s="1"/>
  <c r="L785" i="93" s="1"/>
  <c r="I773" i="93"/>
  <c r="K773" i="93" s="1"/>
  <c r="L773" i="93" s="1"/>
  <c r="K232" i="72"/>
  <c r="K1784" i="93" s="1"/>
  <c r="O1665" i="93"/>
  <c r="L232" i="72"/>
  <c r="L1784" i="93"/>
  <c r="P1665" i="93"/>
  <c r="H90" i="66"/>
  <c r="H88" i="66"/>
  <c r="H87" i="66"/>
  <c r="N88" i="66" s="1"/>
  <c r="K47" i="75"/>
  <c r="L47" i="75" s="1"/>
  <c r="K44" i="75"/>
  <c r="L44" i="75" s="1"/>
  <c r="K43" i="75"/>
  <c r="L43" i="75" s="1"/>
  <c r="K40" i="75"/>
  <c r="L40" i="75" s="1"/>
  <c r="K36" i="75"/>
  <c r="L36" i="75" s="1"/>
  <c r="K32" i="75"/>
  <c r="L32" i="75" s="1"/>
  <c r="K31" i="75"/>
  <c r="L31" i="75" s="1"/>
  <c r="K28" i="75"/>
  <c r="L28"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43" i="75"/>
  <c r="R805" i="94" s="1"/>
  <c r="R42" i="75"/>
  <c r="R804" i="94" s="1"/>
  <c r="R41" i="75"/>
  <c r="R803" i="94" s="1"/>
  <c r="R40" i="75"/>
  <c r="R802" i="94" s="1"/>
  <c r="R39" i="75"/>
  <c r="R801" i="94" s="1"/>
  <c r="R38" i="75"/>
  <c r="R800" i="94" s="1"/>
  <c r="R37" i="75"/>
  <c r="R799" i="94" s="1"/>
  <c r="R36" i="75"/>
  <c r="R798" i="94" s="1"/>
  <c r="R35" i="75"/>
  <c r="R797" i="94" s="1"/>
  <c r="R34" i="75"/>
  <c r="R33" i="75"/>
  <c r="R795" i="94" s="1"/>
  <c r="R32" i="75"/>
  <c r="R31" i="75"/>
  <c r="R793" i="94" s="1"/>
  <c r="R30" i="75"/>
  <c r="R29" i="75"/>
  <c r="R791" i="94" s="1"/>
  <c r="R28" i="75"/>
  <c r="R790" i="94" s="1"/>
  <c r="R27" i="75"/>
  <c r="R789" i="94" s="1"/>
  <c r="R26" i="75"/>
  <c r="R788" i="94" s="1"/>
  <c r="R25" i="75"/>
  <c r="R787" i="94" s="1"/>
  <c r="R24" i="75"/>
  <c r="R786" i="94" s="1"/>
  <c r="R23" i="75"/>
  <c r="R785" i="94" s="1"/>
  <c r="R18" i="75"/>
  <c r="R780" i="94" s="1"/>
  <c r="R17" i="75"/>
  <c r="R779" i="94" s="1"/>
  <c r="R16" i="75"/>
  <c r="R778" i="94" s="1"/>
  <c r="R15" i="75"/>
  <c r="R777" i="94" s="1"/>
  <c r="R14" i="75"/>
  <c r="R776" i="94" s="1"/>
  <c r="R11" i="75"/>
  <c r="R773" i="94" s="1"/>
  <c r="N309" i="73"/>
  <c r="N307" i="73"/>
  <c r="M307" i="7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s="1"/>
  <c r="H178" i="72"/>
  <c r="K178" i="72"/>
  <c r="M168" i="72"/>
  <c r="T168" i="72" s="1"/>
  <c r="M167" i="72"/>
  <c r="T167" i="72" s="1"/>
  <c r="M166" i="72"/>
  <c r="T166" i="72" s="1"/>
  <c r="R420" i="72"/>
  <c r="P420" i="72"/>
  <c r="P1968" i="93" s="1"/>
  <c r="E20" i="72"/>
  <c r="P1951" i="93"/>
  <c r="S386" i="72"/>
  <c r="P1900" i="93"/>
  <c r="U300" i="72"/>
  <c r="U299" i="72"/>
  <c r="L222" i="72"/>
  <c r="L1776" i="93" s="1"/>
  <c r="P1834" i="93"/>
  <c r="O1834" i="93"/>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c r="A60" i="74"/>
  <c r="A92" i="74" s="1"/>
  <c r="A122" i="74" s="1"/>
  <c r="A59" i="74"/>
  <c r="A91" i="74" s="1"/>
  <c r="A121" i="74" s="1"/>
  <c r="A58" i="74"/>
  <c r="A90" i="74"/>
  <c r="A120" i="74" s="1"/>
  <c r="A57" i="74"/>
  <c r="A89" i="74" s="1"/>
  <c r="A119" i="74" s="1"/>
  <c r="N11" i="74"/>
  <c r="N3" i="74"/>
  <c r="F239" i="75"/>
  <c r="C59" i="84" s="1"/>
  <c r="K236" i="75"/>
  <c r="C60" i="84" s="1"/>
  <c r="F228" i="75"/>
  <c r="K226" i="75"/>
  <c r="F219" i="75"/>
  <c r="P218" i="75"/>
  <c r="C61" i="84" s="1"/>
  <c r="K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A10" i="75"/>
  <c r="M39" i="76"/>
  <c r="L39" i="76"/>
  <c r="K39" i="76"/>
  <c r="J39" i="76"/>
  <c r="I39" i="76"/>
  <c r="M22" i="76"/>
  <c r="L22" i="76"/>
  <c r="K22" i="76"/>
  <c r="J22" i="76"/>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V132" i="78" s="1"/>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R10" i="75"/>
  <c r="R772" i="94" s="1"/>
  <c r="N66" i="93"/>
  <c r="N77" i="94"/>
  <c r="P316" i="72"/>
  <c r="O1861" i="93"/>
  <c r="O1857" i="93"/>
  <c r="I781" i="93"/>
  <c r="K781" i="93" s="1"/>
  <c r="L781" i="93" s="1"/>
  <c r="R771" i="93"/>
  <c r="R795" i="93"/>
  <c r="R803" i="93"/>
  <c r="R772" i="93"/>
  <c r="R796" i="93"/>
  <c r="R804" i="93"/>
  <c r="R773" i="93"/>
  <c r="R781" i="93"/>
  <c r="R797" i="93"/>
  <c r="R782" i="93"/>
  <c r="R775" i="93"/>
  <c r="R783" i="93"/>
  <c r="R799" i="93"/>
  <c r="R784" i="93"/>
  <c r="R785" i="93"/>
  <c r="R793" i="93"/>
  <c r="D122" i="74"/>
  <c r="D1070" i="93" s="1"/>
  <c r="N403" i="93"/>
  <c r="R13" i="75"/>
  <c r="R775" i="94" s="1"/>
  <c r="Q770" i="93"/>
  <c r="E61" i="84"/>
  <c r="G61" i="84"/>
  <c r="I61" i="84"/>
  <c r="G55" i="84"/>
  <c r="E55" i="84"/>
  <c r="I55" i="84"/>
  <c r="K55" i="84"/>
  <c r="B53" i="82"/>
  <c r="B984" i="93"/>
  <c r="O1974" i="93"/>
  <c r="P66" i="93"/>
  <c r="F115" i="78"/>
  <c r="F120" i="74"/>
  <c r="F1068" i="93" s="1"/>
  <c r="F1075" i="93" s="1"/>
  <c r="N401" i="93"/>
  <c r="J60" i="74"/>
  <c r="J1012" i="93" s="1"/>
  <c r="J1020" i="93" s="1"/>
  <c r="N402" i="93"/>
  <c r="R12" i="75"/>
  <c r="R774" i="94" s="1"/>
  <c r="Q769" i="93"/>
  <c r="E1595" i="93"/>
  <c r="O1968" i="93"/>
  <c r="F92" i="74"/>
  <c r="F99" i="74" s="1"/>
  <c r="F1114" i="94" s="1"/>
  <c r="C58" i="74"/>
  <c r="C1010" i="93" s="1"/>
  <c r="C1018" i="93" s="1"/>
  <c r="K58" i="74"/>
  <c r="K1010" i="93" s="1"/>
  <c r="K1018" i="93" s="1"/>
  <c r="F58" i="74"/>
  <c r="F1010" i="93" s="1"/>
  <c r="F1018" i="93" s="1"/>
  <c r="D59" i="74"/>
  <c r="D1011" i="93" s="1"/>
  <c r="D1019" i="93" s="1"/>
  <c r="B90" i="74"/>
  <c r="J90" i="74"/>
  <c r="J1040" i="93" s="1"/>
  <c r="J1047" i="93" s="1"/>
  <c r="J92" i="74"/>
  <c r="J99" i="74" s="1"/>
  <c r="J1114" i="94" s="1"/>
  <c r="D120" i="74"/>
  <c r="D127" i="74" s="1"/>
  <c r="D1142" i="94" s="1"/>
  <c r="G90" i="74"/>
  <c r="G1040" i="93" s="1"/>
  <c r="G1047" i="93" s="1"/>
  <c r="C120" i="74"/>
  <c r="C1068" i="93" s="1"/>
  <c r="G58" i="74"/>
  <c r="G66" i="74" s="1"/>
  <c r="G1081" i="94" s="1"/>
  <c r="B60" i="74"/>
  <c r="B68" i="74" s="1"/>
  <c r="B1083" i="94" s="1"/>
  <c r="C90" i="74"/>
  <c r="C97" i="74" s="1"/>
  <c r="C1112" i="94" s="1"/>
  <c r="K90" i="74"/>
  <c r="K1040" i="93" s="1"/>
  <c r="K1047" i="93" s="1"/>
  <c r="E122" i="74"/>
  <c r="E129" i="74" s="1"/>
  <c r="E1144" i="94" s="1"/>
  <c r="B58" i="74"/>
  <c r="J58" i="74"/>
  <c r="F60" i="74"/>
  <c r="F1012" i="93" s="1"/>
  <c r="F1020" i="93" s="1"/>
  <c r="F90" i="74"/>
  <c r="F97" i="74" s="1"/>
  <c r="F1112" i="94" s="1"/>
  <c r="B92" i="74"/>
  <c r="B1042" i="93" s="1"/>
  <c r="P92" i="72"/>
  <c r="P1638" i="93" s="1"/>
  <c r="N54" i="66"/>
  <c r="F116" i="78"/>
  <c r="F113" i="78"/>
  <c r="F117" i="78"/>
  <c r="Q55" i="73"/>
  <c r="P55" i="73"/>
  <c r="L440" i="72"/>
  <c r="A111" i="75"/>
  <c r="O426" i="72"/>
  <c r="P54" i="66"/>
  <c r="D38" i="78"/>
  <c r="P26" i="72"/>
  <c r="P86" i="72"/>
  <c r="P1634" i="93" s="1"/>
  <c r="DM48" i="75"/>
  <c r="N95" i="75" s="1"/>
  <c r="LG48" i="75"/>
  <c r="E37" i="78"/>
  <c r="E121" i="74"/>
  <c r="E1069" i="93" s="1"/>
  <c r="E1076" i="93" s="1"/>
  <c r="K91" i="74"/>
  <c r="K98" i="74" s="1"/>
  <c r="K1113" i="94" s="1"/>
  <c r="G91" i="74"/>
  <c r="G1041" i="93" s="1"/>
  <c r="C91" i="74"/>
  <c r="C1041" i="93" s="1"/>
  <c r="C1048" i="93" s="1"/>
  <c r="K59" i="74"/>
  <c r="K1011" i="93" s="1"/>
  <c r="K1019" i="93" s="1"/>
  <c r="G59" i="74"/>
  <c r="G1011" i="93" s="1"/>
  <c r="G1019" i="93" s="1"/>
  <c r="C59" i="74"/>
  <c r="C1011" i="93" s="1"/>
  <c r="C1019" i="93" s="1"/>
  <c r="C121" i="74"/>
  <c r="C128" i="74" s="1"/>
  <c r="C1143" i="94" s="1"/>
  <c r="E91" i="74"/>
  <c r="E98" i="74" s="1"/>
  <c r="E1113" i="94" s="1"/>
  <c r="I59" i="74"/>
  <c r="I1011" i="93" s="1"/>
  <c r="I1019" i="93" s="1"/>
  <c r="D121" i="74"/>
  <c r="J91" i="74"/>
  <c r="J1041" i="93" s="1"/>
  <c r="J1048" i="93" s="1"/>
  <c r="F91" i="74"/>
  <c r="F98" i="74" s="1"/>
  <c r="F1113" i="94" s="1"/>
  <c r="B91" i="74"/>
  <c r="B1041" i="93" s="1"/>
  <c r="J59" i="74"/>
  <c r="J67" i="74" s="1"/>
  <c r="J1082" i="94" s="1"/>
  <c r="F59" i="74"/>
  <c r="F1011" i="93" s="1"/>
  <c r="F1019" i="93" s="1"/>
  <c r="B59" i="74"/>
  <c r="B1011" i="93" s="1"/>
  <c r="B1019" i="93" s="1"/>
  <c r="I91" i="74"/>
  <c r="I1041" i="93" s="1"/>
  <c r="I1048" i="93" s="1"/>
  <c r="E59" i="74"/>
  <c r="E1011" i="93" s="1"/>
  <c r="E1019" i="93" s="1"/>
  <c r="F121" i="74"/>
  <c r="F128" i="74" s="1"/>
  <c r="F1143" i="94" s="1"/>
  <c r="B121" i="74"/>
  <c r="B128" i="74" s="1"/>
  <c r="B1143" i="94" s="1"/>
  <c r="H91" i="74"/>
  <c r="H98" i="74" s="1"/>
  <c r="H1113" i="94" s="1"/>
  <c r="D91" i="74"/>
  <c r="H59" i="74"/>
  <c r="H1011" i="93" s="1"/>
  <c r="H1019" i="93" s="1"/>
  <c r="C60" i="74"/>
  <c r="C1012" i="93" s="1"/>
  <c r="C1020" i="93" s="1"/>
  <c r="K60" i="74"/>
  <c r="K1012" i="93" s="1"/>
  <c r="K1020" i="93" s="1"/>
  <c r="G92" i="74"/>
  <c r="G1042" i="93" s="1"/>
  <c r="K92" i="74"/>
  <c r="K1042" i="93" s="1"/>
  <c r="K1049" i="93" s="1"/>
  <c r="D58" i="74"/>
  <c r="D1010" i="93" s="1"/>
  <c r="H58" i="74"/>
  <c r="H1010" i="93" s="1"/>
  <c r="H1018" i="93" s="1"/>
  <c r="D60" i="74"/>
  <c r="H60" i="74"/>
  <c r="H68" i="74" s="1"/>
  <c r="H1083" i="94" s="1"/>
  <c r="D90" i="74"/>
  <c r="D1040" i="93" s="1"/>
  <c r="D1047" i="93" s="1"/>
  <c r="H90" i="74"/>
  <c r="H1040" i="93" s="1"/>
  <c r="H1047" i="93" s="1"/>
  <c r="D92" i="74"/>
  <c r="D99" i="74" s="1"/>
  <c r="D1114" i="94" s="1"/>
  <c r="H92" i="74"/>
  <c r="H1042" i="93" s="1"/>
  <c r="H1049" i="93" s="1"/>
  <c r="E120" i="74"/>
  <c r="E1068" i="93" s="1"/>
  <c r="E1075" i="93" s="1"/>
  <c r="C122" i="74"/>
  <c r="C1070" i="93" s="1"/>
  <c r="C1077" i="93" s="1"/>
  <c r="G60" i="74"/>
  <c r="G68" i="74" s="1"/>
  <c r="G1083" i="94" s="1"/>
  <c r="C92" i="74"/>
  <c r="C1042" i="93" s="1"/>
  <c r="C1049" i="93" s="1"/>
  <c r="B122" i="74"/>
  <c r="B129" i="74" s="1"/>
  <c r="B1144" i="94" s="1"/>
  <c r="F122" i="74"/>
  <c r="F1070" i="93" s="1"/>
  <c r="E58" i="74"/>
  <c r="E66" i="74" s="1"/>
  <c r="E1081" i="94" s="1"/>
  <c r="I58" i="74"/>
  <c r="I66" i="74" s="1"/>
  <c r="I1081" i="94" s="1"/>
  <c r="E60" i="74"/>
  <c r="E1012" i="93" s="1"/>
  <c r="E1020" i="93" s="1"/>
  <c r="I60" i="74"/>
  <c r="I1012" i="93" s="1"/>
  <c r="I1020" i="93" s="1"/>
  <c r="E90" i="74"/>
  <c r="E1040" i="93" s="1"/>
  <c r="E1047" i="93" s="1"/>
  <c r="I90" i="74"/>
  <c r="I1040" i="93" s="1"/>
  <c r="I1047" i="93" s="1"/>
  <c r="E92" i="74"/>
  <c r="E1042" i="93" s="1"/>
  <c r="E1049" i="93" s="1"/>
  <c r="I92" i="74"/>
  <c r="I1042" i="93" s="1"/>
  <c r="I1049" i="93" s="1"/>
  <c r="B120" i="74"/>
  <c r="B127" i="74" s="1"/>
  <c r="B1142" i="94" s="1"/>
  <c r="O1638" i="93"/>
  <c r="P320" i="72"/>
  <c r="P1861" i="93" s="1"/>
  <c r="CY48" i="75"/>
  <c r="J97" i="75" s="1"/>
  <c r="E35" i="78"/>
  <c r="D982" i="93"/>
  <c r="D990" i="93" s="1"/>
  <c r="B982" i="93"/>
  <c r="B990" i="93" s="1"/>
  <c r="B996" i="93"/>
  <c r="G1049" i="93"/>
  <c r="D1077" i="93"/>
  <c r="G1012" i="93"/>
  <c r="G1020" i="93" s="1"/>
  <c r="F1077" i="93"/>
  <c r="J982" i="93"/>
  <c r="J990" i="93"/>
  <c r="D1042" i="93"/>
  <c r="D1049" i="93"/>
  <c r="H1012" i="93"/>
  <c r="H1020" i="93" s="1"/>
  <c r="F982" i="93"/>
  <c r="F990" i="93" s="1"/>
  <c r="K982" i="93"/>
  <c r="K990" i="93" s="1"/>
  <c r="D129" i="74"/>
  <c r="D1144" i="94" s="1"/>
  <c r="B1069" i="93"/>
  <c r="B1076" i="93" s="1"/>
  <c r="E981" i="93"/>
  <c r="J1011" i="93"/>
  <c r="D1069" i="93"/>
  <c r="D1076" i="93" s="1"/>
  <c r="E1041" i="93"/>
  <c r="E1048" i="93" s="1"/>
  <c r="J981" i="93"/>
  <c r="I981" i="93"/>
  <c r="D981" i="93"/>
  <c r="D989" i="93" s="1"/>
  <c r="D1041" i="93"/>
  <c r="H981" i="93"/>
  <c r="H989" i="93" s="1"/>
  <c r="B981" i="93"/>
  <c r="K1041" i="93"/>
  <c r="K1048" i="93" s="1"/>
  <c r="K981" i="93"/>
  <c r="I1010" i="93"/>
  <c r="I1018" i="93" s="1"/>
  <c r="K980" i="93"/>
  <c r="C11" i="86"/>
  <c r="E1010" i="93"/>
  <c r="E1018" i="93" s="1"/>
  <c r="B994" i="93"/>
  <c r="B1068" i="93"/>
  <c r="B1075" i="93" s="1"/>
  <c r="G1010" i="93"/>
  <c r="G1018" i="93" s="1"/>
  <c r="K24" i="75"/>
  <c r="L24" i="75" s="1"/>
  <c r="P71" i="72"/>
  <c r="P1621" i="93" s="1"/>
  <c r="P22" i="72"/>
  <c r="P1562" i="93" s="1"/>
  <c r="I767" i="93"/>
  <c r="K767" i="93" s="1"/>
  <c r="L767" i="93" s="1"/>
  <c r="K10" i="75"/>
  <c r="L10" i="75" s="1"/>
  <c r="I780" i="93"/>
  <c r="K780" i="93" s="1"/>
  <c r="L780" i="93" s="1"/>
  <c r="K23" i="75"/>
  <c r="L23" i="75" s="1"/>
  <c r="I775" i="93"/>
  <c r="K775" i="93" s="1"/>
  <c r="L775" i="93" s="1"/>
  <c r="K18" i="75"/>
  <c r="L18" i="75" s="1"/>
  <c r="I768" i="93"/>
  <c r="K768" i="93" s="1"/>
  <c r="L768" i="93" s="1"/>
  <c r="K11" i="75"/>
  <c r="L11" i="75" s="1"/>
  <c r="I776" i="93"/>
  <c r="K776" i="93" s="1"/>
  <c r="L776" i="93" s="1"/>
  <c r="K19" i="75"/>
  <c r="L19" i="75" s="1"/>
  <c r="C53" i="82"/>
  <c r="C984" i="93"/>
  <c r="J1010" i="93"/>
  <c r="J1018" i="93" s="1"/>
  <c r="B1040" i="93"/>
  <c r="B1047" i="93" s="1"/>
  <c r="B1010" i="93"/>
  <c r="C1040" i="93"/>
  <c r="C1047" i="93" s="1"/>
  <c r="B1049" i="93"/>
  <c r="F1042" i="93"/>
  <c r="F1049" i="93" s="1"/>
  <c r="D1068" i="93"/>
  <c r="D1075" i="93" s="1"/>
  <c r="G981" i="93"/>
  <c r="E980" i="93"/>
  <c r="E988" i="93"/>
  <c r="K36" i="74"/>
  <c r="K1051" i="94" s="1"/>
  <c r="I99" i="74"/>
  <c r="I1114" i="94" s="1"/>
  <c r="E68" i="74"/>
  <c r="E1083" i="94" s="1"/>
  <c r="B36" i="74"/>
  <c r="B1051" i="94" s="1"/>
  <c r="G99" i="74"/>
  <c r="G1114" i="94" s="1"/>
  <c r="E99" i="74"/>
  <c r="E1114" i="94" s="1"/>
  <c r="D36" i="74"/>
  <c r="D1051" i="94" s="1"/>
  <c r="F36" i="74"/>
  <c r="F1051" i="94" s="1"/>
  <c r="J36" i="74"/>
  <c r="J1051" i="94" s="1"/>
  <c r="T211" i="72"/>
  <c r="D1018" i="93"/>
  <c r="J1019" i="93"/>
  <c r="I989" i="93"/>
  <c r="E989" i="93"/>
  <c r="G989" i="93"/>
  <c r="K989" i="93"/>
  <c r="D1048" i="93"/>
  <c r="G1048" i="93"/>
  <c r="K988" i="93"/>
  <c r="J989" i="93"/>
  <c r="R19" i="75"/>
  <c r="R776" i="93" s="1"/>
  <c r="C996" i="93"/>
  <c r="B995" i="93"/>
  <c r="C12" i="86"/>
  <c r="C994" i="93"/>
  <c r="D11" i="86"/>
  <c r="D996" i="93"/>
  <c r="C995" i="93"/>
  <c r="D12" i="86"/>
  <c r="D994" i="93"/>
  <c r="E11" i="86"/>
  <c r="E996" i="93"/>
  <c r="D995" i="93"/>
  <c r="E12" i="86"/>
  <c r="E994" i="93"/>
  <c r="F11" i="86"/>
  <c r="F996" i="93"/>
  <c r="E995" i="93"/>
  <c r="F12" i="86"/>
  <c r="F994" i="93"/>
  <c r="G11" i="86"/>
  <c r="O1951" i="93"/>
  <c r="B989" i="93"/>
  <c r="G996" i="93"/>
  <c r="F995" i="93"/>
  <c r="G12" i="86"/>
  <c r="G994" i="93"/>
  <c r="H11" i="86"/>
  <c r="B35" i="74"/>
  <c r="B1050" i="94" s="1"/>
  <c r="I35" i="74"/>
  <c r="I1050" i="94" s="1"/>
  <c r="H35" i="74"/>
  <c r="H1050" i="94" s="1"/>
  <c r="E34" i="74"/>
  <c r="E1049" i="94" s="1"/>
  <c r="E35" i="74"/>
  <c r="E1050" i="94" s="1"/>
  <c r="D35" i="74"/>
  <c r="D1050" i="94" s="1"/>
  <c r="G35" i="74"/>
  <c r="G1050" i="94" s="1"/>
  <c r="H996" i="93"/>
  <c r="G995" i="93"/>
  <c r="H12" i="86"/>
  <c r="H994" i="93"/>
  <c r="I11" i="86"/>
  <c r="K1602" i="93"/>
  <c r="L1603" i="93"/>
  <c r="P1603" i="93"/>
  <c r="L1602" i="93"/>
  <c r="K1603" i="93"/>
  <c r="O1603" i="93"/>
  <c r="J35" i="74"/>
  <c r="J1050" i="94" s="1"/>
  <c r="I996" i="93"/>
  <c r="H995" i="93"/>
  <c r="I12" i="86"/>
  <c r="I994" i="93"/>
  <c r="C31" i="86"/>
  <c r="P1709" i="93"/>
  <c r="O1602" i="93"/>
  <c r="O1601" i="93"/>
  <c r="P1602" i="93"/>
  <c r="P1601" i="93"/>
  <c r="K34" i="74"/>
  <c r="K1049" i="94" s="1"/>
  <c r="K35" i="74"/>
  <c r="K1050"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C1026" i="93"/>
  <c r="B1025" i="93"/>
  <c r="F32" i="86"/>
  <c r="C1024" i="93"/>
  <c r="G31" i="86"/>
  <c r="E67" i="74"/>
  <c r="E1082" i="94" s="1"/>
  <c r="D1026" i="93"/>
  <c r="C1025" i="93"/>
  <c r="G32" i="86"/>
  <c r="D1024" i="93"/>
  <c r="I31" i="86"/>
  <c r="H31" i="86"/>
  <c r="E1026" i="93"/>
  <c r="D1025" i="93"/>
  <c r="H32" i="86"/>
  <c r="E1024" i="93"/>
  <c r="G67" i="74"/>
  <c r="G1082" i="94" s="1"/>
  <c r="F1026" i="93"/>
  <c r="E1025" i="93"/>
  <c r="I32" i="86"/>
  <c r="F1024" i="93"/>
  <c r="C51" i="86"/>
  <c r="H66" i="74"/>
  <c r="H1081" i="94" s="1"/>
  <c r="G1026" i="93"/>
  <c r="F1025" i="93"/>
  <c r="C52" i="86"/>
  <c r="G1024" i="93"/>
  <c r="D51" i="86"/>
  <c r="H1026" i="93"/>
  <c r="G1025" i="93"/>
  <c r="D52" i="86"/>
  <c r="H1024" i="93"/>
  <c r="E51" i="86"/>
  <c r="B59" i="82"/>
  <c r="J66" i="74"/>
  <c r="J1081" i="94" s="1"/>
  <c r="I1026" i="93"/>
  <c r="H1025" i="93"/>
  <c r="E52" i="86"/>
  <c r="I1024" i="93"/>
  <c r="F51" i="86"/>
  <c r="K67" i="74"/>
  <c r="K1082" i="94" s="1"/>
  <c r="J1026" i="93"/>
  <c r="I1025" i="93"/>
  <c r="F52" i="86"/>
  <c r="J1024" i="93"/>
  <c r="G51" i="86"/>
  <c r="B97" i="74"/>
  <c r="B1112" i="94" s="1"/>
  <c r="K1026" i="93"/>
  <c r="J1025" i="93"/>
  <c r="G52" i="86"/>
  <c r="K1024" i="93"/>
  <c r="H51" i="86"/>
  <c r="F408" i="93"/>
  <c r="B1055" i="93"/>
  <c r="K1025" i="93"/>
  <c r="H52" i="86"/>
  <c r="B1053" i="93"/>
  <c r="D98" i="74"/>
  <c r="D1113" i="94" s="1"/>
  <c r="C1055" i="93"/>
  <c r="B1054" i="93"/>
  <c r="C1053" i="93"/>
  <c r="E97" i="74"/>
  <c r="E1112" i="94" s="1"/>
  <c r="D1055" i="93"/>
  <c r="C1054" i="93"/>
  <c r="D1053" i="93"/>
  <c r="E1055" i="93"/>
  <c r="D1054" i="93"/>
  <c r="E1053" i="93"/>
  <c r="G97" i="74"/>
  <c r="G1112" i="94" s="1"/>
  <c r="G98" i="74"/>
  <c r="G1113" i="94" s="1"/>
  <c r="F1055" i="93"/>
  <c r="E1054" i="93"/>
  <c r="F1053" i="93"/>
  <c r="G1055" i="93"/>
  <c r="F1054" i="93"/>
  <c r="G1053" i="93"/>
  <c r="H1055" i="93"/>
  <c r="G1054" i="93"/>
  <c r="H1053" i="93"/>
  <c r="J98" i="74"/>
  <c r="J1113" i="94" s="1"/>
  <c r="I1055" i="93"/>
  <c r="H1054" i="93"/>
  <c r="I1053" i="93"/>
  <c r="K97" i="74"/>
  <c r="K1112" i="94" s="1"/>
  <c r="J1055" i="93"/>
  <c r="I1054" i="93"/>
  <c r="J1053" i="93"/>
  <c r="K1055" i="93"/>
  <c r="J1054" i="93"/>
  <c r="K1053" i="93"/>
  <c r="B1083" i="93"/>
  <c r="K1054" i="93"/>
  <c r="B1081" i="93"/>
  <c r="D128" i="74"/>
  <c r="D1143" i="94" s="1"/>
  <c r="C1083" i="93"/>
  <c r="B1082" i="93"/>
  <c r="C1081" i="93"/>
  <c r="E128" i="74"/>
  <c r="E1143" i="94" s="1"/>
  <c r="D1083" i="93"/>
  <c r="C1082" i="93"/>
  <c r="D1081" i="93"/>
  <c r="F127" i="74"/>
  <c r="F1142" i="94" s="1"/>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I421" i="93" s="1"/>
  <c r="D405" i="93"/>
  <c r="B63" i="74"/>
  <c r="B1015" i="93" s="1"/>
  <c r="C63" i="74"/>
  <c r="E63" i="74"/>
  <c r="I34" i="86" s="1"/>
  <c r="F63" i="74"/>
  <c r="J600" i="93"/>
  <c r="D63" i="74"/>
  <c r="D1015" i="93" s="1"/>
  <c r="N405" i="93"/>
  <c r="J1027" i="93"/>
  <c r="K1027" i="93"/>
  <c r="J613" i="94" l="1"/>
  <c r="E60" i="84"/>
  <c r="K60" i="84"/>
  <c r="I60" i="84"/>
  <c r="G60" i="84"/>
  <c r="F945" i="93"/>
  <c r="U166" i="72"/>
  <c r="Q1863" i="93"/>
  <c r="K1862" i="93"/>
  <c r="J97" i="74"/>
  <c r="J1112" i="94" s="1"/>
  <c r="I97" i="74"/>
  <c r="I1112" i="94" s="1"/>
  <c r="H97" i="74"/>
  <c r="H1112" i="94" s="1"/>
  <c r="H67" i="74"/>
  <c r="H1082" i="94" s="1"/>
  <c r="D67" i="74"/>
  <c r="D1082" i="94" s="1"/>
  <c r="R781" i="94"/>
  <c r="F1069" i="93"/>
  <c r="F1076" i="93" s="1"/>
  <c r="M132" i="78"/>
  <c r="M149" i="78" s="1"/>
  <c r="M151" i="78" s="1"/>
  <c r="M153" i="78" s="1"/>
  <c r="M299" i="72"/>
  <c r="A2" i="84"/>
  <c r="H970" i="93"/>
  <c r="U499" i="93"/>
  <c r="E972" i="93"/>
  <c r="E976" i="93" s="1"/>
  <c r="E992" i="93" s="1"/>
  <c r="K932" i="93"/>
  <c r="C1069" i="93"/>
  <c r="C1076" i="93" s="1"/>
  <c r="C34" i="84"/>
  <c r="F13" i="85"/>
  <c r="J453" i="93"/>
  <c r="M453" i="93"/>
  <c r="S463" i="93"/>
  <c r="J469" i="93"/>
  <c r="S469" i="93"/>
  <c r="J474" i="93"/>
  <c r="S474" i="93"/>
  <c r="G500" i="93"/>
  <c r="M500" i="93"/>
  <c r="P500" i="93"/>
  <c r="S500" i="93"/>
  <c r="M519" i="93"/>
  <c r="P519" i="93"/>
  <c r="U540" i="93"/>
  <c r="U539" i="93"/>
  <c r="J746" i="93"/>
  <c r="FA803" i="93"/>
  <c r="IF803" i="93"/>
  <c r="GZ803" i="93"/>
  <c r="JD767" i="93"/>
  <c r="JJ767" i="93"/>
  <c r="JI775" i="93"/>
  <c r="JG775" i="93"/>
  <c r="JP783" i="93"/>
  <c r="JD783" i="93"/>
  <c r="JC783" i="93"/>
  <c r="JI783" i="93"/>
  <c r="JN783" i="93"/>
  <c r="JM787" i="93"/>
  <c r="JI787" i="93"/>
  <c r="BN771" i="93"/>
  <c r="AS771" i="93"/>
  <c r="BM787" i="93"/>
  <c r="CX787" i="93"/>
  <c r="BH769" i="93"/>
  <c r="CP769" i="93"/>
  <c r="AN769" i="93"/>
  <c r="IG769" i="93"/>
  <c r="BT769" i="93"/>
  <c r="IE769" i="93"/>
  <c r="BS769" i="93"/>
  <c r="W769" i="93"/>
  <c r="CW769" i="93"/>
  <c r="BI769" i="93"/>
  <c r="BV773" i="93"/>
  <c r="X773" i="93"/>
  <c r="CX773" i="93"/>
  <c r="AK773" i="93"/>
  <c r="AJ773" i="93"/>
  <c r="CG773" i="93"/>
  <c r="CF773" i="93"/>
  <c r="AE781" i="93"/>
  <c r="CA781" i="93"/>
  <c r="AM781" i="93"/>
  <c r="BW781" i="93"/>
  <c r="CZ781" i="93"/>
  <c r="BJ781" i="93"/>
  <c r="BR785" i="93"/>
  <c r="IK785" i="93"/>
  <c r="CN785" i="93"/>
  <c r="AZ785" i="93"/>
  <c r="IJ785" i="93"/>
  <c r="CM785" i="93"/>
  <c r="AQ785" i="93"/>
  <c r="CJ785" i="93"/>
  <c r="AH785" i="93"/>
  <c r="BY785" i="93"/>
  <c r="W785" i="93"/>
  <c r="BV785" i="93"/>
  <c r="AF785" i="93"/>
  <c r="DA785" i="93"/>
  <c r="BK785" i="93"/>
  <c r="CG789" i="93"/>
  <c r="BU789" i="93"/>
  <c r="HX767" i="93"/>
  <c r="GX767" i="93"/>
  <c r="IB767" i="93"/>
  <c r="FY767" i="93"/>
  <c r="GT767" i="93"/>
  <c r="FF767" i="93"/>
  <c r="HI767" i="93"/>
  <c r="EW767" i="93"/>
  <c r="GJ767" i="93"/>
  <c r="IC767" i="93"/>
  <c r="GB767" i="93"/>
  <c r="FQ767" i="93"/>
  <c r="HE767" i="93"/>
  <c r="GG767" i="93"/>
  <c r="GV767" i="93"/>
  <c r="FJ767" i="93"/>
  <c r="IA767" i="93"/>
  <c r="HH771" i="93"/>
  <c r="HG771" i="93"/>
  <c r="GW771" i="93"/>
  <c r="GV771" i="93"/>
  <c r="FJ771" i="93"/>
  <c r="EX771" i="93"/>
  <c r="GR771" i="93"/>
  <c r="FK771" i="93"/>
  <c r="HL771" i="93"/>
  <c r="FW771" i="93"/>
  <c r="GC771" i="93"/>
  <c r="GK771" i="93"/>
  <c r="FR771" i="93"/>
  <c r="FT775" i="93"/>
  <c r="EY775" i="93"/>
  <c r="IA775" i="93"/>
  <c r="FD775" i="93"/>
  <c r="GY775" i="93"/>
  <c r="FG775" i="93"/>
  <c r="GJ775" i="93"/>
  <c r="HE775" i="93"/>
  <c r="FQ775" i="93"/>
  <c r="GV775" i="93"/>
  <c r="EZ775" i="93"/>
  <c r="HZ775" i="93"/>
  <c r="GD775" i="93"/>
  <c r="HI775" i="93"/>
  <c r="FU775" i="93"/>
  <c r="HX775" i="93"/>
  <c r="HW775" i="93"/>
  <c r="GP775" i="93"/>
  <c r="GE775" i="93"/>
  <c r="GU775" i="93"/>
  <c r="HO779" i="93"/>
  <c r="IB779" i="93"/>
  <c r="GZ783" i="93"/>
  <c r="GI783" i="93"/>
  <c r="FY783" i="93"/>
  <c r="HI783" i="93"/>
  <c r="FO783" i="93"/>
  <c r="GX783" i="93"/>
  <c r="EX783" i="93"/>
  <c r="GW783" i="93"/>
  <c r="FE783" i="93"/>
  <c r="FL783" i="93"/>
  <c r="GK783" i="93"/>
  <c r="HD783" i="93"/>
  <c r="FD783" i="93"/>
  <c r="GJ783" i="93"/>
  <c r="HB783" i="93"/>
  <c r="FA783" i="93"/>
  <c r="FP783" i="93"/>
  <c r="GG783" i="93"/>
  <c r="HG783" i="93"/>
  <c r="GE783" i="93"/>
  <c r="FS783" i="93"/>
  <c r="GM783" i="93"/>
  <c r="GL783" i="93"/>
  <c r="FK783" i="93"/>
  <c r="GC783" i="93"/>
  <c r="FU783" i="93"/>
  <c r="HW783" i="93"/>
  <c r="EX787" i="93"/>
  <c r="EY787" i="93"/>
  <c r="HE787" i="93"/>
  <c r="HB787" i="93"/>
  <c r="GK787" i="93"/>
  <c r="GH787" i="93"/>
  <c r="FN787" i="93"/>
  <c r="GW787" i="93"/>
  <c r="GD787" i="93"/>
  <c r="HI787" i="93"/>
  <c r="HZ795" i="93"/>
  <c r="FM795" i="93"/>
  <c r="GK795" i="93"/>
  <c r="FU795" i="93"/>
  <c r="FN795" i="93"/>
  <c r="HQ795" i="93"/>
  <c r="FV795" i="93"/>
  <c r="GC795" i="93"/>
  <c r="DV769" i="93"/>
  <c r="IY769" i="93"/>
  <c r="DT769" i="93"/>
  <c r="EU769" i="93"/>
  <c r="DG769" i="93"/>
  <c r="EK769" i="93"/>
  <c r="IR769" i="93"/>
  <c r="DH773" i="93"/>
  <c r="EM781" i="93"/>
  <c r="DR781" i="93"/>
  <c r="JL785" i="93"/>
  <c r="ES785" i="93"/>
  <c r="DX785" i="93"/>
  <c r="IU789" i="93"/>
  <c r="J912" i="93"/>
  <c r="K66" i="74"/>
  <c r="K1081" i="94" s="1"/>
  <c r="I68" i="74"/>
  <c r="I1083" i="94" s="1"/>
  <c r="B99" i="74"/>
  <c r="B1114" i="94" s="1"/>
  <c r="R767" i="93"/>
  <c r="C58" i="84"/>
  <c r="C62" i="84" s="1"/>
  <c r="E36" i="86"/>
  <c r="F972" i="93"/>
  <c r="F504" i="93"/>
  <c r="BH783" i="93"/>
  <c r="FN783" i="93"/>
  <c r="EY783" i="93"/>
  <c r="JL783" i="93"/>
  <c r="FH783" i="93"/>
  <c r="FQ783" i="93"/>
  <c r="GB783" i="93"/>
  <c r="EG769" i="93"/>
  <c r="CL769" i="93"/>
  <c r="EY795" i="93"/>
  <c r="GX775" i="93"/>
  <c r="FS768" i="93"/>
  <c r="FY768" i="93"/>
  <c r="FD768" i="93"/>
  <c r="FW768" i="93"/>
  <c r="HM768" i="93"/>
  <c r="GT768" i="93"/>
  <c r="HX768" i="93"/>
  <c r="EX768" i="93"/>
  <c r="EW768" i="93"/>
  <c r="HR768" i="93"/>
  <c r="GL768" i="93"/>
  <c r="FU768" i="93"/>
  <c r="HH768" i="93"/>
  <c r="HM772" i="93"/>
  <c r="GS772" i="93"/>
  <c r="HX772" i="93"/>
  <c r="FE780" i="93"/>
  <c r="FD780" i="93"/>
  <c r="HV780" i="93"/>
  <c r="HU780" i="93"/>
  <c r="HC780" i="93"/>
  <c r="HS780" i="93"/>
  <c r="HL780" i="93"/>
  <c r="HK780" i="93"/>
  <c r="HX780" i="93"/>
  <c r="GI780" i="93"/>
  <c r="FR780" i="93"/>
  <c r="FN780" i="93"/>
  <c r="HR780" i="93"/>
  <c r="IA780" i="93"/>
  <c r="GF784" i="93"/>
  <c r="HC784" i="93"/>
  <c r="GT784" i="93"/>
  <c r="FM784" i="93"/>
  <c r="FB784" i="93"/>
  <c r="JM784" i="93"/>
  <c r="BV784" i="93"/>
  <c r="CW784" i="93"/>
  <c r="HH784" i="93"/>
  <c r="IB784" i="93"/>
  <c r="JN784" i="93"/>
  <c r="GJ784" i="93"/>
  <c r="HB784" i="93"/>
  <c r="GG784" i="93"/>
  <c r="GX784" i="93"/>
  <c r="GL784" i="93"/>
  <c r="HD788" i="93"/>
  <c r="HZ788" i="93"/>
  <c r="FG788" i="93"/>
  <c r="GT788" i="93"/>
  <c r="JP792" i="93"/>
  <c r="HL792" i="93"/>
  <c r="HV792" i="93"/>
  <c r="GV792" i="93"/>
  <c r="GN792" i="93"/>
  <c r="FG792" i="93"/>
  <c r="DA796" i="93"/>
  <c r="DB796" i="93"/>
  <c r="FL796" i="93"/>
  <c r="JN780" i="93"/>
  <c r="H885" i="93"/>
  <c r="O1477" i="93"/>
  <c r="CV778" i="93"/>
  <c r="AZ772" i="93"/>
  <c r="AO782" i="93"/>
  <c r="BX790" i="93"/>
  <c r="FO776" i="93"/>
  <c r="P885" i="93"/>
  <c r="BV787" i="93"/>
  <c r="CY787" i="93"/>
  <c r="BW795" i="93"/>
  <c r="AI795" i="93"/>
  <c r="AH803" i="93"/>
  <c r="JA771" i="93"/>
  <c r="IR783" i="93"/>
  <c r="G894" i="93"/>
  <c r="K894" i="93"/>
  <c r="I894" i="93"/>
  <c r="O898" i="93"/>
  <c r="G903" i="93"/>
  <c r="I903" i="93"/>
  <c r="G907" i="93"/>
  <c r="O907" i="93"/>
  <c r="H912" i="93"/>
  <c r="M1718" i="93"/>
  <c r="O1718" i="93" s="1"/>
  <c r="M1722" i="93"/>
  <c r="P1722" i="93" s="1"/>
  <c r="R1918" i="93"/>
  <c r="Q1859" i="93"/>
  <c r="L1859" i="93"/>
  <c r="FZ799" i="93"/>
  <c r="BX784" i="93"/>
  <c r="M885" i="93"/>
  <c r="I885" i="93"/>
  <c r="P924" i="93"/>
  <c r="O1649" i="93"/>
  <c r="Q1828" i="93"/>
  <c r="P329" i="72"/>
  <c r="P1870" i="93" s="1"/>
  <c r="MG772" i="94"/>
  <c r="G483" i="94"/>
  <c r="M483" i="94"/>
  <c r="P483" i="94"/>
  <c r="U460" i="94"/>
  <c r="G522" i="94"/>
  <c r="S522" i="94"/>
  <c r="M528" i="94"/>
  <c r="P528" i="94"/>
  <c r="G556" i="94"/>
  <c r="S563" i="94"/>
  <c r="IA773" i="94"/>
  <c r="IF773" i="94"/>
  <c r="IL773" i="94"/>
  <c r="IQ773" i="94"/>
  <c r="IV773" i="94"/>
  <c r="JB773" i="94"/>
  <c r="JG773" i="94"/>
  <c r="JG810" i="94" s="1"/>
  <c r="N891" i="94" s="1"/>
  <c r="JL773" i="94"/>
  <c r="JR773" i="94"/>
  <c r="JW773" i="94"/>
  <c r="KB773" i="94"/>
  <c r="KB810" i="94" s="1"/>
  <c r="J880" i="94" s="1"/>
  <c r="KH773" i="94"/>
  <c r="KM773" i="94"/>
  <c r="KR773" i="94"/>
  <c r="KX773" i="94"/>
  <c r="LC773" i="94"/>
  <c r="MQ773" i="94"/>
  <c r="GJ774" i="94"/>
  <c r="GR774" i="94"/>
  <c r="GZ774" i="94"/>
  <c r="HH774" i="94"/>
  <c r="HP774" i="94"/>
  <c r="HX774" i="94"/>
  <c r="LP774" i="94"/>
  <c r="LX774" i="94"/>
  <c r="IF777" i="94"/>
  <c r="IN777" i="94"/>
  <c r="IV777" i="94"/>
  <c r="JD777" i="94"/>
  <c r="JL777" i="94"/>
  <c r="JT777" i="94"/>
  <c r="KB777" i="94"/>
  <c r="KJ777" i="94"/>
  <c r="KR777" i="94"/>
  <c r="KZ777" i="94"/>
  <c r="KZ810" i="94" s="1"/>
  <c r="N884" i="94" s="1"/>
  <c r="EA793" i="94"/>
  <c r="DQ793" i="94"/>
  <c r="FV793" i="94"/>
  <c r="CQ793" i="94"/>
  <c r="FY787" i="94"/>
  <c r="FZ787" i="94"/>
  <c r="DA787" i="94"/>
  <c r="BU787" i="94"/>
  <c r="DU787" i="94"/>
  <c r="CO787" i="94"/>
  <c r="FX785" i="94"/>
  <c r="DL785" i="94"/>
  <c r="CF785" i="94"/>
  <c r="FZ779" i="94"/>
  <c r="EB779" i="94"/>
  <c r="DT779" i="94"/>
  <c r="IC787" i="94"/>
  <c r="IB787" i="94"/>
  <c r="KX781" i="94"/>
  <c r="JJ781" i="94"/>
  <c r="LC779" i="94"/>
  <c r="JG779" i="94"/>
  <c r="HY779" i="94"/>
  <c r="C1135" i="94"/>
  <c r="I26" i="74"/>
  <c r="D1135" i="94"/>
  <c r="D1105" i="94"/>
  <c r="J1073" i="94"/>
  <c r="B1073" i="94"/>
  <c r="G26" i="74"/>
  <c r="K1105" i="94"/>
  <c r="C1105" i="94"/>
  <c r="I1073" i="94"/>
  <c r="CH801" i="94"/>
  <c r="IA795" i="94"/>
  <c r="U461" i="94"/>
  <c r="G536" i="94"/>
  <c r="V472" i="94"/>
  <c r="V556" i="94"/>
  <c r="IB773" i="94"/>
  <c r="IH773" i="94"/>
  <c r="IM773" i="94"/>
  <c r="IR773" i="94"/>
  <c r="IX773" i="94"/>
  <c r="JC773" i="94"/>
  <c r="JH773" i="94"/>
  <c r="JN773" i="94"/>
  <c r="JS773" i="94"/>
  <c r="JX773" i="94"/>
  <c r="KD773" i="94"/>
  <c r="KI773" i="94"/>
  <c r="KN773" i="94"/>
  <c r="KT773" i="94"/>
  <c r="KY773" i="94"/>
  <c r="LD773" i="94"/>
  <c r="MS773" i="94"/>
  <c r="GM774" i="94"/>
  <c r="GU774" i="94"/>
  <c r="HC774" i="94"/>
  <c r="HK774" i="94"/>
  <c r="HS774" i="94"/>
  <c r="LS774" i="94"/>
  <c r="MA774" i="94"/>
  <c r="HY777" i="94"/>
  <c r="IG777" i="94"/>
  <c r="IO777" i="94"/>
  <c r="IW777" i="94"/>
  <c r="JE777" i="94"/>
  <c r="JM777" i="94"/>
  <c r="JU777" i="94"/>
  <c r="KC777" i="94"/>
  <c r="KK777" i="94"/>
  <c r="KS777" i="94"/>
  <c r="LA777" i="94"/>
  <c r="BK779" i="94"/>
  <c r="BS779" i="94"/>
  <c r="CA779" i="94"/>
  <c r="CI779" i="94"/>
  <c r="CQ779" i="94"/>
  <c r="CY779" i="94"/>
  <c r="DG779" i="94"/>
  <c r="DO779" i="94"/>
  <c r="DX779" i="94"/>
  <c r="JO779" i="94"/>
  <c r="KP781" i="94"/>
  <c r="BP785" i="94"/>
  <c r="CZ785" i="94"/>
  <c r="BY787" i="94"/>
  <c r="C26" i="74"/>
  <c r="O71" i="72"/>
  <c r="O86" i="72"/>
  <c r="H99" i="94"/>
  <c r="N1548" i="94"/>
  <c r="L2039" i="94"/>
  <c r="Q2039" i="94"/>
  <c r="EE808" i="94"/>
  <c r="AS808" i="94"/>
  <c r="BH808" i="94"/>
  <c r="ED804" i="94"/>
  <c r="BH804" i="94"/>
  <c r="EF800" i="94"/>
  <c r="AD800" i="94"/>
  <c r="AJ800" i="94"/>
  <c r="AF800" i="94"/>
  <c r="BD796" i="94"/>
  <c r="AF796" i="94"/>
  <c r="AO796" i="94"/>
  <c r="AK796" i="94"/>
  <c r="AD792" i="94"/>
  <c r="Z792" i="94"/>
  <c r="BI792" i="94"/>
  <c r="AK792" i="94"/>
  <c r="AX792" i="94"/>
  <c r="AT792" i="94"/>
  <c r="ED788" i="94"/>
  <c r="AY788" i="94"/>
  <c r="EF788" i="94"/>
  <c r="AP788" i="94"/>
  <c r="BB780" i="94"/>
  <c r="AK780" i="94"/>
  <c r="AK776" i="94"/>
  <c r="AU776" i="94"/>
  <c r="BE776" i="94"/>
  <c r="BJ776" i="94"/>
  <c r="AB776" i="94"/>
  <c r="Z776" i="94"/>
  <c r="AO776" i="94"/>
  <c r="BB772" i="94"/>
  <c r="AO772" i="94"/>
  <c r="AT772" i="94"/>
  <c r="AY772" i="94"/>
  <c r="AP772" i="94"/>
  <c r="EG772" i="94"/>
  <c r="BE772" i="94"/>
  <c r="AZ772" i="94"/>
  <c r="AU772" i="94"/>
  <c r="AP780" i="94"/>
  <c r="AK788" i="94"/>
  <c r="AF792" i="94"/>
  <c r="AJ786" i="94"/>
  <c r="AE774" i="94"/>
  <c r="BC788" i="94"/>
  <c r="Y778" i="94"/>
  <c r="ED792" i="94"/>
  <c r="ED780" i="94"/>
  <c r="AG804" i="94"/>
  <c r="BD809" i="94"/>
  <c r="BI809" i="94"/>
  <c r="AX809" i="94"/>
  <c r="EF809" i="94"/>
  <c r="AX807" i="94"/>
  <c r="EF807" i="94"/>
  <c r="AK807" i="94"/>
  <c r="BJ807" i="94"/>
  <c r="ED807" i="94"/>
  <c r="AO806" i="94"/>
  <c r="AT806" i="94"/>
  <c r="Y806" i="94"/>
  <c r="AI806" i="94"/>
  <c r="AY806" i="94"/>
  <c r="EC803" i="94"/>
  <c r="BB803" i="94"/>
  <c r="AS803" i="94"/>
  <c r="AR803" i="94"/>
  <c r="AP803" i="94"/>
  <c r="AL802" i="94"/>
  <c r="Z802" i="94"/>
  <c r="EE799" i="94"/>
  <c r="AP799" i="94"/>
  <c r="BC799" i="94"/>
  <c r="BD799" i="94"/>
  <c r="AU799" i="94"/>
  <c r="AZ799" i="94"/>
  <c r="AH798" i="94"/>
  <c r="AY798" i="94"/>
  <c r="BE798" i="94"/>
  <c r="ED795" i="94"/>
  <c r="AU795" i="94"/>
  <c r="AZ795" i="94"/>
  <c r="BE795" i="94"/>
  <c r="EC795" i="94"/>
  <c r="BI795" i="94"/>
  <c r="EF795" i="94"/>
  <c r="AA795" i="94"/>
  <c r="AE794" i="94"/>
  <c r="BJ794" i="94"/>
  <c r="AR793" i="94"/>
  <c r="Y793" i="94"/>
  <c r="AI793" i="94"/>
  <c r="BC793" i="94"/>
  <c r="AJ793" i="94"/>
  <c r="AO793" i="94"/>
  <c r="EF793" i="94"/>
  <c r="X791" i="94"/>
  <c r="AA791" i="94"/>
  <c r="BJ791" i="94"/>
  <c r="EG791" i="94"/>
  <c r="AN791" i="94"/>
  <c r="AV790" i="94"/>
  <c r="EC789" i="94"/>
  <c r="AS789" i="94"/>
  <c r="ED787" i="94"/>
  <c r="AX787" i="94"/>
  <c r="EF787" i="94"/>
  <c r="EE787" i="94"/>
  <c r="EG787" i="94"/>
  <c r="EE785" i="94"/>
  <c r="AT785" i="94"/>
  <c r="AY785" i="94"/>
  <c r="EG785" i="94"/>
  <c r="W783" i="94"/>
  <c r="AN783" i="94"/>
  <c r="ED783" i="94"/>
  <c r="BH783" i="94"/>
  <c r="BD783" i="94"/>
  <c r="AF783" i="94"/>
  <c r="AE782" i="94"/>
  <c r="BD782" i="94"/>
  <c r="AP782" i="94"/>
  <c r="AM782" i="94"/>
  <c r="AU782" i="94"/>
  <c r="AZ782" i="94"/>
  <c r="BG779" i="94"/>
  <c r="EE779" i="94"/>
  <c r="EF779" i="94"/>
  <c r="BE779" i="94"/>
  <c r="BJ779" i="94"/>
  <c r="EG779" i="94"/>
  <c r="AS778" i="94"/>
  <c r="AF778" i="94"/>
  <c r="EE777" i="94"/>
  <c r="EG777" i="94"/>
  <c r="AC777" i="94"/>
  <c r="ED777" i="94"/>
  <c r="AJ777" i="94"/>
  <c r="ED775" i="94"/>
  <c r="BH775" i="94"/>
  <c r="AJ775" i="94"/>
  <c r="BI775" i="94"/>
  <c r="AZ774" i="94"/>
  <c r="AZ810" i="94" s="1"/>
  <c r="N823" i="94" s="1"/>
  <c r="L1858" i="94"/>
  <c r="J2052" i="94"/>
  <c r="EG807" i="94"/>
  <c r="EG801" i="94"/>
  <c r="EG793" i="94"/>
  <c r="EG780" i="94"/>
  <c r="BJ799" i="94"/>
  <c r="BE803" i="94"/>
  <c r="AZ803" i="94"/>
  <c r="AU806" i="94"/>
  <c r="AP806" i="94"/>
  <c r="AP776" i="94"/>
  <c r="AK786" i="94"/>
  <c r="AF786" i="94"/>
  <c r="AA778" i="94"/>
  <c r="EF797" i="94"/>
  <c r="EF781" i="94"/>
  <c r="BI799" i="94"/>
  <c r="BD803" i="94"/>
  <c r="BD775" i="94"/>
  <c r="AY775" i="94"/>
  <c r="AT776" i="94"/>
  <c r="AO780" i="94"/>
  <c r="AJ783" i="94"/>
  <c r="Z807" i="94"/>
  <c r="EE803" i="94"/>
  <c r="EE780" i="94"/>
  <c r="BH794" i="94"/>
  <c r="BC782" i="94"/>
  <c r="AX775" i="94"/>
  <c r="AN799" i="94"/>
  <c r="AD808" i="94"/>
  <c r="ED808" i="94"/>
  <c r="ED791" i="94"/>
  <c r="ED779" i="94"/>
  <c r="BB787" i="94"/>
  <c r="AM799" i="94"/>
  <c r="EC799" i="94"/>
  <c r="AB802" i="94"/>
  <c r="C1074" i="94"/>
  <c r="G1074" i="94"/>
  <c r="K1074" i="94"/>
  <c r="B1106" i="94"/>
  <c r="F1106" i="94"/>
  <c r="J1106" i="94"/>
  <c r="D1136" i="94"/>
  <c r="C27" i="74"/>
  <c r="F27" i="74"/>
  <c r="EG799" i="94"/>
  <c r="EG775" i="94"/>
  <c r="BJ789" i="94"/>
  <c r="BE793" i="94"/>
  <c r="AZ789" i="94"/>
  <c r="AU791" i="94"/>
  <c r="AP795" i="94"/>
  <c r="AK803" i="94"/>
  <c r="AF807" i="94"/>
  <c r="AA808" i="94"/>
  <c r="EF791" i="94"/>
  <c r="EF777" i="94"/>
  <c r="BI788" i="94"/>
  <c r="BD792" i="94"/>
  <c r="AY796" i="94"/>
  <c r="AT800" i="94"/>
  <c r="AO804" i="94"/>
  <c r="AJ808" i="94"/>
  <c r="AE809" i="94"/>
  <c r="Z787" i="94"/>
  <c r="EE795" i="94"/>
  <c r="EE775" i="94"/>
  <c r="BC808" i="94"/>
  <c r="AX801" i="94"/>
  <c r="AS800" i="94"/>
  <c r="AN782" i="94"/>
  <c r="ED803" i="94"/>
  <c r="ED772" i="94"/>
  <c r="AH780" i="94"/>
  <c r="BF803" i="94"/>
  <c r="AX808" i="94"/>
  <c r="AR807" i="94"/>
  <c r="BA804" i="94"/>
  <c r="BJ803" i="94"/>
  <c r="EC800" i="94"/>
  <c r="AX799" i="94"/>
  <c r="ED796" i="94"/>
  <c r="AH792" i="94"/>
  <c r="BG791" i="94"/>
  <c r="AI788" i="94"/>
  <c r="AS787" i="94"/>
  <c r="AY780" i="94"/>
  <c r="AD779" i="94"/>
  <c r="AL776" i="94"/>
  <c r="AO775" i="94"/>
  <c r="Y772" i="94"/>
  <c r="O171" i="72"/>
  <c r="ED809" i="94"/>
  <c r="ED805" i="94"/>
  <c r="ED801" i="94"/>
  <c r="ED797" i="94"/>
  <c r="ED793" i="94"/>
  <c r="EE789" i="94"/>
  <c r="EC781" i="94"/>
  <c r="EC777" i="94"/>
  <c r="EC773" i="94"/>
  <c r="U535" i="94"/>
  <c r="A535" i="94"/>
  <c r="P1725" i="93"/>
  <c r="P153" i="72"/>
  <c r="P1707" i="93" s="1"/>
  <c r="M1397" i="93"/>
  <c r="L1397" i="93" s="1"/>
  <c r="L307" i="73"/>
  <c r="F976" i="93"/>
  <c r="G59" i="84"/>
  <c r="I59" i="84"/>
  <c r="K59" i="84"/>
  <c r="E59" i="84"/>
  <c r="H972" i="93"/>
  <c r="H976" i="93" s="1"/>
  <c r="H992" i="93" s="1"/>
  <c r="E127" i="74"/>
  <c r="E1142" i="94" s="1"/>
  <c r="D97" i="74"/>
  <c r="D1112" i="94" s="1"/>
  <c r="F1041" i="93"/>
  <c r="F1048" i="93" s="1"/>
  <c r="B1070" i="93"/>
  <c r="B1077" i="93" s="1"/>
  <c r="J132" i="78"/>
  <c r="J149" i="78" s="1"/>
  <c r="J151" i="78" s="1"/>
  <c r="J153" i="78" s="1"/>
  <c r="A2" i="83"/>
  <c r="A1" i="89"/>
  <c r="H1" i="91"/>
  <c r="E56" i="86"/>
  <c r="C1" i="86"/>
  <c r="A2" i="90"/>
  <c r="H977" i="93"/>
  <c r="F551" i="93"/>
  <c r="G463" i="93"/>
  <c r="G474" i="93"/>
  <c r="K730" i="93"/>
  <c r="L730" i="93"/>
  <c r="K746" i="93"/>
  <c r="M746" i="93"/>
  <c r="GJ48" i="75"/>
  <c r="N101" i="75" s="1"/>
  <c r="HL48" i="75"/>
  <c r="L107" i="75" s="1"/>
  <c r="E1015" i="93"/>
  <c r="C98" i="74"/>
  <c r="C1113" i="94" s="1"/>
  <c r="F67" i="74"/>
  <c r="F1082" i="94" s="1"/>
  <c r="D66" i="74"/>
  <c r="D1081" i="94" s="1"/>
  <c r="Q58" i="73"/>
  <c r="C68" i="74"/>
  <c r="C1083" i="94" s="1"/>
  <c r="C99" i="74"/>
  <c r="C1114" i="94" s="1"/>
  <c r="J1042" i="93"/>
  <c r="J1049" i="93" s="1"/>
  <c r="F1040" i="93"/>
  <c r="F1047" i="93" s="1"/>
  <c r="F68" i="74"/>
  <c r="F1083" i="94" s="1"/>
  <c r="R87" i="74"/>
  <c r="S87" i="74" s="1"/>
  <c r="R800" i="93"/>
  <c r="R788" i="93"/>
  <c r="O22" i="86"/>
  <c r="F12" i="85"/>
  <c r="E15" i="89"/>
  <c r="C21" i="90"/>
  <c r="A540" i="93"/>
  <c r="U498" i="93"/>
  <c r="M562" i="93"/>
  <c r="P562" i="93"/>
  <c r="D972" i="93"/>
  <c r="D976" i="93" s="1"/>
  <c r="D992" i="93" s="1"/>
  <c r="C976" i="93"/>
  <c r="C992" i="93" s="1"/>
  <c r="IG781" i="93"/>
  <c r="IF781" i="93"/>
  <c r="IH781" i="93"/>
  <c r="JQ769" i="93"/>
  <c r="FM769" i="93"/>
  <c r="HI769" i="93"/>
  <c r="EY769" i="93"/>
  <c r="Y769" i="93"/>
  <c r="AT769" i="93"/>
  <c r="AO769" i="93"/>
  <c r="EX769" i="93"/>
  <c r="HY769" i="93"/>
  <c r="AB769" i="93"/>
  <c r="CU769" i="93"/>
  <c r="HJ769" i="93"/>
  <c r="BO769" i="93"/>
  <c r="FW769" i="93"/>
  <c r="FZ769" i="93"/>
  <c r="AY769" i="93"/>
  <c r="FJ769" i="93"/>
  <c r="IL769" i="93"/>
  <c r="AX769" i="93"/>
  <c r="BE769" i="93"/>
  <c r="FL769" i="93"/>
  <c r="IW769" i="93"/>
  <c r="EO769" i="93"/>
  <c r="EA769" i="93"/>
  <c r="EN769" i="93"/>
  <c r="DJ769" i="93"/>
  <c r="IT769" i="93"/>
  <c r="GL769" i="93"/>
  <c r="BF769" i="93"/>
  <c r="HX769" i="93"/>
  <c r="Z769" i="93"/>
  <c r="FN769" i="93"/>
  <c r="AV769" i="93"/>
  <c r="FV769" i="93"/>
  <c r="AW769" i="93"/>
  <c r="GT769" i="93"/>
  <c r="II769" i="93"/>
  <c r="HN769" i="93"/>
  <c r="CZ769" i="93"/>
  <c r="GU769" i="93"/>
  <c r="DA769" i="93"/>
  <c r="DI769" i="93"/>
  <c r="EB769" i="93"/>
  <c r="DF769" i="93"/>
  <c r="DQ769" i="93"/>
  <c r="IU769" i="93"/>
  <c r="HO769" i="93"/>
  <c r="GI769" i="93"/>
  <c r="FC769" i="93"/>
  <c r="DW769" i="93"/>
  <c r="CQ769" i="93"/>
  <c r="BK769" i="93"/>
  <c r="AE769" i="93"/>
  <c r="IK769" i="93"/>
  <c r="HE769" i="93"/>
  <c r="FY769" i="93"/>
  <c r="ES769" i="93"/>
  <c r="DM769" i="93"/>
  <c r="CG769" i="93"/>
  <c r="BA769" i="93"/>
  <c r="IZ769" i="93"/>
  <c r="HT769" i="93"/>
  <c r="GN769" i="93"/>
  <c r="FH769" i="93"/>
  <c r="AA769" i="93"/>
  <c r="FU769" i="93"/>
  <c r="BU769" i="93"/>
  <c r="CM769" i="93"/>
  <c r="BG769" i="93"/>
  <c r="GK769" i="93"/>
  <c r="BJ769" i="93"/>
  <c r="GM769" i="93"/>
  <c r="CD769" i="93"/>
  <c r="HK769" i="93"/>
  <c r="AI769" i="93"/>
  <c r="AJ769" i="93"/>
  <c r="GB769" i="93"/>
  <c r="AL769" i="93"/>
  <c r="GH769" i="93"/>
  <c r="DR769" i="93"/>
  <c r="BU773" i="93"/>
  <c r="EY773" i="93"/>
  <c r="FP773" i="93"/>
  <c r="GP773" i="93"/>
  <c r="GW773" i="93"/>
  <c r="HF773" i="93"/>
  <c r="FM773" i="93"/>
  <c r="BP773" i="93"/>
  <c r="CZ773" i="93"/>
  <c r="DC773" i="93"/>
  <c r="BX773" i="93"/>
  <c r="JA773" i="93"/>
  <c r="CJ773" i="93"/>
  <c r="DU773" i="93"/>
  <c r="BA773" i="93"/>
  <c r="FA773" i="93"/>
  <c r="GS773" i="93"/>
  <c r="IB773" i="93"/>
  <c r="GG773" i="93"/>
  <c r="DB773" i="93"/>
  <c r="EC773" i="93"/>
  <c r="IZ773" i="93"/>
  <c r="BI773" i="93"/>
  <c r="IY773" i="93"/>
  <c r="CO773" i="93"/>
  <c r="DL773" i="93"/>
  <c r="EV773" i="93"/>
  <c r="AC773" i="93"/>
  <c r="DD773" i="93"/>
  <c r="EW773" i="93"/>
  <c r="FI773" i="93"/>
  <c r="HO777" i="93"/>
  <c r="IC777" i="93"/>
  <c r="HG777" i="93"/>
  <c r="GH777" i="93"/>
  <c r="FN777" i="93"/>
  <c r="FX777" i="93"/>
  <c r="HM781" i="93"/>
  <c r="IY781" i="93"/>
  <c r="IP781" i="93"/>
  <c r="IN781" i="93"/>
  <c r="AD781" i="93"/>
  <c r="IZ781" i="93"/>
  <c r="EB781" i="93"/>
  <c r="W781" i="93"/>
  <c r="BU781" i="93"/>
  <c r="BX781" i="93"/>
  <c r="EN781" i="93"/>
  <c r="DH781" i="93"/>
  <c r="AL781" i="93"/>
  <c r="DG781" i="93"/>
  <c r="DF781" i="93"/>
  <c r="AC781" i="93"/>
  <c r="BZ781" i="93"/>
  <c r="BV781" i="93"/>
  <c r="DA781" i="93"/>
  <c r="EZ781" i="93"/>
  <c r="EW781" i="93"/>
  <c r="CT781" i="93"/>
  <c r="IO785" i="93"/>
  <c r="IZ785" i="93"/>
  <c r="HJ785" i="93"/>
  <c r="GD785" i="93"/>
  <c r="EX785" i="93"/>
  <c r="CV785" i="93"/>
  <c r="BP785" i="93"/>
  <c r="AJ785" i="93"/>
  <c r="IA785" i="93"/>
  <c r="GS785" i="93"/>
  <c r="FM785" i="93"/>
  <c r="DQ785" i="93"/>
  <c r="CE785" i="93"/>
  <c r="AY785" i="93"/>
  <c r="IV785" i="93"/>
  <c r="GX785" i="93"/>
  <c r="FH785" i="93"/>
  <c r="CT785" i="93"/>
  <c r="BD785" i="93"/>
  <c r="IS785" i="93"/>
  <c r="GW785" i="93"/>
  <c r="FG785" i="93"/>
  <c r="CS785" i="93"/>
  <c r="BC785" i="93"/>
  <c r="IR785" i="93"/>
  <c r="GV785" i="93"/>
  <c r="FD785" i="93"/>
  <c r="CL785" i="93"/>
  <c r="EW789" i="93"/>
  <c r="EY789" i="93"/>
  <c r="DZ789" i="93"/>
  <c r="AL789" i="93"/>
  <c r="DC789" i="93"/>
  <c r="DA789" i="93"/>
  <c r="CH789" i="93"/>
  <c r="BX789" i="93"/>
  <c r="BY789" i="93"/>
  <c r="EZ797" i="93"/>
  <c r="BX797" i="93"/>
  <c r="DX797" i="93"/>
  <c r="DC797" i="93"/>
  <c r="JO768" i="93"/>
  <c r="JN768" i="93"/>
  <c r="JJ768" i="93"/>
  <c r="JP768" i="93"/>
  <c r="JN776" i="93"/>
  <c r="JO776" i="93"/>
  <c r="JO784" i="93"/>
  <c r="JQ784" i="93"/>
  <c r="JG784" i="93"/>
  <c r="HW768" i="93"/>
  <c r="GQ768" i="93"/>
  <c r="FK768" i="93"/>
  <c r="HU768" i="93"/>
  <c r="GO768" i="93"/>
  <c r="FI768" i="93"/>
  <c r="HD768" i="93"/>
  <c r="FN768" i="93"/>
  <c r="HN768" i="93"/>
  <c r="FM768" i="93"/>
  <c r="GR768" i="93"/>
  <c r="GX768" i="93"/>
  <c r="GK768" i="93"/>
  <c r="GD768" i="93"/>
  <c r="FT768" i="93"/>
  <c r="HF768" i="93"/>
  <c r="HJ768" i="93"/>
  <c r="IB768" i="93"/>
  <c r="GB768" i="93"/>
  <c r="GI768" i="93"/>
  <c r="GW768" i="93"/>
  <c r="FA768" i="93"/>
  <c r="GJ768" i="93"/>
  <c r="HY768" i="93"/>
  <c r="FB768" i="93"/>
  <c r="HL768" i="93"/>
  <c r="FL768" i="93"/>
  <c r="HQ768" i="93"/>
  <c r="EY768" i="93"/>
  <c r="FO768" i="93"/>
  <c r="HS768" i="93"/>
  <c r="GM768" i="93"/>
  <c r="FZ768" i="93"/>
  <c r="HI768" i="93"/>
  <c r="GU768" i="93"/>
  <c r="HO768" i="93"/>
  <c r="GA768" i="93"/>
  <c r="IC768" i="93"/>
  <c r="GG768" i="93"/>
  <c r="HZ768" i="93"/>
  <c r="FX768" i="93"/>
  <c r="HC768" i="93"/>
  <c r="EZ768" i="93"/>
  <c r="HB768" i="93"/>
  <c r="HV772" i="93"/>
  <c r="FM772" i="93"/>
  <c r="GP772" i="93"/>
  <c r="EX780" i="93"/>
  <c r="HY780" i="93"/>
  <c r="GS780" i="93"/>
  <c r="FM780" i="93"/>
  <c r="HH780" i="93"/>
  <c r="GB780" i="93"/>
  <c r="HW780" i="93"/>
  <c r="GQ780" i="93"/>
  <c r="FK780" i="93"/>
  <c r="HF780" i="93"/>
  <c r="FZ780" i="93"/>
  <c r="IC780" i="93"/>
  <c r="GW780" i="93"/>
  <c r="FQ780" i="93"/>
  <c r="GF780" i="93"/>
  <c r="GE780" i="93"/>
  <c r="GD780" i="93"/>
  <c r="FX780" i="93"/>
  <c r="FW780" i="93"/>
  <c r="FP780" i="93"/>
  <c r="HQ780" i="93"/>
  <c r="GC780" i="93"/>
  <c r="HP780" i="93"/>
  <c r="FT780" i="93"/>
  <c r="HG780" i="93"/>
  <c r="FS780" i="93"/>
  <c r="GX780" i="93"/>
  <c r="FJ780" i="93"/>
  <c r="HE780" i="93"/>
  <c r="FI780" i="93"/>
  <c r="HT780" i="93"/>
  <c r="GV780" i="93"/>
  <c r="FF780" i="93"/>
  <c r="FV780" i="93"/>
  <c r="HD780" i="93"/>
  <c r="FA780" i="93"/>
  <c r="EZ780" i="93"/>
  <c r="HI780" i="93"/>
  <c r="FU780" i="93"/>
  <c r="GZ780" i="93"/>
  <c r="FL780" i="93"/>
  <c r="GY780" i="93"/>
  <c r="FC780" i="93"/>
  <c r="GP780" i="93"/>
  <c r="FB780" i="93"/>
  <c r="GO780" i="93"/>
  <c r="HZ780" i="93"/>
  <c r="HT784" i="93"/>
  <c r="GN784" i="93"/>
  <c r="FH784" i="93"/>
  <c r="IA784" i="93"/>
  <c r="GU784" i="93"/>
  <c r="FO784" i="93"/>
  <c r="HP784" i="93"/>
  <c r="FZ784" i="93"/>
  <c r="HO784" i="93"/>
  <c r="FY784" i="93"/>
  <c r="HX784" i="93"/>
  <c r="GH784" i="93"/>
  <c r="HA784" i="93"/>
  <c r="FK784" i="93"/>
  <c r="HJ784" i="93"/>
  <c r="FT784" i="93"/>
  <c r="IC784" i="93"/>
  <c r="HU784" i="93"/>
  <c r="HR784" i="93"/>
  <c r="HQ784" i="93"/>
  <c r="GK784" i="93"/>
  <c r="HG784" i="93"/>
  <c r="GA784" i="93"/>
  <c r="HD784" i="93"/>
  <c r="FP784" i="93"/>
  <c r="HS784" i="93"/>
  <c r="GE784" i="93"/>
  <c r="HZ784" i="93"/>
  <c r="FN784" i="93"/>
  <c r="GS784" i="93"/>
  <c r="FV784" i="93"/>
  <c r="HW784" i="93"/>
  <c r="FU784" i="93"/>
  <c r="GZ784" i="93"/>
  <c r="EX784" i="93"/>
  <c r="GO784" i="93"/>
  <c r="FI784" i="93"/>
  <c r="EW784" i="93"/>
  <c r="GV784" i="93"/>
  <c r="EZ784" i="93"/>
  <c r="HK784" i="93"/>
  <c r="FW784" i="93"/>
  <c r="HF784" i="93"/>
  <c r="FD784" i="93"/>
  <c r="GI784" i="93"/>
  <c r="HN784" i="93"/>
  <c r="FL784" i="93"/>
  <c r="HM784" i="93"/>
  <c r="FA784" i="93"/>
  <c r="GP784" i="93"/>
  <c r="GW784" i="93"/>
  <c r="FQ784" i="93"/>
  <c r="HI784" i="93"/>
  <c r="GY784" i="93"/>
  <c r="FZ788" i="93"/>
  <c r="FX788" i="93"/>
  <c r="GK788" i="93"/>
  <c r="GR788" i="93"/>
  <c r="HP788" i="93"/>
  <c r="HS788" i="93"/>
  <c r="FL788" i="93"/>
  <c r="FX792" i="93"/>
  <c r="FW792" i="93"/>
  <c r="FP792" i="93"/>
  <c r="FJ792" i="93"/>
  <c r="HE792" i="93"/>
  <c r="IB792" i="93"/>
  <c r="FY792" i="93"/>
  <c r="HT792" i="93"/>
  <c r="GO792" i="93"/>
  <c r="HF792" i="93"/>
  <c r="HD792" i="93"/>
  <c r="FZ792" i="93"/>
  <c r="HU792" i="93"/>
  <c r="GP792" i="93"/>
  <c r="GM792" i="93"/>
  <c r="GF792" i="93"/>
  <c r="FH792" i="93"/>
  <c r="FV796" i="93"/>
  <c r="FM796" i="93"/>
  <c r="GD800" i="93"/>
  <c r="HF800" i="93"/>
  <c r="FU800" i="93"/>
  <c r="HH800" i="93"/>
  <c r="C127" i="74"/>
  <c r="C1142" i="94" s="1"/>
  <c r="F66" i="74"/>
  <c r="F1081" i="94" s="1"/>
  <c r="K99" i="74"/>
  <c r="K1114" i="94" s="1"/>
  <c r="H99" i="74"/>
  <c r="H1114" i="94" s="1"/>
  <c r="E1070" i="93"/>
  <c r="E1077" i="93" s="1"/>
  <c r="J68" i="74"/>
  <c r="J1083" i="94" s="1"/>
  <c r="R792" i="93"/>
  <c r="R780" i="93"/>
  <c r="A47" i="84"/>
  <c r="F473" i="93"/>
  <c r="F977" i="93"/>
  <c r="F978" i="93" s="1"/>
  <c r="M459" i="93"/>
  <c r="G469" i="93"/>
  <c r="M513" i="93"/>
  <c r="S513" i="93"/>
  <c r="J519" i="93"/>
  <c r="S519" i="93"/>
  <c r="M554" i="93"/>
  <c r="I746" i="93"/>
  <c r="BK781" i="93"/>
  <c r="HV769" i="93"/>
  <c r="CE769" i="93"/>
  <c r="CK769" i="93"/>
  <c r="CX769" i="93"/>
  <c r="GC773" i="93"/>
  <c r="AD769" i="93"/>
  <c r="BZ769" i="93"/>
  <c r="CB769" i="93"/>
  <c r="FO772" i="93"/>
  <c r="IV769" i="93"/>
  <c r="FH768" i="93"/>
  <c r="LM48" i="75"/>
  <c r="CY774" i="93"/>
  <c r="EX777" i="93"/>
  <c r="Q1673" i="93"/>
  <c r="L1673" i="93"/>
  <c r="Q1762" i="93"/>
  <c r="L1762" i="93"/>
  <c r="EH784" i="93"/>
  <c r="CB783" i="93"/>
  <c r="IL783" i="93"/>
  <c r="CU783" i="93"/>
  <c r="JF783" i="93"/>
  <c r="CV783" i="93"/>
  <c r="BT783" i="93"/>
  <c r="JK783" i="93"/>
  <c r="AN783" i="93"/>
  <c r="EK783" i="93"/>
  <c r="DT783" i="93"/>
  <c r="JB771" i="93"/>
  <c r="AC771" i="93"/>
  <c r="DA787" i="93"/>
  <c r="IK771" i="93"/>
  <c r="CZ787" i="93"/>
  <c r="AH771" i="93"/>
  <c r="IE795" i="93"/>
  <c r="CX803" i="93"/>
  <c r="FZ767" i="93"/>
  <c r="GM767" i="93"/>
  <c r="CY767" i="93"/>
  <c r="EZ767" i="93"/>
  <c r="HR767" i="93"/>
  <c r="HP767" i="93"/>
  <c r="HB767" i="93"/>
  <c r="FV767" i="93"/>
  <c r="DC767" i="93"/>
  <c r="HA767" i="93"/>
  <c r="FE767" i="93"/>
  <c r="HH767" i="93"/>
  <c r="FD767" i="93"/>
  <c r="DB767" i="93"/>
  <c r="DA767" i="93"/>
  <c r="GE767" i="93"/>
  <c r="JF767" i="93"/>
  <c r="HO767" i="93"/>
  <c r="FR767" i="93"/>
  <c r="HV767" i="93"/>
  <c r="JQ767" i="93"/>
  <c r="FP767" i="93"/>
  <c r="FO767" i="93"/>
  <c r="HF767" i="93"/>
  <c r="GH767" i="93"/>
  <c r="JN767" i="93"/>
  <c r="CW767" i="93"/>
  <c r="GI767" i="93"/>
  <c r="CK771" i="93"/>
  <c r="AD771" i="93"/>
  <c r="AL771" i="93"/>
  <c r="JK771" i="93"/>
  <c r="IO771" i="93"/>
  <c r="CL771" i="93"/>
  <c r="Y771" i="93"/>
  <c r="EY771" i="93"/>
  <c r="EK771" i="93"/>
  <c r="GB771" i="93"/>
  <c r="GQ771" i="93"/>
  <c r="HM771" i="93"/>
  <c r="IB771" i="93"/>
  <c r="FP771" i="93"/>
  <c r="HC771" i="93"/>
  <c r="FF771" i="93"/>
  <c r="HI771" i="93"/>
  <c r="CW771" i="93"/>
  <c r="BI771" i="93"/>
  <c r="HJ771" i="93"/>
  <c r="FN771" i="93"/>
  <c r="GX771" i="93"/>
  <c r="HN771" i="93"/>
  <c r="HS775" i="93"/>
  <c r="CS775" i="93"/>
  <c r="GH775" i="93"/>
  <c r="AD775" i="93"/>
  <c r="JL775" i="93"/>
  <c r="AX775" i="93"/>
  <c r="HK775" i="93"/>
  <c r="BJ775" i="93"/>
  <c r="HN775" i="93"/>
  <c r="JQ775" i="93"/>
  <c r="HU775" i="93"/>
  <c r="GO775" i="93"/>
  <c r="FI775" i="93"/>
  <c r="CZ775" i="93"/>
  <c r="JP775" i="93"/>
  <c r="HT775" i="93"/>
  <c r="GN775" i="93"/>
  <c r="FH775" i="93"/>
  <c r="CY775" i="93"/>
  <c r="JN775" i="93"/>
  <c r="HR775" i="93"/>
  <c r="GL775" i="93"/>
  <c r="FF775" i="93"/>
  <c r="CW775" i="93"/>
  <c r="JM775" i="93"/>
  <c r="HQ775" i="93"/>
  <c r="GK775" i="93"/>
  <c r="FE775" i="93"/>
  <c r="CT775" i="93"/>
  <c r="JD775" i="93"/>
  <c r="GB775" i="93"/>
  <c r="BX775" i="93"/>
  <c r="HG775" i="93"/>
  <c r="EQ775" i="93"/>
  <c r="HV775" i="93"/>
  <c r="FJ775" i="93"/>
  <c r="AM775" i="93"/>
  <c r="JO775" i="93"/>
  <c r="CD775" i="93"/>
  <c r="HO775" i="93"/>
  <c r="GZ779" i="93"/>
  <c r="GO779" i="93"/>
  <c r="IA783" i="93"/>
  <c r="GR783" i="93"/>
  <c r="JO783" i="93"/>
  <c r="HK783" i="93"/>
  <c r="FZ783" i="93"/>
  <c r="EO783" i="93"/>
  <c r="BW783" i="93"/>
  <c r="HT783" i="93"/>
  <c r="GH783" i="93"/>
  <c r="EZ783" i="93"/>
  <c r="CL783" i="93"/>
  <c r="JB783" i="93"/>
  <c r="GP783" i="93"/>
  <c r="FG783" i="93"/>
  <c r="CZ783" i="93"/>
  <c r="IC783" i="93"/>
  <c r="GO783" i="93"/>
  <c r="FF783" i="93"/>
  <c r="CY783" i="93"/>
  <c r="JJ783" i="93"/>
  <c r="HF783" i="93"/>
  <c r="FV783" i="93"/>
  <c r="ED783" i="93"/>
  <c r="BR783" i="93"/>
  <c r="GT783" i="93"/>
  <c r="BI783" i="93"/>
  <c r="FR783" i="93"/>
  <c r="IV783" i="93"/>
  <c r="EP783" i="93"/>
  <c r="HE783" i="93"/>
  <c r="CR783" i="93"/>
  <c r="GD783" i="93"/>
  <c r="AC783" i="93"/>
  <c r="DE783" i="93"/>
  <c r="GA783" i="93"/>
  <c r="BX783" i="93"/>
  <c r="AB783" i="93"/>
  <c r="HC783" i="93"/>
  <c r="IK787" i="93"/>
  <c r="AK787" i="93"/>
  <c r="BW787" i="93"/>
  <c r="BY787" i="93"/>
  <c r="AP787" i="93"/>
  <c r="JD787" i="93"/>
  <c r="JK787" i="93"/>
  <c r="FY787" i="93"/>
  <c r="GL787" i="93"/>
  <c r="HA787" i="93"/>
  <c r="HN787" i="93"/>
  <c r="FB787" i="93"/>
  <c r="HY787" i="93"/>
  <c r="FJ787" i="93"/>
  <c r="GG787" i="93"/>
  <c r="FQ787" i="93"/>
  <c r="GC787" i="93"/>
  <c r="CU787" i="93"/>
  <c r="AQ787" i="93"/>
  <c r="BQ787" i="93"/>
  <c r="GW791" i="93"/>
  <c r="GN791" i="93"/>
  <c r="CY795" i="93"/>
  <c r="CR795" i="93"/>
  <c r="BY795" i="93"/>
  <c r="DC795" i="93"/>
  <c r="HY795" i="93"/>
  <c r="GL795" i="93"/>
  <c r="FE795" i="93"/>
  <c r="HA795" i="93"/>
  <c r="HB795" i="93"/>
  <c r="JK795" i="93"/>
  <c r="BD795" i="93"/>
  <c r="CV795" i="93"/>
  <c r="JH770" i="93"/>
  <c r="JC774" i="93"/>
  <c r="JO778" i="93"/>
  <c r="JL782" i="93"/>
  <c r="JP786" i="93"/>
  <c r="BI770" i="93"/>
  <c r="BS774" i="93"/>
  <c r="BS805" i="93" s="1"/>
  <c r="M825" i="93" s="1"/>
  <c r="BA782" i="93"/>
  <c r="CV772" i="93"/>
  <c r="AT788" i="93"/>
  <c r="CX796" i="93"/>
  <c r="GE770" i="93"/>
  <c r="HG774" i="93"/>
  <c r="HU782" i="93"/>
  <c r="FW786" i="93"/>
  <c r="HI794" i="93"/>
  <c r="HT798" i="93"/>
  <c r="FP802" i="93"/>
  <c r="JH772" i="93"/>
  <c r="JG788" i="93"/>
  <c r="JH796" i="93"/>
  <c r="O839" i="93"/>
  <c r="A839" i="93" s="1"/>
  <c r="G885" i="93"/>
  <c r="N885" i="93"/>
  <c r="J885" i="93"/>
  <c r="H889" i="93"/>
  <c r="L889" i="93"/>
  <c r="P889" i="93"/>
  <c r="N889" i="93"/>
  <c r="H894" i="93"/>
  <c r="L894" i="93"/>
  <c r="P894" i="93"/>
  <c r="N894" i="93"/>
  <c r="H898" i="93"/>
  <c r="L898" i="93"/>
  <c r="P898" i="93"/>
  <c r="J898" i="93"/>
  <c r="N898" i="93"/>
  <c r="H903" i="93"/>
  <c r="P903" i="93"/>
  <c r="J903" i="93"/>
  <c r="H907" i="93"/>
  <c r="P907" i="93"/>
  <c r="J907" i="93"/>
  <c r="N907" i="93"/>
  <c r="K912" i="93"/>
  <c r="J916" i="93"/>
  <c r="F925" i="93"/>
  <c r="F934" i="93"/>
  <c r="P201" i="94"/>
  <c r="Q1901" i="93"/>
  <c r="M1935" i="93"/>
  <c r="R1968" i="93"/>
  <c r="LT48" i="75"/>
  <c r="MB48" i="75"/>
  <c r="LK48" i="75"/>
  <c r="LS48" i="75"/>
  <c r="MA48" i="75"/>
  <c r="L61" i="94"/>
  <c r="P462" i="94"/>
  <c r="V483" i="94"/>
  <c r="V486" i="94" s="1"/>
  <c r="V536" i="94"/>
  <c r="K732" i="94"/>
  <c r="J749" i="94"/>
  <c r="J563" i="94"/>
  <c r="M563" i="94"/>
  <c r="S571" i="94"/>
  <c r="J591" i="94"/>
  <c r="J595" i="94" s="1"/>
  <c r="JD777" i="93"/>
  <c r="M1717" i="93"/>
  <c r="O1717" i="93" s="1"/>
  <c r="M1719" i="93"/>
  <c r="O1719" i="93" s="1"/>
  <c r="M1829" i="93"/>
  <c r="N95" i="93"/>
  <c r="A461" i="94"/>
  <c r="J462" i="94"/>
  <c r="M478" i="94"/>
  <c r="U507" i="94"/>
  <c r="A570" i="94"/>
  <c r="U570" i="94"/>
  <c r="KJ772" i="94"/>
  <c r="JD772" i="94"/>
  <c r="MQ772" i="94"/>
  <c r="JU772" i="94"/>
  <c r="JU810" i="94" s="1"/>
  <c r="M878" i="94" s="1"/>
  <c r="MF772" i="94"/>
  <c r="KA772" i="94"/>
  <c r="IU772" i="94"/>
  <c r="KD772" i="94"/>
  <c r="JM772" i="94"/>
  <c r="KH772" i="94"/>
  <c r="JB772" i="94"/>
  <c r="IH772" i="94"/>
  <c r="KO772" i="94"/>
  <c r="JI772" i="94"/>
  <c r="KL772" i="94"/>
  <c r="MS772" i="94"/>
  <c r="KF772" i="94"/>
  <c r="IZ772" i="94"/>
  <c r="JV772" i="94"/>
  <c r="KU772" i="94"/>
  <c r="KU810" i="94" s="1"/>
  <c r="N883" i="94" s="1"/>
  <c r="N902" i="94" s="1"/>
  <c r="JO772" i="94"/>
  <c r="II772" i="94"/>
  <c r="MM772" i="94"/>
  <c r="MJ772" i="94"/>
  <c r="J478" i="94"/>
  <c r="P563" i="94"/>
  <c r="G575" i="94"/>
  <c r="I732" i="94"/>
  <c r="HY773" i="94"/>
  <c r="IC773" i="94"/>
  <c r="IG773" i="94"/>
  <c r="IK773" i="94"/>
  <c r="IO773" i="94"/>
  <c r="IS773" i="94"/>
  <c r="IW773" i="94"/>
  <c r="JA773" i="94"/>
  <c r="JA810" i="94" s="1"/>
  <c r="M890" i="94" s="1"/>
  <c r="JE773" i="94"/>
  <c r="JI773" i="94"/>
  <c r="JM773" i="94"/>
  <c r="JQ773" i="94"/>
  <c r="JQ810" i="94" s="1"/>
  <c r="N889" i="94" s="1"/>
  <c r="JU773" i="94"/>
  <c r="JY773" i="94"/>
  <c r="KC773" i="94"/>
  <c r="KG773" i="94"/>
  <c r="KK773" i="94"/>
  <c r="KO773" i="94"/>
  <c r="KS773" i="94"/>
  <c r="KW773" i="94"/>
  <c r="LA773" i="94"/>
  <c r="LE773" i="94"/>
  <c r="GH774" i="94"/>
  <c r="GL774" i="94"/>
  <c r="GP774" i="94"/>
  <c r="GT774" i="94"/>
  <c r="GX774" i="94"/>
  <c r="HB774" i="94"/>
  <c r="HF774" i="94"/>
  <c r="HJ774" i="94"/>
  <c r="HN774" i="94"/>
  <c r="HR774" i="94"/>
  <c r="HV774" i="94"/>
  <c r="LR774" i="94"/>
  <c r="LV774" i="94"/>
  <c r="LZ774" i="94"/>
  <c r="MD774" i="94"/>
  <c r="BM777" i="94"/>
  <c r="BQ777" i="94"/>
  <c r="BU777" i="94"/>
  <c r="BY777" i="94"/>
  <c r="CC777" i="94"/>
  <c r="CG777" i="94"/>
  <c r="CK777" i="94"/>
  <c r="CO777" i="94"/>
  <c r="CS777" i="94"/>
  <c r="CW777" i="94"/>
  <c r="DA777" i="94"/>
  <c r="DE777" i="94"/>
  <c r="DI777" i="94"/>
  <c r="DM777" i="94"/>
  <c r="DQ777" i="94"/>
  <c r="DU777" i="94"/>
  <c r="DY777" i="94"/>
  <c r="FV777" i="94"/>
  <c r="FZ777" i="94"/>
  <c r="IA777" i="94"/>
  <c r="IE777" i="94"/>
  <c r="II777" i="94"/>
  <c r="IM777" i="94"/>
  <c r="IQ777" i="94"/>
  <c r="IU777" i="94"/>
  <c r="IY777" i="94"/>
  <c r="JC777" i="94"/>
  <c r="JG777" i="94"/>
  <c r="JK777" i="94"/>
  <c r="JO777" i="94"/>
  <c r="JS777" i="94"/>
  <c r="JW777" i="94"/>
  <c r="KA777" i="94"/>
  <c r="KE777" i="94"/>
  <c r="KI777" i="94"/>
  <c r="KM777" i="94"/>
  <c r="KQ777" i="94"/>
  <c r="KU777" i="94"/>
  <c r="KY777" i="94"/>
  <c r="LC777" i="94"/>
  <c r="BN779" i="94"/>
  <c r="BR779" i="94"/>
  <c r="BV779" i="94"/>
  <c r="BZ779" i="94"/>
  <c r="CD779" i="94"/>
  <c r="CH779" i="94"/>
  <c r="CL779" i="94"/>
  <c r="CP779" i="94"/>
  <c r="CT779" i="94"/>
  <c r="CX779" i="94"/>
  <c r="DB779" i="94"/>
  <c r="DF779" i="94"/>
  <c r="DJ779" i="94"/>
  <c r="DN779" i="94"/>
  <c r="DR779" i="94"/>
  <c r="DV779" i="94"/>
  <c r="DZ779" i="94"/>
  <c r="FW779" i="94"/>
  <c r="IB779" i="94"/>
  <c r="IY779" i="94"/>
  <c r="KE779" i="94"/>
  <c r="IT781" i="94"/>
  <c r="JZ781" i="94"/>
  <c r="BL785" i="94"/>
  <c r="CB785" i="94"/>
  <c r="CR785" i="94"/>
  <c r="DH785" i="94"/>
  <c r="DX785" i="94"/>
  <c r="BQ787" i="94"/>
  <c r="CG787" i="94"/>
  <c r="CW787" i="94"/>
  <c r="DM787" i="94"/>
  <c r="FV787" i="94"/>
  <c r="HZ787" i="94"/>
  <c r="JE787" i="94"/>
  <c r="BR793" i="94"/>
  <c r="ML772" i="94"/>
  <c r="IZ783" i="94"/>
  <c r="M963" i="94"/>
  <c r="T1814" i="94"/>
  <c r="U1814" i="94" s="1"/>
  <c r="L1965" i="94"/>
  <c r="AH809" i="94"/>
  <c r="AM809" i="94"/>
  <c r="W809" i="94"/>
  <c r="X809" i="94"/>
  <c r="AC809" i="94"/>
  <c r="BH809" i="94"/>
  <c r="Z809" i="94"/>
  <c r="AG809" i="94"/>
  <c r="AQ809" i="94"/>
  <c r="AR809" i="94"/>
  <c r="BG809" i="94"/>
  <c r="AD809" i="94"/>
  <c r="AW809" i="94"/>
  <c r="AS809" i="94"/>
  <c r="AF809" i="94"/>
  <c r="AK809" i="94"/>
  <c r="AP809" i="94"/>
  <c r="AU809" i="94"/>
  <c r="Y809" i="94"/>
  <c r="AT809" i="94"/>
  <c r="AA809" i="94"/>
  <c r="AN806" i="94"/>
  <c r="AS806" i="94"/>
  <c r="AX806" i="94"/>
  <c r="BC806" i="94"/>
  <c r="AC806" i="94"/>
  <c r="AW806" i="94"/>
  <c r="AM806" i="94"/>
  <c r="AR806" i="94"/>
  <c r="BG806" i="94"/>
  <c r="AD806" i="94"/>
  <c r="Z806" i="94"/>
  <c r="BD806" i="94"/>
  <c r="BI806" i="94"/>
  <c r="EF806" i="94"/>
  <c r="AA806" i="94"/>
  <c r="EC806" i="94"/>
  <c r="AH806" i="94"/>
  <c r="ED806" i="94"/>
  <c r="AE806" i="94"/>
  <c r="AJ806" i="94"/>
  <c r="AK806" i="94"/>
  <c r="AH805" i="94"/>
  <c r="AM805" i="94"/>
  <c r="W805" i="94"/>
  <c r="AG805" i="94"/>
  <c r="AC805" i="94"/>
  <c r="AR805" i="94"/>
  <c r="BH805" i="94"/>
  <c r="Z805" i="94"/>
  <c r="X805" i="94"/>
  <c r="AI805" i="94"/>
  <c r="AN805" i="94"/>
  <c r="BB805" i="94"/>
  <c r="Y805" i="94"/>
  <c r="AX805" i="94"/>
  <c r="AF805" i="94"/>
  <c r="AK805" i="94"/>
  <c r="AP805" i="94"/>
  <c r="AU805" i="94"/>
  <c r="AQ805" i="94"/>
  <c r="AW805" i="94"/>
  <c r="AD805" i="94"/>
  <c r="AS805" i="94"/>
  <c r="AY805" i="94"/>
  <c r="BD805" i="94"/>
  <c r="X802" i="94"/>
  <c r="AC802" i="94"/>
  <c r="AM802" i="94"/>
  <c r="AN802" i="94"/>
  <c r="AS802" i="94"/>
  <c r="AX802" i="94"/>
  <c r="BC802" i="94"/>
  <c r="EC802" i="94"/>
  <c r="AR802" i="94"/>
  <c r="BB802" i="94"/>
  <c r="Y802" i="94"/>
  <c r="BF802" i="94"/>
  <c r="AI802" i="94"/>
  <c r="BH802" i="94"/>
  <c r="BD802" i="94"/>
  <c r="BI802" i="94"/>
  <c r="EF802" i="94"/>
  <c r="AA802" i="94"/>
  <c r="AO802" i="94"/>
  <c r="AP802" i="94"/>
  <c r="AZ802" i="94"/>
  <c r="AH801" i="94"/>
  <c r="AM801" i="94"/>
  <c r="W801" i="94"/>
  <c r="AB801" i="94"/>
  <c r="AL801" i="94"/>
  <c r="AV801" i="94"/>
  <c r="BH801" i="94"/>
  <c r="Z801" i="94"/>
  <c r="AW801" i="94"/>
  <c r="AC801" i="94"/>
  <c r="BG801" i="94"/>
  <c r="AD801" i="94"/>
  <c r="BC801" i="94"/>
  <c r="AF801" i="94"/>
  <c r="AK801" i="94"/>
  <c r="AP801" i="94"/>
  <c r="AU801" i="94"/>
  <c r="X801" i="94"/>
  <c r="AR801" i="94"/>
  <c r="BB801" i="94"/>
  <c r="AI801" i="94"/>
  <c r="AE801" i="94"/>
  <c r="AJ801" i="94"/>
  <c r="BI801" i="94"/>
  <c r="EC798" i="94"/>
  <c r="AG798" i="94"/>
  <c r="AQ798" i="94"/>
  <c r="AN798" i="94"/>
  <c r="AS798" i="94"/>
  <c r="AX798" i="94"/>
  <c r="BC798" i="94"/>
  <c r="BG798" i="94"/>
  <c r="AD798" i="94"/>
  <c r="AR798" i="94"/>
  <c r="AW798" i="94"/>
  <c r="BD798" i="94"/>
  <c r="BI798" i="94"/>
  <c r="EF798" i="94"/>
  <c r="AA798" i="94"/>
  <c r="Y798" i="94"/>
  <c r="EE798" i="94"/>
  <c r="AT798" i="94"/>
  <c r="AU798" i="94"/>
  <c r="AH797" i="94"/>
  <c r="AM797" i="94"/>
  <c r="W797" i="94"/>
  <c r="AL797" i="94"/>
  <c r="AB797" i="94"/>
  <c r="BH797" i="94"/>
  <c r="Z797" i="94"/>
  <c r="AV797" i="94"/>
  <c r="AC797" i="94"/>
  <c r="BB797" i="94"/>
  <c r="Y797" i="94"/>
  <c r="AI797" i="94"/>
  <c r="AN797" i="94"/>
  <c r="AF797" i="94"/>
  <c r="AK797" i="94"/>
  <c r="AP797" i="94"/>
  <c r="AU797" i="94"/>
  <c r="BG797" i="94"/>
  <c r="AS797" i="94"/>
  <c r="AX797" i="94"/>
  <c r="BC797" i="94"/>
  <c r="AO797" i="94"/>
  <c r="AZ797" i="94"/>
  <c r="BF794" i="94"/>
  <c r="AR794" i="94"/>
  <c r="AN794" i="94"/>
  <c r="AS794" i="94"/>
  <c r="AX794" i="94"/>
  <c r="BC794" i="94"/>
  <c r="EC794" i="94"/>
  <c r="X794" i="94"/>
  <c r="AW794" i="94"/>
  <c r="AI794" i="94"/>
  <c r="AG794" i="94"/>
  <c r="AQ794" i="94"/>
  <c r="BA794" i="94"/>
  <c r="AH794" i="94"/>
  <c r="BB794" i="94"/>
  <c r="Y794" i="94"/>
  <c r="EE794" i="94"/>
  <c r="BD794" i="94"/>
  <c r="BI794" i="94"/>
  <c r="EF794" i="94"/>
  <c r="AA794" i="94"/>
  <c r="AD794" i="94"/>
  <c r="AY794" i="94"/>
  <c r="AF794" i="94"/>
  <c r="AH793" i="94"/>
  <c r="AM793" i="94"/>
  <c r="W793" i="94"/>
  <c r="AG793" i="94"/>
  <c r="X793" i="94"/>
  <c r="BH793" i="94"/>
  <c r="Z793" i="94"/>
  <c r="AE793" i="94"/>
  <c r="BG793" i="94"/>
  <c r="AD793" i="94"/>
  <c r="AS793" i="94"/>
  <c r="AF793" i="94"/>
  <c r="AK793" i="94"/>
  <c r="AP793" i="94"/>
  <c r="AU793" i="94"/>
  <c r="AW793" i="94"/>
  <c r="AN793" i="94"/>
  <c r="AT793" i="94"/>
  <c r="AA793" i="94"/>
  <c r="EC790" i="94"/>
  <c r="AW790" i="94"/>
  <c r="AN790" i="94"/>
  <c r="AS790" i="94"/>
  <c r="AX790" i="94"/>
  <c r="BC790" i="94"/>
  <c r="AH790" i="94"/>
  <c r="X790" i="94"/>
  <c r="BG790" i="94"/>
  <c r="AD790" i="94"/>
  <c r="Z790" i="94"/>
  <c r="BD790" i="94"/>
  <c r="BI790" i="94"/>
  <c r="EF790" i="94"/>
  <c r="AA790" i="94"/>
  <c r="AL790" i="94"/>
  <c r="AM790" i="94"/>
  <c r="BB790" i="94"/>
  <c r="ED790" i="94"/>
  <c r="AI790" i="94"/>
  <c r="AJ790" i="94"/>
  <c r="AK790" i="94"/>
  <c r="AG789" i="94"/>
  <c r="AQ789" i="94"/>
  <c r="BA789" i="94"/>
  <c r="AH789" i="94"/>
  <c r="AM789" i="94"/>
  <c r="W789" i="94"/>
  <c r="AC789" i="94"/>
  <c r="X789" i="94"/>
  <c r="AR789" i="94"/>
  <c r="BH789" i="94"/>
  <c r="Z789" i="94"/>
  <c r="AE789" i="94"/>
  <c r="AI789" i="94"/>
  <c r="AN789" i="94"/>
  <c r="BB789" i="94"/>
  <c r="Y789" i="94"/>
  <c r="AX789" i="94"/>
  <c r="AF789" i="94"/>
  <c r="AK789" i="94"/>
  <c r="AP789" i="94"/>
  <c r="AU789" i="94"/>
  <c r="BC789" i="94"/>
  <c r="AY789" i="94"/>
  <c r="BD789" i="94"/>
  <c r="EC786" i="94"/>
  <c r="AN786" i="94"/>
  <c r="AS786" i="94"/>
  <c r="AX786" i="94"/>
  <c r="BC786" i="94"/>
  <c r="AC786" i="94"/>
  <c r="BB786" i="94"/>
  <c r="Y786" i="94"/>
  <c r="AL786" i="94"/>
  <c r="AV786" i="94"/>
  <c r="AM786" i="94"/>
  <c r="AI786" i="94"/>
  <c r="BH786" i="94"/>
  <c r="AE786" i="94"/>
  <c r="BD786" i="94"/>
  <c r="BI786" i="94"/>
  <c r="EF786" i="94"/>
  <c r="AA786" i="94"/>
  <c r="AR786" i="94"/>
  <c r="BG786" i="94"/>
  <c r="AO786" i="94"/>
  <c r="AP786" i="94"/>
  <c r="AZ786" i="94"/>
  <c r="W785" i="94"/>
  <c r="AW785" i="94"/>
  <c r="BH785" i="94"/>
  <c r="Z785" i="94"/>
  <c r="AE785" i="94"/>
  <c r="X785" i="94"/>
  <c r="AR785" i="94"/>
  <c r="BG785" i="94"/>
  <c r="AD785" i="94"/>
  <c r="BC785" i="94"/>
  <c r="AF785" i="94"/>
  <c r="AK785" i="94"/>
  <c r="AP785" i="94"/>
  <c r="AU785" i="94"/>
  <c r="AC785" i="94"/>
  <c r="AJ785" i="94"/>
  <c r="BI785" i="94"/>
  <c r="W782" i="94"/>
  <c r="AR782" i="94"/>
  <c r="BB782" i="94"/>
  <c r="BG782" i="94"/>
  <c r="ED782" i="94"/>
  <c r="AG782" i="94"/>
  <c r="AQ782" i="94"/>
  <c r="AI782" i="94"/>
  <c r="BF782" i="94"/>
  <c r="EC782" i="94"/>
  <c r="Y782" i="94"/>
  <c r="AX782" i="94"/>
  <c r="EE782" i="94"/>
  <c r="Z782" i="94"/>
  <c r="AJ782" i="94"/>
  <c r="BE782" i="94"/>
  <c r="BJ782" i="94"/>
  <c r="EG782" i="94"/>
  <c r="X782" i="94"/>
  <c r="AD782" i="94"/>
  <c r="AS782" i="94"/>
  <c r="AY782" i="94"/>
  <c r="AF782" i="94"/>
  <c r="AK782" i="94"/>
  <c r="W781" i="94"/>
  <c r="AL781" i="94"/>
  <c r="X781" i="94"/>
  <c r="AC781" i="94"/>
  <c r="AV781" i="94"/>
  <c r="Y781" i="94"/>
  <c r="AD781" i="94"/>
  <c r="AI781" i="94"/>
  <c r="AN781" i="94"/>
  <c r="AM781" i="94"/>
  <c r="AB781" i="94"/>
  <c r="AH781" i="94"/>
  <c r="AW781" i="94"/>
  <c r="BB781" i="94"/>
  <c r="AS781" i="94"/>
  <c r="AO781" i="94"/>
  <c r="AT781" i="94"/>
  <c r="AY781" i="94"/>
  <c r="BD781" i="94"/>
  <c r="AX781" i="94"/>
  <c r="BC781" i="94"/>
  <c r="BH781" i="94"/>
  <c r="AA781" i="94"/>
  <c r="AZ781" i="94"/>
  <c r="AG778" i="94"/>
  <c r="AQ778" i="94"/>
  <c r="BA778" i="94"/>
  <c r="BF778" i="94"/>
  <c r="AM778" i="94"/>
  <c r="BB778" i="94"/>
  <c r="BG778" i="94"/>
  <c r="ED778" i="94"/>
  <c r="AN778" i="94"/>
  <c r="X778" i="94"/>
  <c r="AD778" i="94"/>
  <c r="BC778" i="94"/>
  <c r="EE778" i="94"/>
  <c r="AE778" i="94"/>
  <c r="AJ778" i="94"/>
  <c r="BE778" i="94"/>
  <c r="BJ778" i="94"/>
  <c r="EG778" i="94"/>
  <c r="AI778" i="94"/>
  <c r="BD778" i="94"/>
  <c r="BI778" i="94"/>
  <c r="AP778" i="94"/>
  <c r="AG777" i="94"/>
  <c r="AQ777" i="94"/>
  <c r="BA777" i="94"/>
  <c r="W777" i="94"/>
  <c r="AH777" i="94"/>
  <c r="AR777" i="94"/>
  <c r="AW777" i="94"/>
  <c r="Y777" i="94"/>
  <c r="AD777" i="94"/>
  <c r="AI777" i="94"/>
  <c r="AN777" i="94"/>
  <c r="BG777" i="94"/>
  <c r="AX777" i="94"/>
  <c r="Z777" i="94"/>
  <c r="AO777" i="94"/>
  <c r="AT777" i="94"/>
  <c r="AY777" i="94"/>
  <c r="BD777" i="94"/>
  <c r="BB777" i="94"/>
  <c r="AF777" i="94"/>
  <c r="AK777" i="94"/>
  <c r="BB774" i="94"/>
  <c r="BG774" i="94"/>
  <c r="ED774" i="94"/>
  <c r="EC774" i="94"/>
  <c r="X774" i="94"/>
  <c r="Y774" i="94"/>
  <c r="AI774" i="94"/>
  <c r="BH774" i="94"/>
  <c r="EE774" i="94"/>
  <c r="AJ774" i="94"/>
  <c r="BE774" i="94"/>
  <c r="BJ774" i="94"/>
  <c r="EG774" i="94"/>
  <c r="EG810" i="94" s="1"/>
  <c r="N828" i="94" s="1"/>
  <c r="AN774" i="94"/>
  <c r="AS774" i="94"/>
  <c r="AX774" i="94"/>
  <c r="BC774" i="94"/>
  <c r="AO774" i="94"/>
  <c r="EF774" i="94"/>
  <c r="AU774" i="94"/>
  <c r="W773" i="94"/>
  <c r="AG773" i="94"/>
  <c r="X773" i="94"/>
  <c r="Y773" i="94"/>
  <c r="AD773" i="94"/>
  <c r="AI773" i="94"/>
  <c r="AN773" i="94"/>
  <c r="AR773" i="94"/>
  <c r="BB773" i="94"/>
  <c r="AH773" i="94"/>
  <c r="BC773" i="94"/>
  <c r="AE773" i="94"/>
  <c r="AO773" i="94"/>
  <c r="AT773" i="94"/>
  <c r="AY773" i="94"/>
  <c r="BD773" i="94"/>
  <c r="BA773" i="94"/>
  <c r="BG773" i="94"/>
  <c r="BH773" i="94"/>
  <c r="Z773" i="94"/>
  <c r="AJ773" i="94"/>
  <c r="BI773" i="94"/>
  <c r="AP773" i="94"/>
  <c r="F810" i="94"/>
  <c r="L1700" i="94"/>
  <c r="L1203" i="94"/>
  <c r="L1215" i="94"/>
  <c r="E1661" i="94"/>
  <c r="P1719" i="94"/>
  <c r="P1837" i="94"/>
  <c r="M1947" i="94"/>
  <c r="Q1929" i="94"/>
  <c r="K1969" i="94"/>
  <c r="L2034" i="94"/>
  <c r="EG794" i="94"/>
  <c r="EG776" i="94"/>
  <c r="BJ809" i="94"/>
  <c r="BJ798" i="94"/>
  <c r="BJ793" i="94"/>
  <c r="BJ787" i="94"/>
  <c r="BJ780" i="94"/>
  <c r="BJ775" i="94"/>
  <c r="BE807" i="94"/>
  <c r="BE802" i="94"/>
  <c r="BE797" i="94"/>
  <c r="BE791" i="94"/>
  <c r="BE786" i="94"/>
  <c r="BE777" i="94"/>
  <c r="AZ809" i="94"/>
  <c r="AZ801" i="94"/>
  <c r="AZ794" i="94"/>
  <c r="AZ787" i="94"/>
  <c r="AZ780" i="94"/>
  <c r="AZ773" i="94"/>
  <c r="AU804" i="94"/>
  <c r="AU796" i="94"/>
  <c r="AU790" i="94"/>
  <c r="AU781" i="94"/>
  <c r="AU773" i="94"/>
  <c r="AP804" i="94"/>
  <c r="AP798" i="94"/>
  <c r="AP790" i="94"/>
  <c r="AP781" i="94"/>
  <c r="AP774" i="94"/>
  <c r="AK804" i="94"/>
  <c r="AK798" i="94"/>
  <c r="AK791" i="94"/>
  <c r="AK781" i="94"/>
  <c r="AK774" i="94"/>
  <c r="AF806" i="94"/>
  <c r="AF798" i="94"/>
  <c r="AF791" i="94"/>
  <c r="AF775" i="94"/>
  <c r="AA807" i="94"/>
  <c r="AA800" i="94"/>
  <c r="AA792" i="94"/>
  <c r="AA785" i="94"/>
  <c r="AA777" i="94"/>
  <c r="EF796" i="94"/>
  <c r="EF782" i="94"/>
  <c r="BI808" i="94"/>
  <c r="BI800" i="94"/>
  <c r="BI793" i="94"/>
  <c r="BI787" i="94"/>
  <c r="BI777" i="94"/>
  <c r="BD808" i="94"/>
  <c r="BD801" i="94"/>
  <c r="BD793" i="94"/>
  <c r="BD787" i="94"/>
  <c r="BD780" i="94"/>
  <c r="BD774" i="94"/>
  <c r="AY804" i="94"/>
  <c r="AY797" i="94"/>
  <c r="AY790" i="94"/>
  <c r="AY774" i="94"/>
  <c r="AT805" i="94"/>
  <c r="AT797" i="94"/>
  <c r="AT790" i="94"/>
  <c r="AT782" i="94"/>
  <c r="AT774" i="94"/>
  <c r="AO805" i="94"/>
  <c r="AO798" i="94"/>
  <c r="AO790" i="94"/>
  <c r="AO782" i="94"/>
  <c r="AJ805" i="94"/>
  <c r="AJ798" i="94"/>
  <c r="AJ792" i="94"/>
  <c r="AJ776" i="94"/>
  <c r="AE807" i="94"/>
  <c r="AE799" i="94"/>
  <c r="AE792" i="94"/>
  <c r="AE781" i="94"/>
  <c r="Z808" i="94"/>
  <c r="Z799" i="94"/>
  <c r="Z791" i="94"/>
  <c r="Z778" i="94"/>
  <c r="EE800" i="94"/>
  <c r="EE792" i="94"/>
  <c r="EE786" i="94"/>
  <c r="BH800" i="94"/>
  <c r="BH792" i="94"/>
  <c r="BH782" i="94"/>
  <c r="BC809" i="94"/>
  <c r="BC800" i="94"/>
  <c r="BC792" i="94"/>
  <c r="BC779" i="94"/>
  <c r="AX788" i="94"/>
  <c r="AX778" i="94"/>
  <c r="AS807" i="94"/>
  <c r="AS796" i="94"/>
  <c r="AS777" i="94"/>
  <c r="AN801" i="94"/>
  <c r="AN788" i="94"/>
  <c r="AN779" i="94"/>
  <c r="AI804" i="94"/>
  <c r="AI772" i="94"/>
  <c r="AD797" i="94"/>
  <c r="Y804" i="94"/>
  <c r="Y790" i="94"/>
  <c r="BG805" i="94"/>
  <c r="BG776" i="94"/>
  <c r="BB798" i="94"/>
  <c r="BB785" i="94"/>
  <c r="AW807" i="94"/>
  <c r="AW789" i="94"/>
  <c r="AR790" i="94"/>
  <c r="AM804" i="94"/>
  <c r="AM777" i="94"/>
  <c r="AC798" i="94"/>
  <c r="AC773" i="94"/>
  <c r="X786" i="94"/>
  <c r="EC778" i="94"/>
  <c r="AV776" i="94"/>
  <c r="AB790" i="94"/>
  <c r="EG798" i="94"/>
  <c r="BJ802" i="94"/>
  <c r="BJ797" i="94"/>
  <c r="BJ786" i="94"/>
  <c r="BJ773" i="94"/>
  <c r="BE806" i="94"/>
  <c r="BE801" i="94"/>
  <c r="BE790" i="94"/>
  <c r="BE785" i="94"/>
  <c r="AZ806" i="94"/>
  <c r="AZ793" i="94"/>
  <c r="AZ785" i="94"/>
  <c r="AZ778" i="94"/>
  <c r="AU802" i="94"/>
  <c r="AU778" i="94"/>
  <c r="AK773" i="94"/>
  <c r="AF790" i="94"/>
  <c r="AF781" i="94"/>
  <c r="AF774" i="94"/>
  <c r="AA805" i="94"/>
  <c r="AA797" i="94"/>
  <c r="AA782" i="94"/>
  <c r="AA774" i="94"/>
  <c r="BI805" i="94"/>
  <c r="BI782" i="94"/>
  <c r="BD785" i="94"/>
  <c r="AY809" i="94"/>
  <c r="AY802" i="94"/>
  <c r="AT802" i="94"/>
  <c r="AT789" i="94"/>
  <c r="AO789" i="94"/>
  <c r="AJ797" i="94"/>
  <c r="AJ789" i="94"/>
  <c r="AJ781" i="94"/>
  <c r="AE805" i="94"/>
  <c r="AE798" i="94"/>
  <c r="AE790" i="94"/>
  <c r="AE777" i="94"/>
  <c r="Z798" i="94"/>
  <c r="EE806" i="94"/>
  <c r="BH790" i="94"/>
  <c r="BH778" i="94"/>
  <c r="BC777" i="94"/>
  <c r="AS785" i="94"/>
  <c r="AS773" i="94"/>
  <c r="AN785" i="94"/>
  <c r="AI798" i="94"/>
  <c r="AI785" i="94"/>
  <c r="Y801" i="94"/>
  <c r="Y785" i="94"/>
  <c r="ED802" i="94"/>
  <c r="BG802" i="94"/>
  <c r="BG789" i="94"/>
  <c r="BB809" i="94"/>
  <c r="AW802" i="94"/>
  <c r="AW786" i="94"/>
  <c r="AR781" i="94"/>
  <c r="AM773" i="94"/>
  <c r="AC793" i="94"/>
  <c r="X806" i="94"/>
  <c r="X777" i="94"/>
  <c r="BA793" i="94"/>
  <c r="AQ793" i="94"/>
  <c r="EC808" i="94"/>
  <c r="AH808" i="94"/>
  <c r="Y808" i="94"/>
  <c r="EG808" i="94"/>
  <c r="AO808" i="94"/>
  <c r="EF808" i="94"/>
  <c r="AU808" i="94"/>
  <c r="W807" i="94"/>
  <c r="BF807" i="94"/>
  <c r="AH807" i="94"/>
  <c r="Y807" i="94"/>
  <c r="AD807" i="94"/>
  <c r="AI807" i="94"/>
  <c r="BA807" i="94"/>
  <c r="BB807" i="94"/>
  <c r="X807" i="94"/>
  <c r="BC807" i="94"/>
  <c r="BH807" i="94"/>
  <c r="AJ807" i="94"/>
  <c r="AO807" i="94"/>
  <c r="AT807" i="94"/>
  <c r="AY807" i="94"/>
  <c r="AM807" i="94"/>
  <c r="BG807" i="94"/>
  <c r="BI807" i="94"/>
  <c r="AP807" i="94"/>
  <c r="AZ807" i="94"/>
  <c r="EC804" i="94"/>
  <c r="AD804" i="94"/>
  <c r="EE804" i="94"/>
  <c r="EG804" i="94"/>
  <c r="AN804" i="94"/>
  <c r="AX804" i="94"/>
  <c r="BC804" i="94"/>
  <c r="AT804" i="94"/>
  <c r="AA804" i="94"/>
  <c r="AF804" i="94"/>
  <c r="W803" i="94"/>
  <c r="X803" i="94"/>
  <c r="AM803" i="94"/>
  <c r="BA803" i="94"/>
  <c r="AH803" i="94"/>
  <c r="Y803" i="94"/>
  <c r="AD803" i="94"/>
  <c r="AI803" i="94"/>
  <c r="BG803" i="94"/>
  <c r="AW803" i="94"/>
  <c r="AN803" i="94"/>
  <c r="AJ803" i="94"/>
  <c r="AO803" i="94"/>
  <c r="AT803" i="94"/>
  <c r="AY803" i="94"/>
  <c r="AC803" i="94"/>
  <c r="BH803" i="94"/>
  <c r="Z803" i="94"/>
  <c r="AU803" i="94"/>
  <c r="AM800" i="94"/>
  <c r="AI800" i="94"/>
  <c r="AN800" i="94"/>
  <c r="EG800" i="94"/>
  <c r="ED800" i="94"/>
  <c r="AY800" i="94"/>
  <c r="BD800" i="94"/>
  <c r="AK800" i="94"/>
  <c r="W799" i="94"/>
  <c r="AC799" i="94"/>
  <c r="AR799" i="94"/>
  <c r="Y799" i="94"/>
  <c r="AD799" i="94"/>
  <c r="AI799" i="94"/>
  <c r="AH799" i="94"/>
  <c r="X799" i="94"/>
  <c r="BB799" i="94"/>
  <c r="AS799" i="94"/>
  <c r="AJ799" i="94"/>
  <c r="AO799" i="94"/>
  <c r="AT799" i="94"/>
  <c r="AY799" i="94"/>
  <c r="AA799" i="94"/>
  <c r="AF799" i="94"/>
  <c r="EC796" i="94"/>
  <c r="EG796" i="94"/>
  <c r="Z796" i="94"/>
  <c r="AJ796" i="94"/>
  <c r="BI796" i="94"/>
  <c r="AP796" i="94"/>
  <c r="W795" i="94"/>
  <c r="BF795" i="94"/>
  <c r="X795" i="94"/>
  <c r="AC795" i="94"/>
  <c r="AH795" i="94"/>
  <c r="AM795" i="94"/>
  <c r="AW795" i="94"/>
  <c r="Y795" i="94"/>
  <c r="AD795" i="94"/>
  <c r="AI795" i="94"/>
  <c r="AR795" i="94"/>
  <c r="AN795" i="94"/>
  <c r="BG795" i="94"/>
  <c r="AX795" i="94"/>
  <c r="Z795" i="94"/>
  <c r="AJ795" i="94"/>
  <c r="AO795" i="94"/>
  <c r="AT795" i="94"/>
  <c r="AY795" i="94"/>
  <c r="BH795" i="94"/>
  <c r="AE795" i="94"/>
  <c r="BD795" i="94"/>
  <c r="AK795" i="94"/>
  <c r="AB792" i="94"/>
  <c r="AL792" i="94"/>
  <c r="Y792" i="94"/>
  <c r="EG792" i="94"/>
  <c r="AO792" i="94"/>
  <c r="EF792" i="94"/>
  <c r="AU792" i="94"/>
  <c r="W791" i="94"/>
  <c r="AH791" i="94"/>
  <c r="Y791" i="94"/>
  <c r="AD791" i="94"/>
  <c r="AI791" i="94"/>
  <c r="BF791" i="94"/>
  <c r="AM791" i="94"/>
  <c r="BB791" i="94"/>
  <c r="AC791" i="94"/>
  <c r="AR791" i="94"/>
  <c r="AW791" i="94"/>
  <c r="BC791" i="94"/>
  <c r="BH791" i="94"/>
  <c r="AE791" i="94"/>
  <c r="AJ791" i="94"/>
  <c r="AO791" i="94"/>
  <c r="AT791" i="94"/>
  <c r="AY791" i="94"/>
  <c r="AS791" i="94"/>
  <c r="AX791" i="94"/>
  <c r="BI791" i="94"/>
  <c r="AP791" i="94"/>
  <c r="AZ791" i="94"/>
  <c r="BA788" i="94"/>
  <c r="AD788" i="94"/>
  <c r="EE788" i="94"/>
  <c r="EG788" i="94"/>
  <c r="Y788" i="94"/>
  <c r="BH788" i="94"/>
  <c r="Z788" i="94"/>
  <c r="AE788" i="94"/>
  <c r="AT788" i="94"/>
  <c r="AA788" i="94"/>
  <c r="AF788" i="94"/>
  <c r="W787" i="94"/>
  <c r="X787" i="94"/>
  <c r="AM787" i="94"/>
  <c r="AC787" i="94"/>
  <c r="Y787" i="94"/>
  <c r="AD787" i="94"/>
  <c r="AI787" i="94"/>
  <c r="AR787" i="94"/>
  <c r="AW787" i="94"/>
  <c r="BG787" i="94"/>
  <c r="AN787" i="94"/>
  <c r="AJ787" i="94"/>
  <c r="AO787" i="94"/>
  <c r="AT787" i="94"/>
  <c r="AY787" i="94"/>
  <c r="BF787" i="94"/>
  <c r="AH787" i="94"/>
  <c r="AU787" i="94"/>
  <c r="AR780" i="94"/>
  <c r="BG780" i="94"/>
  <c r="AD780" i="94"/>
  <c r="EF780" i="94"/>
  <c r="Z780" i="94"/>
  <c r="AE780" i="94"/>
  <c r="AT780" i="94"/>
  <c r="AU780" i="94"/>
  <c r="BE780" i="94"/>
  <c r="BF779" i="94"/>
  <c r="X779" i="94"/>
  <c r="AM779" i="94"/>
  <c r="AR779" i="94"/>
  <c r="W779" i="94"/>
  <c r="AC779" i="94"/>
  <c r="AH779" i="94"/>
  <c r="Z779" i="94"/>
  <c r="AE779" i="94"/>
  <c r="AW779" i="94"/>
  <c r="BB779" i="94"/>
  <c r="Y779" i="94"/>
  <c r="AI779" i="94"/>
  <c r="BH779" i="94"/>
  <c r="AK779" i="94"/>
  <c r="AP779" i="94"/>
  <c r="AU779" i="94"/>
  <c r="AZ779" i="94"/>
  <c r="AJ779" i="94"/>
  <c r="AO779" i="94"/>
  <c r="AH776" i="94"/>
  <c r="ED776" i="94"/>
  <c r="AI776" i="94"/>
  <c r="EF776" i="94"/>
  <c r="AW776" i="94"/>
  <c r="AY776" i="94"/>
  <c r="AZ776" i="94"/>
  <c r="X775" i="94"/>
  <c r="AM775" i="94"/>
  <c r="AR775" i="94"/>
  <c r="W775" i="94"/>
  <c r="Z775" i="94"/>
  <c r="AE775" i="94"/>
  <c r="AC775" i="94"/>
  <c r="BG775" i="94"/>
  <c r="AD775" i="94"/>
  <c r="AW775" i="94"/>
  <c r="AN775" i="94"/>
  <c r="AS775" i="94"/>
  <c r="AK775" i="94"/>
  <c r="AP775" i="94"/>
  <c r="AU775" i="94"/>
  <c r="AZ775" i="94"/>
  <c r="Y775" i="94"/>
  <c r="AT775" i="94"/>
  <c r="AA775" i="94"/>
  <c r="BE775" i="94"/>
  <c r="AN772" i="94"/>
  <c r="EF772" i="94"/>
  <c r="AG772" i="94"/>
  <c r="EE772" i="94"/>
  <c r="AE772" i="94"/>
  <c r="BD772" i="94"/>
  <c r="AK772" i="94"/>
  <c r="S468" i="94"/>
  <c r="S478" i="94"/>
  <c r="G563" i="94"/>
  <c r="GG774" i="94"/>
  <c r="GK774" i="94"/>
  <c r="GO774" i="94"/>
  <c r="GS774" i="94"/>
  <c r="GW774" i="94"/>
  <c r="HA774" i="94"/>
  <c r="HE774" i="94"/>
  <c r="HI774" i="94"/>
  <c r="HM774" i="94"/>
  <c r="HQ774" i="94"/>
  <c r="HU774" i="94"/>
  <c r="LQ774" i="94"/>
  <c r="LU774" i="94"/>
  <c r="LY774" i="94"/>
  <c r="BL777" i="94"/>
  <c r="BP777" i="94"/>
  <c r="BT777" i="94"/>
  <c r="BX777" i="94"/>
  <c r="CB777" i="94"/>
  <c r="CF777" i="94"/>
  <c r="CJ777" i="94"/>
  <c r="CN777" i="94"/>
  <c r="CR777" i="94"/>
  <c r="CV777" i="94"/>
  <c r="CZ777" i="94"/>
  <c r="DD777" i="94"/>
  <c r="DH777" i="94"/>
  <c r="DL777" i="94"/>
  <c r="DP777" i="94"/>
  <c r="DT777" i="94"/>
  <c r="DX777" i="94"/>
  <c r="EB777" i="94"/>
  <c r="HZ777" i="94"/>
  <c r="ID777" i="94"/>
  <c r="IH777" i="94"/>
  <c r="IL777" i="94"/>
  <c r="IP777" i="94"/>
  <c r="IT777" i="94"/>
  <c r="IX777" i="94"/>
  <c r="JB777" i="94"/>
  <c r="JF777" i="94"/>
  <c r="JJ777" i="94"/>
  <c r="JJ810" i="94" s="1"/>
  <c r="L888" i="94" s="1"/>
  <c r="JN777" i="94"/>
  <c r="JR777" i="94"/>
  <c r="JV777" i="94"/>
  <c r="JZ777" i="94"/>
  <c r="KD777" i="94"/>
  <c r="KH777" i="94"/>
  <c r="KL777" i="94"/>
  <c r="KP777" i="94"/>
  <c r="KP810" i="94" s="1"/>
  <c r="N882" i="94" s="1"/>
  <c r="N901" i="94" s="1"/>
  <c r="KT777" i="94"/>
  <c r="KX777" i="94"/>
  <c r="BM779" i="94"/>
  <c r="BQ779" i="94"/>
  <c r="BU779" i="94"/>
  <c r="BY779" i="94"/>
  <c r="CC779" i="94"/>
  <c r="CG779" i="94"/>
  <c r="CK779" i="94"/>
  <c r="CO779" i="94"/>
  <c r="CS779" i="94"/>
  <c r="CW779" i="94"/>
  <c r="DA779" i="94"/>
  <c r="DE779" i="94"/>
  <c r="DI779" i="94"/>
  <c r="DM779" i="94"/>
  <c r="DQ779" i="94"/>
  <c r="DU779" i="94"/>
  <c r="DY779" i="94"/>
  <c r="FV779" i="94"/>
  <c r="IA779" i="94"/>
  <c r="IQ779" i="94"/>
  <c r="JW779" i="94"/>
  <c r="IL781" i="94"/>
  <c r="JR781" i="94"/>
  <c r="BX785" i="94"/>
  <c r="CN785" i="94"/>
  <c r="DD785" i="94"/>
  <c r="DT785" i="94"/>
  <c r="BM787" i="94"/>
  <c r="CC787" i="94"/>
  <c r="CS787" i="94"/>
  <c r="DI787" i="94"/>
  <c r="DY787" i="94"/>
  <c r="HY787" i="94"/>
  <c r="MS775" i="94"/>
  <c r="D13" i="74"/>
  <c r="H28" i="74"/>
  <c r="P1734" i="94"/>
  <c r="P1954" i="94"/>
  <c r="EG802" i="94"/>
  <c r="EG786" i="94"/>
  <c r="BJ806" i="94"/>
  <c r="BJ801" i="94"/>
  <c r="BJ795" i="94"/>
  <c r="BJ790" i="94"/>
  <c r="BJ785" i="94"/>
  <c r="BJ777" i="94"/>
  <c r="BJ772" i="94"/>
  <c r="BE805" i="94"/>
  <c r="BE799" i="94"/>
  <c r="BE794" i="94"/>
  <c r="BE789" i="94"/>
  <c r="BE781" i="94"/>
  <c r="BE773" i="94"/>
  <c r="AZ805" i="94"/>
  <c r="AZ798" i="94"/>
  <c r="AZ790" i="94"/>
  <c r="AZ777" i="94"/>
  <c r="AU807" i="94"/>
  <c r="AU800" i="94"/>
  <c r="AU794" i="94"/>
  <c r="AU786" i="94"/>
  <c r="AU777" i="94"/>
  <c r="AP808" i="94"/>
  <c r="AP800" i="94"/>
  <c r="AP794" i="94"/>
  <c r="AP787" i="94"/>
  <c r="AP777" i="94"/>
  <c r="AK808" i="94"/>
  <c r="AK802" i="94"/>
  <c r="AK794" i="94"/>
  <c r="AK787" i="94"/>
  <c r="AK778" i="94"/>
  <c r="AF808" i="94"/>
  <c r="AF802" i="94"/>
  <c r="AF795" i="94"/>
  <c r="AF787" i="94"/>
  <c r="AF779" i="94"/>
  <c r="AF773" i="94"/>
  <c r="AA803" i="94"/>
  <c r="AA796" i="94"/>
  <c r="AA789" i="94"/>
  <c r="AA779" i="94"/>
  <c r="AA773" i="94"/>
  <c r="EF804" i="94"/>
  <c r="BI804" i="94"/>
  <c r="BI797" i="94"/>
  <c r="BI789" i="94"/>
  <c r="BI781" i="94"/>
  <c r="BI774" i="94"/>
  <c r="BD804" i="94"/>
  <c r="BD797" i="94"/>
  <c r="BD791" i="94"/>
  <c r="BD776" i="94"/>
  <c r="AY808" i="94"/>
  <c r="AY801" i="94"/>
  <c r="AY793" i="94"/>
  <c r="AY786" i="94"/>
  <c r="AY778" i="94"/>
  <c r="AT808" i="94"/>
  <c r="AT801" i="94"/>
  <c r="AT794" i="94"/>
  <c r="AT786" i="94"/>
  <c r="AT778" i="94"/>
  <c r="AO809" i="94"/>
  <c r="AO801" i="94"/>
  <c r="AO794" i="94"/>
  <c r="AO788" i="94"/>
  <c r="AO778" i="94"/>
  <c r="AJ809" i="94"/>
  <c r="AJ802" i="94"/>
  <c r="AJ794" i="94"/>
  <c r="AJ788" i="94"/>
  <c r="AJ780" i="94"/>
  <c r="AJ772" i="94"/>
  <c r="AE803" i="94"/>
  <c r="AE797" i="94"/>
  <c r="AE787" i="94"/>
  <c r="AE776" i="94"/>
  <c r="AE810" i="94" s="1"/>
  <c r="M819" i="94" s="1"/>
  <c r="Z804" i="94"/>
  <c r="Z794" i="94"/>
  <c r="Z786" i="94"/>
  <c r="Z774" i="94"/>
  <c r="Z810" i="94" s="1"/>
  <c r="M818" i="94" s="1"/>
  <c r="EE796" i="94"/>
  <c r="EE790" i="94"/>
  <c r="EE776" i="94"/>
  <c r="BH806" i="94"/>
  <c r="BH798" i="94"/>
  <c r="BH787" i="94"/>
  <c r="BH777" i="94"/>
  <c r="BC805" i="94"/>
  <c r="BC795" i="94"/>
  <c r="BC787" i="94"/>
  <c r="BC775" i="94"/>
  <c r="AX803" i="94"/>
  <c r="AX793" i="94"/>
  <c r="AX785" i="94"/>
  <c r="AX773" i="94"/>
  <c r="AS801" i="94"/>
  <c r="AS792" i="94"/>
  <c r="AS779" i="94"/>
  <c r="AN809" i="94"/>
  <c r="AN796" i="94"/>
  <c r="AI809" i="94"/>
  <c r="AI796" i="94"/>
  <c r="AI780" i="94"/>
  <c r="AD802" i="94"/>
  <c r="AD789" i="94"/>
  <c r="AD774" i="94"/>
  <c r="Y796" i="94"/>
  <c r="Y780" i="94"/>
  <c r="ED794" i="94"/>
  <c r="BG799" i="94"/>
  <c r="BG781" i="94"/>
  <c r="BB806" i="94"/>
  <c r="BB793" i="94"/>
  <c r="BB775" i="94"/>
  <c r="AW799" i="94"/>
  <c r="AW780" i="94"/>
  <c r="AR797" i="94"/>
  <c r="AR778" i="94"/>
  <c r="AM794" i="94"/>
  <c r="AH800" i="94"/>
  <c r="AH775" i="94"/>
  <c r="AC790" i="94"/>
  <c r="X797" i="94"/>
  <c r="X772" i="94"/>
  <c r="BF799" i="94"/>
  <c r="AV802" i="94"/>
  <c r="AQ773" i="94"/>
  <c r="AG788" i="94"/>
  <c r="AB808" i="94"/>
  <c r="AH804" i="94"/>
  <c r="Y800" i="94"/>
  <c r="AM796" i="94"/>
  <c r="AI792" i="94"/>
  <c r="AS788" i="94"/>
  <c r="AC780" i="94"/>
  <c r="AM776" i="94"/>
  <c r="BA772" i="94"/>
  <c r="BJ808" i="94"/>
  <c r="BJ804" i="94"/>
  <c r="BJ800" i="94"/>
  <c r="BJ796" i="94"/>
  <c r="BJ792" i="94"/>
  <c r="BJ788" i="94"/>
  <c r="BE808" i="94"/>
  <c r="BE804" i="94"/>
  <c r="BE800" i="94"/>
  <c r="BE796" i="94"/>
  <c r="BE792" i="94"/>
  <c r="BE788" i="94"/>
  <c r="AZ808" i="94"/>
  <c r="AZ804" i="94"/>
  <c r="AZ800" i="94"/>
  <c r="AZ796" i="94"/>
  <c r="AZ792" i="94"/>
  <c r="AZ788" i="94"/>
  <c r="AF780" i="94"/>
  <c r="AF776" i="94"/>
  <c r="AF772" i="94"/>
  <c r="AA780" i="94"/>
  <c r="AA776" i="94"/>
  <c r="AA772" i="94"/>
  <c r="BI780" i="94"/>
  <c r="BI776" i="94"/>
  <c r="BI772" i="94"/>
  <c r="AE808" i="94"/>
  <c r="AE804" i="94"/>
  <c r="AE800" i="94"/>
  <c r="AE796" i="94"/>
  <c r="Z800" i="94"/>
  <c r="Z772" i="94"/>
  <c r="BH796" i="94"/>
  <c r="BC796" i="94"/>
  <c r="AX800" i="94"/>
  <c r="AS804" i="94"/>
  <c r="AN808" i="94"/>
  <c r="AN792" i="94"/>
  <c r="AN780" i="94"/>
  <c r="AI808" i="94"/>
  <c r="AD796" i="94"/>
  <c r="AD772" i="94"/>
  <c r="Y776" i="94"/>
  <c r="ED789" i="94"/>
  <c r="ED773" i="94"/>
  <c r="BG772" i="94"/>
  <c r="BB776" i="94"/>
  <c r="AR776" i="94"/>
  <c r="AL808" i="94"/>
  <c r="EC809" i="94"/>
  <c r="EE809" i="94"/>
  <c r="BA808" i="94"/>
  <c r="X808" i="94"/>
  <c r="AC808" i="94"/>
  <c r="AR808" i="94"/>
  <c r="W808" i="94"/>
  <c r="AV808" i="94"/>
  <c r="AM808" i="94"/>
  <c r="AW808" i="94"/>
  <c r="BB808" i="94"/>
  <c r="BG808" i="94"/>
  <c r="EC805" i="94"/>
  <c r="EE805" i="94"/>
  <c r="X804" i="94"/>
  <c r="AC804" i="94"/>
  <c r="AR804" i="94"/>
  <c r="W804" i="94"/>
  <c r="AQ804" i="94"/>
  <c r="AW804" i="94"/>
  <c r="BB804" i="94"/>
  <c r="BG804" i="94"/>
  <c r="EC801" i="94"/>
  <c r="EE801" i="94"/>
  <c r="AG800" i="94"/>
  <c r="AQ800" i="94"/>
  <c r="BA800" i="94"/>
  <c r="X800" i="94"/>
  <c r="AC800" i="94"/>
  <c r="AR800" i="94"/>
  <c r="W800" i="94"/>
  <c r="AW800" i="94"/>
  <c r="BB800" i="94"/>
  <c r="BG800" i="94"/>
  <c r="EC797" i="94"/>
  <c r="EE797" i="94"/>
  <c r="AB796" i="94"/>
  <c r="AL796" i="94"/>
  <c r="AV796" i="94"/>
  <c r="X796" i="94"/>
  <c r="AC796" i="94"/>
  <c r="AR796" i="94"/>
  <c r="AW796" i="94"/>
  <c r="W796" i="94"/>
  <c r="AH796" i="94"/>
  <c r="BB796" i="94"/>
  <c r="BG796" i="94"/>
  <c r="EC793" i="94"/>
  <c r="EE793" i="94"/>
  <c r="X792" i="94"/>
  <c r="AC792" i="94"/>
  <c r="AR792" i="94"/>
  <c r="AW792" i="94"/>
  <c r="W792" i="94"/>
  <c r="AV792" i="94"/>
  <c r="AM792" i="94"/>
  <c r="BB792" i="94"/>
  <c r="BG792" i="94"/>
  <c r="X788" i="94"/>
  <c r="AC788" i="94"/>
  <c r="AR788" i="94"/>
  <c r="AW788" i="94"/>
  <c r="W788" i="94"/>
  <c r="AQ788" i="94"/>
  <c r="AH788" i="94"/>
  <c r="AM788" i="94"/>
  <c r="BB788" i="94"/>
  <c r="BG788" i="94"/>
  <c r="W780" i="94"/>
  <c r="AV780" i="94"/>
  <c r="AM780" i="94"/>
  <c r="AB780" i="94"/>
  <c r="AL780" i="94"/>
  <c r="X780" i="94"/>
  <c r="AS780" i="94"/>
  <c r="AX780" i="94"/>
  <c r="BC780" i="94"/>
  <c r="BH780" i="94"/>
  <c r="W776" i="94"/>
  <c r="X776" i="94"/>
  <c r="AC776" i="94"/>
  <c r="AS776" i="94"/>
  <c r="AX776" i="94"/>
  <c r="BC776" i="94"/>
  <c r="BH776" i="94"/>
  <c r="W772" i="94"/>
  <c r="AQ772" i="94"/>
  <c r="AH772" i="94"/>
  <c r="AC772" i="94"/>
  <c r="AM772" i="94"/>
  <c r="AR772" i="94"/>
  <c r="AW772" i="94"/>
  <c r="AS772" i="94"/>
  <c r="AX772" i="94"/>
  <c r="BC772" i="94"/>
  <c r="BH772" i="94"/>
  <c r="AB806" i="94"/>
  <c r="AL806" i="94"/>
  <c r="AV806" i="94"/>
  <c r="BF806" i="94"/>
  <c r="W806" i="94"/>
  <c r="W802" i="94"/>
  <c r="AH802" i="94"/>
  <c r="BF798" i="94"/>
  <c r="W798" i="94"/>
  <c r="BA798" i="94"/>
  <c r="X798" i="94"/>
  <c r="AM798" i="94"/>
  <c r="W794" i="94"/>
  <c r="AC794" i="94"/>
  <c r="BF790" i="94"/>
  <c r="W790" i="94"/>
  <c r="W786" i="94"/>
  <c r="AB786" i="94"/>
  <c r="BF786" i="94"/>
  <c r="AH786" i="94"/>
  <c r="AB785" i="94"/>
  <c r="AL785" i="94"/>
  <c r="AV785" i="94"/>
  <c r="EC785" i="94"/>
  <c r="AH785" i="94"/>
  <c r="AM785" i="94"/>
  <c r="AC782" i="94"/>
  <c r="AW782" i="94"/>
  <c r="BA782" i="94"/>
  <c r="AC778" i="94"/>
  <c r="AH778" i="94"/>
  <c r="AW778" i="94"/>
  <c r="W778" i="94"/>
  <c r="AB774" i="94"/>
  <c r="AL774" i="94"/>
  <c r="AV774" i="94"/>
  <c r="AC774" i="94"/>
  <c r="AH774" i="94"/>
  <c r="AW774" i="94"/>
  <c r="W774" i="94"/>
  <c r="BF774" i="94"/>
  <c r="AM774" i="94"/>
  <c r="AM783" i="94"/>
  <c r="X783" i="94"/>
  <c r="AR783" i="94"/>
  <c r="DZ784" i="94"/>
  <c r="J384" i="73"/>
  <c r="J604" i="93"/>
  <c r="P582" i="93"/>
  <c r="P586" i="93" s="1"/>
  <c r="U565" i="93"/>
  <c r="S556" i="94"/>
  <c r="U451" i="93"/>
  <c r="A451" i="93"/>
  <c r="S536" i="94"/>
  <c r="P522" i="94"/>
  <c r="G509" i="94"/>
  <c r="P474" i="93"/>
  <c r="F37" i="78"/>
  <c r="E36" i="78"/>
  <c r="E38" i="78" s="1"/>
  <c r="G34" i="78" s="1"/>
  <c r="F35" i="78"/>
  <c r="B44" i="78"/>
  <c r="H18" i="84" s="1"/>
  <c r="F461" i="93"/>
  <c r="B119" i="74"/>
  <c r="B1067" i="93" s="1"/>
  <c r="J57" i="74"/>
  <c r="E57" i="74"/>
  <c r="E21" i="87" s="1"/>
  <c r="C89" i="74"/>
  <c r="E29" i="87" s="1"/>
  <c r="J89" i="74"/>
  <c r="J1039" i="93" s="1"/>
  <c r="F57" i="74"/>
  <c r="E22" i="87" s="1"/>
  <c r="D119" i="74"/>
  <c r="D1067" i="93" s="1"/>
  <c r="H57" i="74"/>
  <c r="E24" i="87" s="1"/>
  <c r="I89" i="74"/>
  <c r="I1039" i="93" s="1"/>
  <c r="G89" i="74"/>
  <c r="G1039" i="93" s="1"/>
  <c r="C57" i="74"/>
  <c r="C1009" i="93" s="1"/>
  <c r="E119" i="74"/>
  <c r="E1067" i="93" s="1"/>
  <c r="E89" i="74"/>
  <c r="E31" i="87" s="1"/>
  <c r="C119" i="74"/>
  <c r="C1067" i="93" s="1"/>
  <c r="K57" i="74"/>
  <c r="K1009" i="93" s="1"/>
  <c r="F89" i="74"/>
  <c r="E32" i="87" s="1"/>
  <c r="B57" i="74"/>
  <c r="B1009" i="93" s="1"/>
  <c r="D89" i="74"/>
  <c r="K89" i="74"/>
  <c r="K1039" i="93" s="1"/>
  <c r="G57" i="74"/>
  <c r="G65" i="82" s="1"/>
  <c r="F119" i="74"/>
  <c r="F1067" i="93" s="1"/>
  <c r="B89" i="74"/>
  <c r="E28" i="87" s="1"/>
  <c r="H89" i="74"/>
  <c r="H1039" i="93" s="1"/>
  <c r="D57" i="74"/>
  <c r="E20" i="87" s="1"/>
  <c r="I57" i="74"/>
  <c r="I1009" i="93" s="1"/>
  <c r="N400" i="93"/>
  <c r="P415" i="94"/>
  <c r="K41" i="75"/>
  <c r="L41" i="75" s="1"/>
  <c r="I774" i="93"/>
  <c r="K774" i="93" s="1"/>
  <c r="L774" i="93" s="1"/>
  <c r="K25" i="75"/>
  <c r="L25" i="75" s="1"/>
  <c r="L1465" i="94"/>
  <c r="H1325" i="94"/>
  <c r="K1325" i="94"/>
  <c r="B1045" i="94"/>
  <c r="IL784" i="94"/>
  <c r="LA48" i="75"/>
  <c r="J123" i="75" s="1"/>
  <c r="MH48" i="75"/>
  <c r="FQ784" i="94"/>
  <c r="EL784" i="94"/>
  <c r="EL810" i="94" s="1"/>
  <c r="N907" i="94" s="1"/>
  <c r="IE779" i="93"/>
  <c r="IR779" i="93"/>
  <c r="DI779" i="93"/>
  <c r="EC779" i="93"/>
  <c r="IO779" i="93"/>
  <c r="DB779" i="93"/>
  <c r="IQ779" i="93"/>
  <c r="BA779" i="93"/>
  <c r="AR784" i="94"/>
  <c r="DU779" i="93"/>
  <c r="LL48" i="75"/>
  <c r="AA779" i="93"/>
  <c r="BH779" i="93"/>
  <c r="EF779" i="93"/>
  <c r="CZ48" i="75"/>
  <c r="K97" i="75" s="1"/>
  <c r="EG780" i="93"/>
  <c r="CM780" i="93"/>
  <c r="BN780" i="93"/>
  <c r="AD780" i="93"/>
  <c r="CD780" i="93"/>
  <c r="EH780" i="93"/>
  <c r="Z780" i="93"/>
  <c r="BQ780" i="93"/>
  <c r="DY780" i="93"/>
  <c r="IU780" i="93"/>
  <c r="BB780" i="93"/>
  <c r="DE780" i="93"/>
  <c r="EU780" i="93"/>
  <c r="AF780" i="93"/>
  <c r="BL780" i="93"/>
  <c r="DD780" i="93"/>
  <c r="EJ780" i="93"/>
  <c r="IV780" i="93"/>
  <c r="DK780" i="93"/>
  <c r="BS780" i="93"/>
  <c r="AS780" i="93"/>
  <c r="AI780" i="93"/>
  <c r="CI780" i="93"/>
  <c r="EM780" i="93"/>
  <c r="AE780" i="93"/>
  <c r="BZ780" i="93"/>
  <c r="ED780" i="93"/>
  <c r="JA780" i="93"/>
  <c r="BG780" i="93"/>
  <c r="DJ780" i="93"/>
  <c r="IG780" i="93"/>
  <c r="AJ780" i="93"/>
  <c r="BP780" i="93"/>
  <c r="DH780" i="93"/>
  <c r="EN780" i="93"/>
  <c r="IZ780" i="93"/>
  <c r="CS780" i="93"/>
  <c r="AX780" i="93"/>
  <c r="W780" i="93"/>
  <c r="AO780" i="93"/>
  <c r="CO780" i="93"/>
  <c r="ES780" i="93"/>
  <c r="AK780" i="93"/>
  <c r="CE780" i="93"/>
  <c r="EI780" i="93"/>
  <c r="A780" i="93"/>
  <c r="BM780" i="93"/>
  <c r="DO780" i="93"/>
  <c r="IL780" i="93"/>
  <c r="AN780" i="93"/>
  <c r="BT780" i="93"/>
  <c r="DL780" i="93"/>
  <c r="ER780" i="93"/>
  <c r="LO48" i="75"/>
  <c r="LW48" i="75"/>
  <c r="BC780" i="93"/>
  <c r="AC780" i="93"/>
  <c r="AT780" i="93"/>
  <c r="DG780" i="93"/>
  <c r="ID780" i="93"/>
  <c r="AP780" i="93"/>
  <c r="CK780" i="93"/>
  <c r="EO780" i="93"/>
  <c r="AA780" i="93"/>
  <c r="BR780" i="93"/>
  <c r="DU780" i="93"/>
  <c r="IQ780" i="93"/>
  <c r="AR780" i="93"/>
  <c r="CB780" i="93"/>
  <c r="DP780" i="93"/>
  <c r="EV780" i="93"/>
  <c r="AH780" i="93"/>
  <c r="IS780" i="93"/>
  <c r="AY780" i="93"/>
  <c r="DM780" i="93"/>
  <c r="II780" i="93"/>
  <c r="AU780" i="93"/>
  <c r="CP780" i="93"/>
  <c r="ET780" i="93"/>
  <c r="AG780" i="93"/>
  <c r="CA780" i="93"/>
  <c r="DZ780" i="93"/>
  <c r="IW780" i="93"/>
  <c r="AV780" i="93"/>
  <c r="CF780" i="93"/>
  <c r="DT780" i="93"/>
  <c r="IF780" i="93"/>
  <c r="IX780" i="93"/>
  <c r="EQ780" i="93"/>
  <c r="BE780" i="93"/>
  <c r="DR780" i="93"/>
  <c r="IO780" i="93"/>
  <c r="BA780" i="93"/>
  <c r="DI780" i="93"/>
  <c r="IE780" i="93"/>
  <c r="AL780" i="93"/>
  <c r="CG780" i="93"/>
  <c r="EE780" i="93"/>
  <c r="JB780" i="93"/>
  <c r="AZ780" i="93"/>
  <c r="CJ780" i="93"/>
  <c r="DX780" i="93"/>
  <c r="IJ780" i="93"/>
  <c r="EA780" i="93"/>
  <c r="DV780" i="93"/>
  <c r="BJ780" i="93"/>
  <c r="DW780" i="93"/>
  <c r="IT780" i="93"/>
  <c r="BF780" i="93"/>
  <c r="DN780" i="93"/>
  <c r="IK780" i="93"/>
  <c r="AQ780" i="93"/>
  <c r="CL780" i="93"/>
  <c r="EK780" i="93"/>
  <c r="X780" i="93"/>
  <c r="BD780" i="93"/>
  <c r="CN780" i="93"/>
  <c r="EB780" i="93"/>
  <c r="LU48" i="75"/>
  <c r="MC48" i="75"/>
  <c r="LA784" i="94"/>
  <c r="FC784" i="94"/>
  <c r="DX784" i="94"/>
  <c r="JZ784" i="94"/>
  <c r="CI784" i="94"/>
  <c r="HF784" i="94"/>
  <c r="LL784" i="94"/>
  <c r="LL810" i="94" s="1"/>
  <c r="DB784" i="94"/>
  <c r="AU784" i="94"/>
  <c r="AW784" i="94"/>
  <c r="II784" i="94"/>
  <c r="BR784" i="94"/>
  <c r="CW784" i="94"/>
  <c r="LQ784" i="94"/>
  <c r="CB784" i="94"/>
  <c r="FU784" i="94"/>
  <c r="FX784" i="94"/>
  <c r="BJ784" i="94"/>
  <c r="ED784" i="94"/>
  <c r="LD784" i="94"/>
  <c r="LK784" i="94"/>
  <c r="FF784" i="94"/>
  <c r="LH784" i="94"/>
  <c r="LH810" i="94" s="1"/>
  <c r="LP784" i="94"/>
  <c r="KM784" i="94"/>
  <c r="FP784" i="94"/>
  <c r="IA784" i="94"/>
  <c r="JF784" i="94"/>
  <c r="KE784" i="94"/>
  <c r="DD784" i="94"/>
  <c r="EY784" i="94"/>
  <c r="EY810" i="94" s="1"/>
  <c r="L910" i="94" s="1"/>
  <c r="LH48" i="75"/>
  <c r="LX48" i="75"/>
  <c r="IE784" i="94"/>
  <c r="JT784" i="94"/>
  <c r="HW784" i="94"/>
  <c r="CM784" i="94"/>
  <c r="DR784" i="94"/>
  <c r="AH784" i="94"/>
  <c r="JB779" i="93"/>
  <c r="EE779" i="93"/>
  <c r="CG779" i="93"/>
  <c r="AL779" i="93"/>
  <c r="IP779" i="93"/>
  <c r="DS779" i="93"/>
  <c r="BK779" i="93"/>
  <c r="AZ779" i="93"/>
  <c r="CJ779" i="93"/>
  <c r="DX779" i="93"/>
  <c r="IJ779" i="93"/>
  <c r="JJ779" i="93"/>
  <c r="JI779" i="93"/>
  <c r="GF779" i="93"/>
  <c r="GM779" i="93"/>
  <c r="GU779" i="93"/>
  <c r="FY779" i="93"/>
  <c r="FB779" i="93"/>
  <c r="HN779" i="93"/>
  <c r="GY779" i="93"/>
  <c r="GJ779" i="93"/>
  <c r="FU779" i="93"/>
  <c r="BY779" i="93"/>
  <c r="DC779" i="93"/>
  <c r="IA779" i="93"/>
  <c r="AC779" i="93"/>
  <c r="IM784" i="94"/>
  <c r="MG784" i="94"/>
  <c r="KH784" i="94"/>
  <c r="JH784" i="94"/>
  <c r="JH810" i="94" s="1"/>
  <c r="J888" i="94" s="1"/>
  <c r="IH784" i="94"/>
  <c r="LC784" i="94"/>
  <c r="LC810" i="94" s="1"/>
  <c r="L885" i="94" s="1"/>
  <c r="KL784" i="94"/>
  <c r="JU784" i="94"/>
  <c r="JM784" i="94"/>
  <c r="JD784" i="94"/>
  <c r="LN784" i="94"/>
  <c r="FS784" i="94"/>
  <c r="FS810" i="94" s="1"/>
  <c r="L915" i="94" s="1"/>
  <c r="CY784" i="94"/>
  <c r="HV784" i="94"/>
  <c r="FB784" i="94"/>
  <c r="CH784" i="94"/>
  <c r="MB784" i="94"/>
  <c r="GO784" i="94"/>
  <c r="DM784" i="94"/>
  <c r="MA784" i="94"/>
  <c r="GN784" i="94"/>
  <c r="DT784" i="94"/>
  <c r="LR784" i="94"/>
  <c r="FO784" i="94"/>
  <c r="FO810" i="94" s="1"/>
  <c r="M913" i="94" s="1"/>
  <c r="DC784" i="94"/>
  <c r="GL784" i="94"/>
  <c r="HP784" i="94"/>
  <c r="CT784" i="94"/>
  <c r="CC784" i="94"/>
  <c r="CD784" i="94"/>
  <c r="BM784" i="94"/>
  <c r="CK784" i="94"/>
  <c r="DI784" i="94"/>
  <c r="EV784" i="94"/>
  <c r="EV810" i="94" s="1"/>
  <c r="N909" i="94" s="1"/>
  <c r="LO784" i="94"/>
  <c r="LO810" i="94" s="1"/>
  <c r="FV784" i="94"/>
  <c r="GD784" i="94"/>
  <c r="GD810" i="94" s="1"/>
  <c r="M917" i="94" s="1"/>
  <c r="BH784" i="94"/>
  <c r="AS784" i="94"/>
  <c r="AD784" i="94"/>
  <c r="BG784" i="94"/>
  <c r="AG784" i="94"/>
  <c r="IW779" i="93"/>
  <c r="DZ779" i="93"/>
  <c r="CA779" i="93"/>
  <c r="AG779" i="93"/>
  <c r="IK779" i="93"/>
  <c r="DN779" i="93"/>
  <c r="BF779" i="93"/>
  <c r="X779" i="93"/>
  <c r="BD779" i="93"/>
  <c r="CN779" i="93"/>
  <c r="EB779" i="93"/>
  <c r="IN779" i="93"/>
  <c r="JK779" i="93"/>
  <c r="DK779" i="93"/>
  <c r="GE779" i="93"/>
  <c r="FO779" i="93"/>
  <c r="HZ779" i="93"/>
  <c r="HJ779" i="93"/>
  <c r="HR779" i="93"/>
  <c r="GG779" i="93"/>
  <c r="FJ779" i="93"/>
  <c r="HV779" i="93"/>
  <c r="HG779" i="93"/>
  <c r="GR779" i="93"/>
  <c r="GC779" i="93"/>
  <c r="HL779" i="93"/>
  <c r="BU779" i="93"/>
  <c r="IW784" i="94"/>
  <c r="MO784" i="94"/>
  <c r="KQ784" i="94"/>
  <c r="JQ784" i="94"/>
  <c r="IQ784" i="94"/>
  <c r="MR784" i="94"/>
  <c r="KU784" i="94"/>
  <c r="KD784" i="94"/>
  <c r="JV784" i="94"/>
  <c r="JL784" i="94"/>
  <c r="LF784" i="94"/>
  <c r="FK784" i="94"/>
  <c r="CQ784" i="94"/>
  <c r="HN784" i="94"/>
  <c r="ET784" i="94"/>
  <c r="BZ784" i="94"/>
  <c r="LT784" i="94"/>
  <c r="GG784" i="94"/>
  <c r="DE784" i="94"/>
  <c r="LS784" i="94"/>
  <c r="GF784" i="94"/>
  <c r="DL784" i="94"/>
  <c r="LJ784" i="94"/>
  <c r="FG784" i="94"/>
  <c r="FG810" i="94" s="1"/>
  <c r="J912" i="94" s="1"/>
  <c r="CU784" i="94"/>
  <c r="LY784" i="94"/>
  <c r="FN784" i="94"/>
  <c r="FN810" i="94" s="1"/>
  <c r="L913" i="94" s="1"/>
  <c r="MK784" i="94"/>
  <c r="FD784" i="94"/>
  <c r="FD810" i="94" s="1"/>
  <c r="L911" i="94" s="1"/>
  <c r="HY784" i="94"/>
  <c r="CZ784" i="94"/>
  <c r="DA784" i="94"/>
  <c r="CJ784" i="94"/>
  <c r="DH784" i="94"/>
  <c r="EP784" i="94"/>
  <c r="EP810" i="94" s="1"/>
  <c r="M908" i="94" s="1"/>
  <c r="HH784" i="94"/>
  <c r="MD784" i="94"/>
  <c r="FW784" i="94"/>
  <c r="GE784" i="94"/>
  <c r="GE810" i="94" s="1"/>
  <c r="N917" i="94" s="1"/>
  <c r="AF784" i="94"/>
  <c r="BI784" i="94"/>
  <c r="AT784" i="94"/>
  <c r="AE784" i="94"/>
  <c r="W784" i="94"/>
  <c r="FW48" i="75"/>
  <c r="GR48" i="75"/>
  <c r="IL779" i="93"/>
  <c r="DO779" i="93"/>
  <c r="BM779" i="93"/>
  <c r="A779" i="93"/>
  <c r="ET779" i="93"/>
  <c r="CP779" i="93"/>
  <c r="AU779" i="93"/>
  <c r="AF779" i="93"/>
  <c r="BL779" i="93"/>
  <c r="DD779" i="93"/>
  <c r="EJ779" i="93"/>
  <c r="IV779" i="93"/>
  <c r="CV779" i="93"/>
  <c r="JD779" i="93"/>
  <c r="EL779" i="93"/>
  <c r="JG779" i="93"/>
  <c r="FH779" i="93"/>
  <c r="FV779" i="93"/>
  <c r="GD779" i="93"/>
  <c r="GW779" i="93"/>
  <c r="FZ779" i="93"/>
  <c r="FK779" i="93"/>
  <c r="HW779" i="93"/>
  <c r="HH779" i="93"/>
  <c r="GS779" i="93"/>
  <c r="HT779" i="93"/>
  <c r="EX779" i="93"/>
  <c r="JO784" i="94"/>
  <c r="IO784" i="94"/>
  <c r="MH784" i="94"/>
  <c r="KI784" i="94"/>
  <c r="JI784" i="94"/>
  <c r="IR784" i="94"/>
  <c r="MS784" i="94"/>
  <c r="KV784" i="94"/>
  <c r="KN784" i="94"/>
  <c r="KB784" i="94"/>
  <c r="HO784" i="94"/>
  <c r="EU784" i="94"/>
  <c r="EU810" i="94" s="1"/>
  <c r="M909" i="94" s="1"/>
  <c r="CA784" i="94"/>
  <c r="GX784" i="94"/>
  <c r="GX810" i="94" s="1"/>
  <c r="M866" i="94" s="1"/>
  <c r="DV784" i="94"/>
  <c r="IC784" i="94"/>
  <c r="FI784" i="94"/>
  <c r="FI810" i="94" s="1"/>
  <c r="L912" i="94" s="1"/>
  <c r="CO784" i="94"/>
  <c r="IB784" i="94"/>
  <c r="FH784" i="94"/>
  <c r="CV784" i="94"/>
  <c r="HS784" i="94"/>
  <c r="EQ784" i="94"/>
  <c r="EQ810" i="94" s="1"/>
  <c r="N908" i="94" s="1"/>
  <c r="CE784" i="94"/>
  <c r="LI784" i="94"/>
  <c r="LI810" i="94" s="1"/>
  <c r="EX784" i="94"/>
  <c r="EX810" i="94" s="1"/>
  <c r="K910" i="94" s="1"/>
  <c r="DQ784" i="94"/>
  <c r="HZ784" i="94"/>
  <c r="FE784" i="94"/>
  <c r="EH784" i="94"/>
  <c r="DY784" i="94"/>
  <c r="EO784" i="94"/>
  <c r="EO810" i="94" s="1"/>
  <c r="L908" i="94" s="1"/>
  <c r="HA784" i="94"/>
  <c r="BV784" i="94"/>
  <c r="FY784" i="94"/>
  <c r="AJ784" i="94"/>
  <c r="EE784" i="94"/>
  <c r="AX784" i="94"/>
  <c r="AI784" i="94"/>
  <c r="X784" i="94"/>
  <c r="AQ784" i="94"/>
  <c r="IG779" i="93"/>
  <c r="DJ779" i="93"/>
  <c r="BG779" i="93"/>
  <c r="EO779" i="93"/>
  <c r="CK779" i="93"/>
  <c r="AP779" i="93"/>
  <c r="AJ779" i="93"/>
  <c r="BP779" i="93"/>
  <c r="DH779" i="93"/>
  <c r="EN779" i="93"/>
  <c r="IZ779" i="93"/>
  <c r="BO779" i="93"/>
  <c r="JM779" i="93"/>
  <c r="JP779" i="93"/>
  <c r="EM779" i="93"/>
  <c r="JO779" i="93"/>
  <c r="HB779" i="93"/>
  <c r="GN779" i="93"/>
  <c r="GV779" i="93"/>
  <c r="HE779" i="93"/>
  <c r="GH779" i="93"/>
  <c r="FS779" i="93"/>
  <c r="FD779" i="93"/>
  <c r="HP779" i="93"/>
  <c r="HA779" i="93"/>
  <c r="CW779" i="93"/>
  <c r="HD779" i="93"/>
  <c r="EY779" i="93"/>
  <c r="EW779" i="93"/>
  <c r="BW779" i="93"/>
  <c r="KF784" i="94"/>
  <c r="JX784" i="94"/>
  <c r="JX810" i="94" s="1"/>
  <c r="K879" i="94" s="1"/>
  <c r="IX784" i="94"/>
  <c r="MP784" i="94"/>
  <c r="KS784" i="94"/>
  <c r="JR784" i="94"/>
  <c r="JA784" i="94"/>
  <c r="IJ784" i="94"/>
  <c r="LE784" i="94"/>
  <c r="KW784" i="94"/>
  <c r="KJ784" i="94"/>
  <c r="HG784" i="94"/>
  <c r="EM784" i="94"/>
  <c r="EM810" i="94" s="1"/>
  <c r="J908" i="94" s="1"/>
  <c r="BS784" i="94"/>
  <c r="GP784" i="94"/>
  <c r="DN784" i="94"/>
  <c r="HU784" i="94"/>
  <c r="FA784" i="94"/>
  <c r="FA810" i="94" s="1"/>
  <c r="N910" i="94" s="1"/>
  <c r="CG784" i="94"/>
  <c r="HT784" i="94"/>
  <c r="EZ784" i="94"/>
  <c r="EZ810" i="94" s="1"/>
  <c r="M910" i="94" s="1"/>
  <c r="CN784" i="94"/>
  <c r="HK784" i="94"/>
  <c r="EI784" i="94"/>
  <c r="EI810" i="94" s="1"/>
  <c r="K907" i="94" s="1"/>
  <c r="BW784" i="94"/>
  <c r="HR784" i="94"/>
  <c r="KO784" i="94"/>
  <c r="GK784" i="94"/>
  <c r="FL784" i="94"/>
  <c r="FL810" i="94" s="1"/>
  <c r="J913" i="94" s="1"/>
  <c r="EN784" i="94"/>
  <c r="EN810" i="94" s="1"/>
  <c r="K908" i="94" s="1"/>
  <c r="FT784" i="94"/>
  <c r="FT810" i="94" s="1"/>
  <c r="M915" i="94" s="1"/>
  <c r="LG784" i="94"/>
  <c r="LG810" i="94" s="1"/>
  <c r="CS784" i="94"/>
  <c r="FZ784" i="94"/>
  <c r="AZ784" i="94"/>
  <c r="AK784" i="94"/>
  <c r="EF784" i="94"/>
  <c r="AY784" i="94"/>
  <c r="GD48" i="75"/>
  <c r="M155" i="75" s="1"/>
  <c r="EU779" i="93"/>
  <c r="DE779" i="93"/>
  <c r="BB779" i="93"/>
  <c r="EI779" i="93"/>
  <c r="CE779" i="93"/>
  <c r="AK779" i="93"/>
  <c r="AN779" i="93"/>
  <c r="BT779" i="93"/>
  <c r="DL779" i="93"/>
  <c r="ER779" i="93"/>
  <c r="BC779" i="93"/>
  <c r="AT779" i="93"/>
  <c r="JE779" i="93"/>
  <c r="JH779" i="93"/>
  <c r="EQ779" i="93"/>
  <c r="FW779" i="93"/>
  <c r="FN779" i="93"/>
  <c r="HK779" i="93"/>
  <c r="HS779" i="93"/>
  <c r="HM779" i="93"/>
  <c r="GP779" i="93"/>
  <c r="GA779" i="93"/>
  <c r="FL779" i="93"/>
  <c r="HX779" i="93"/>
  <c r="HI779" i="93"/>
  <c r="CX779" i="93"/>
  <c r="BX779" i="93"/>
  <c r="BV779" i="93"/>
  <c r="AO779" i="93"/>
  <c r="JW784" i="94"/>
  <c r="KG784" i="94"/>
  <c r="JG784" i="94"/>
  <c r="IG784" i="94"/>
  <c r="LB784" i="94"/>
  <c r="KA784" i="94"/>
  <c r="JJ784" i="94"/>
  <c r="IS784" i="94"/>
  <c r="IK784" i="94"/>
  <c r="IF784" i="94"/>
  <c r="IF810" i="94" s="1"/>
  <c r="L886" i="94" s="1"/>
  <c r="KR784" i="94"/>
  <c r="KR810" i="94" s="1"/>
  <c r="K883" i="94" s="1"/>
  <c r="K902" i="94" s="1"/>
  <c r="GY784" i="94"/>
  <c r="DW784" i="94"/>
  <c r="BK784" i="94"/>
  <c r="MC784" i="94"/>
  <c r="GH784" i="94"/>
  <c r="DF784" i="94"/>
  <c r="HM784" i="94"/>
  <c r="ES784" i="94"/>
  <c r="ES810" i="94" s="1"/>
  <c r="K909" i="94" s="1"/>
  <c r="BY784" i="94"/>
  <c r="HL784" i="94"/>
  <c r="ER784" i="94"/>
  <c r="ER810" i="94" s="1"/>
  <c r="J909" i="94" s="1"/>
  <c r="CF784" i="94"/>
  <c r="HC784" i="94"/>
  <c r="EA784" i="94"/>
  <c r="BO784" i="94"/>
  <c r="HJ784" i="94"/>
  <c r="HQ784" i="94"/>
  <c r="GR784" i="94"/>
  <c r="FM784" i="94"/>
  <c r="FM810" i="94" s="1"/>
  <c r="K913" i="94" s="1"/>
  <c r="GZ784" i="94"/>
  <c r="BU784" i="94"/>
  <c r="DP784" i="94"/>
  <c r="GA784" i="94"/>
  <c r="GA810" i="94" s="1"/>
  <c r="J917" i="94" s="1"/>
  <c r="EG784" i="94"/>
  <c r="AN784" i="94"/>
  <c r="Y784" i="94"/>
  <c r="BB784" i="94"/>
  <c r="AM784" i="94"/>
  <c r="AG48" i="75"/>
  <c r="J58" i="75" s="1"/>
  <c r="EP779" i="93"/>
  <c r="CQ779" i="93"/>
  <c r="AW779" i="93"/>
  <c r="JA779" i="93"/>
  <c r="ED779" i="93"/>
  <c r="BZ779" i="93"/>
  <c r="AE779" i="93"/>
  <c r="AR779" i="93"/>
  <c r="CB779" i="93"/>
  <c r="DP779" i="93"/>
  <c r="EV779" i="93"/>
  <c r="CU779" i="93"/>
  <c r="DF779" i="93"/>
  <c r="HC779" i="93"/>
  <c r="FF779" i="93"/>
  <c r="FI779" i="93"/>
  <c r="HU779" i="93"/>
  <c r="GX779" i="93"/>
  <c r="GI779" i="93"/>
  <c r="FT779" i="93"/>
  <c r="FE779" i="93"/>
  <c r="HQ779" i="93"/>
  <c r="AY779" i="93"/>
  <c r="FA779" i="93"/>
  <c r="AD779" i="93"/>
  <c r="DA779" i="93"/>
  <c r="JN784" i="94"/>
  <c r="ME784" i="94"/>
  <c r="A784" i="94"/>
  <c r="KP784" i="94"/>
  <c r="JP784" i="94"/>
  <c r="IP784" i="94"/>
  <c r="MI784" i="94"/>
  <c r="KK784" i="94"/>
  <c r="JS784" i="94"/>
  <c r="JB784" i="94"/>
  <c r="IT784" i="94"/>
  <c r="IN784" i="94"/>
  <c r="KZ784" i="94"/>
  <c r="GQ784" i="94"/>
  <c r="DO784" i="94"/>
  <c r="LU784" i="94"/>
  <c r="FR784" i="94"/>
  <c r="FR810" i="94" s="1"/>
  <c r="K915" i="94" s="1"/>
  <c r="CX784" i="94"/>
  <c r="HE784" i="94"/>
  <c r="EK784" i="94"/>
  <c r="EK810" i="94" s="1"/>
  <c r="M907" i="94" s="1"/>
  <c r="BQ784" i="94"/>
  <c r="HD784" i="94"/>
  <c r="EJ784" i="94"/>
  <c r="EJ810" i="94" s="1"/>
  <c r="L907" i="94" s="1"/>
  <c r="BX784" i="94"/>
  <c r="MM784" i="94"/>
  <c r="GU784" i="94"/>
  <c r="DS784" i="94"/>
  <c r="HB784" i="94"/>
  <c r="GJ784" i="94"/>
  <c r="LW784" i="94"/>
  <c r="HX784" i="94"/>
  <c r="GS784" i="94"/>
  <c r="BT784" i="94"/>
  <c r="CR784" i="94"/>
  <c r="EW784" i="94"/>
  <c r="EW810" i="94" s="1"/>
  <c r="J910" i="94" s="1"/>
  <c r="GB784" i="94"/>
  <c r="GB810" i="94" s="1"/>
  <c r="K917" i="94" s="1"/>
  <c r="BD784" i="94"/>
  <c r="AO784" i="94"/>
  <c r="Z784" i="94"/>
  <c r="BC784" i="94"/>
  <c r="AC784" i="94"/>
  <c r="BA784" i="94"/>
  <c r="IS48" i="75"/>
  <c r="J131" i="75" s="1"/>
  <c r="EK779" i="93"/>
  <c r="CL779" i="93"/>
  <c r="AQ779" i="93"/>
  <c r="IU779" i="93"/>
  <c r="DY779" i="93"/>
  <c r="BQ779" i="93"/>
  <c r="Z779" i="93"/>
  <c r="AV779" i="93"/>
  <c r="CF779" i="93"/>
  <c r="DT779" i="93"/>
  <c r="IF779" i="93"/>
  <c r="JQ779" i="93"/>
  <c r="JN779" i="93"/>
  <c r="FP779" i="93"/>
  <c r="FX779" i="93"/>
  <c r="FQ779" i="93"/>
  <c r="IC779" i="93"/>
  <c r="HF779" i="93"/>
  <c r="GQ779" i="93"/>
  <c r="GB779" i="93"/>
  <c r="FM779" i="93"/>
  <c r="HY779" i="93"/>
  <c r="CT779" i="93"/>
  <c r="CY779" i="93"/>
  <c r="JE784" i="94"/>
  <c r="KX784" i="94"/>
  <c r="IU784" i="94"/>
  <c r="ID784" i="94"/>
  <c r="KY784" i="94"/>
  <c r="JY784" i="94"/>
  <c r="IY784" i="94"/>
  <c r="MQ784" i="94"/>
  <c r="KT784" i="94"/>
  <c r="KC784" i="94"/>
  <c r="JK784" i="94"/>
  <c r="JC784" i="94"/>
  <c r="IV784" i="94"/>
  <c r="MF784" i="94"/>
  <c r="FH810" i="94"/>
  <c r="K912" i="94" s="1"/>
  <c r="LV784" i="94"/>
  <c r="GI784" i="94"/>
  <c r="DG784" i="94"/>
  <c r="LM784" i="94"/>
  <c r="LM810" i="94" s="1"/>
  <c r="FJ784" i="94"/>
  <c r="FJ810" i="94" s="1"/>
  <c r="M912" i="94" s="1"/>
  <c r="CP784" i="94"/>
  <c r="GW784" i="94"/>
  <c r="DU784" i="94"/>
  <c r="MN784" i="94"/>
  <c r="GV784" i="94"/>
  <c r="EB784" i="94"/>
  <c r="BP784" i="94"/>
  <c r="LZ784" i="94"/>
  <c r="GM784" i="94"/>
  <c r="DK784" i="94"/>
  <c r="GT784" i="94"/>
  <c r="ML784" i="94"/>
  <c r="BL784" i="94"/>
  <c r="LX784" i="94"/>
  <c r="BN784" i="94"/>
  <c r="CL784" i="94"/>
  <c r="DJ784" i="94"/>
  <c r="HI784" i="94"/>
  <c r="GC784" i="94"/>
  <c r="GC810" i="94" s="1"/>
  <c r="L917" i="94" s="1"/>
  <c r="BE784" i="94"/>
  <c r="AP784" i="94"/>
  <c r="AA784" i="94"/>
  <c r="AS779" i="93"/>
  <c r="BE779" i="93"/>
  <c r="DM779" i="93"/>
  <c r="IY779" i="93"/>
  <c r="CM779" i="93"/>
  <c r="W779" i="93"/>
  <c r="FB810" i="94"/>
  <c r="J911" i="94" s="1"/>
  <c r="EG779" i="93"/>
  <c r="DW779" i="93"/>
  <c r="Y779" i="93"/>
  <c r="GH48" i="75"/>
  <c r="L101" i="75" s="1"/>
  <c r="HJ48" i="75"/>
  <c r="J107" i="75" s="1"/>
  <c r="LF48" i="75"/>
  <c r="LV48" i="75"/>
  <c r="MD48" i="75"/>
  <c r="DQ779" i="93"/>
  <c r="ES779" i="93"/>
  <c r="AH779" i="93"/>
  <c r="DG779" i="93"/>
  <c r="IT779" i="93"/>
  <c r="IX779" i="93"/>
  <c r="EA779" i="93"/>
  <c r="BS779" i="93"/>
  <c r="EH779" i="93"/>
  <c r="BN779" i="93"/>
  <c r="DR779" i="93"/>
  <c r="AX779" i="93"/>
  <c r="CI779" i="93"/>
  <c r="CC779" i="93"/>
  <c r="CD779" i="93"/>
  <c r="II779" i="93"/>
  <c r="II805" i="93" s="1"/>
  <c r="DN48" i="75"/>
  <c r="J94" i="75" s="1"/>
  <c r="DA48" i="75"/>
  <c r="L97" i="75" s="1"/>
  <c r="BJ779" i="93"/>
  <c r="AI779" i="93"/>
  <c r="ID779" i="93"/>
  <c r="AM779" i="93"/>
  <c r="CH779" i="93"/>
  <c r="IH779" i="93"/>
  <c r="BI779" i="93"/>
  <c r="DV779" i="93"/>
  <c r="CS779" i="93"/>
  <c r="IS779" i="93"/>
  <c r="IM779" i="93"/>
  <c r="CO779" i="93"/>
  <c r="JU783" i="94"/>
  <c r="IP783" i="94"/>
  <c r="MG783" i="94"/>
  <c r="KY783" i="94"/>
  <c r="JJ783" i="94"/>
  <c r="MP783" i="94"/>
  <c r="IG783" i="94"/>
  <c r="KT783" i="94"/>
  <c r="JQ783" i="94"/>
  <c r="IL783" i="94"/>
  <c r="KM783" i="94"/>
  <c r="JH783" i="94"/>
  <c r="IO783" i="94"/>
  <c r="IO810" i="94" s="1"/>
  <c r="K892" i="94" s="1"/>
  <c r="KH783" i="94"/>
  <c r="JT783" i="94"/>
  <c r="IS783" i="94"/>
  <c r="KA783" i="94"/>
  <c r="IV783" i="94"/>
  <c r="II783" i="94"/>
  <c r="KU783" i="94"/>
  <c r="JP783" i="94"/>
  <c r="IE783" i="94"/>
  <c r="JK783" i="94"/>
  <c r="JV783" i="94"/>
  <c r="IW783" i="94"/>
  <c r="ME783" i="94"/>
  <c r="KP783" i="94"/>
  <c r="JM783" i="94"/>
  <c r="IT783" i="94"/>
  <c r="KW783" i="94"/>
  <c r="JR783" i="94"/>
  <c r="IY783" i="94"/>
  <c r="KF783" i="94"/>
  <c r="MR783" i="94"/>
  <c r="JB783" i="94"/>
  <c r="LA783" i="94"/>
  <c r="JI783" i="94"/>
  <c r="MO783" i="94"/>
  <c r="MO810" i="94" s="1"/>
  <c r="KZ783" i="94"/>
  <c r="JY783" i="94"/>
  <c r="JD783" i="94"/>
  <c r="KB783" i="94"/>
  <c r="JG783" i="94"/>
  <c r="KN783" i="94"/>
  <c r="IJ48" i="75"/>
  <c r="K125" i="75" s="1"/>
  <c r="KT48" i="75"/>
  <c r="M121" i="75" s="1"/>
  <c r="M140" i="75" s="1"/>
  <c r="KR783" i="94"/>
  <c r="MS783" i="94"/>
  <c r="JS783" i="94"/>
  <c r="JS810" i="94" s="1"/>
  <c r="K878" i="94" s="1"/>
  <c r="ID783" i="94"/>
  <c r="KI783" i="94"/>
  <c r="JN783" i="94"/>
  <c r="IK783" i="94"/>
  <c r="KL783" i="94"/>
  <c r="JO783" i="94"/>
  <c r="IJ783" i="94"/>
  <c r="KV783" i="94"/>
  <c r="MH783" i="94"/>
  <c r="JA783" i="94"/>
  <c r="KC783" i="94"/>
  <c r="IN783" i="94"/>
  <c r="IN810" i="94" s="1"/>
  <c r="J892" i="94" s="1"/>
  <c r="KS783" i="94"/>
  <c r="JZ783" i="94"/>
  <c r="IU783" i="94"/>
  <c r="KX783" i="94"/>
  <c r="JW783" i="94"/>
  <c r="MI783" i="94"/>
  <c r="IR783" i="94"/>
  <c r="LD783" i="94"/>
  <c r="LB783" i="94"/>
  <c r="KQ783" i="94"/>
  <c r="KO783" i="94"/>
  <c r="IX783" i="94"/>
  <c r="IX810" i="94" s="1"/>
  <c r="J890" i="94" s="1"/>
  <c r="MF783" i="94"/>
  <c r="LE783" i="94"/>
  <c r="KJ783" i="94"/>
  <c r="JE783" i="94"/>
  <c r="JE810" i="94" s="1"/>
  <c r="L891" i="94" s="1"/>
  <c r="KE783" i="94"/>
  <c r="MQ783" i="94"/>
  <c r="GF48" i="75"/>
  <c r="J101" i="75" s="1"/>
  <c r="GX48" i="75"/>
  <c r="M104" i="75" s="1"/>
  <c r="JX48" i="75"/>
  <c r="K117" i="75" s="1"/>
  <c r="KK48" i="75"/>
  <c r="N119" i="75" s="1"/>
  <c r="MQ810" i="94"/>
  <c r="JO48" i="75"/>
  <c r="L127" i="75" s="1"/>
  <c r="ID48" i="75"/>
  <c r="J124" i="75" s="1"/>
  <c r="IV48" i="75"/>
  <c r="M131" i="75" s="1"/>
  <c r="KA48" i="75"/>
  <c r="N117" i="75" s="1"/>
  <c r="KS48" i="75"/>
  <c r="L121" i="75" s="1"/>
  <c r="L140" i="75" s="1"/>
  <c r="K57" i="73" s="1"/>
  <c r="M57" i="73" s="1"/>
  <c r="GV48" i="75"/>
  <c r="K104" i="75" s="1"/>
  <c r="HN48" i="75"/>
  <c r="N107" i="75" s="1"/>
  <c r="HB48" i="75"/>
  <c r="L105" i="75" s="1"/>
  <c r="HW48" i="75"/>
  <c r="LI48" i="75"/>
  <c r="LQ48" i="75"/>
  <c r="LY48" i="75"/>
  <c r="A783" i="94"/>
  <c r="FV48" i="75"/>
  <c r="FX783" i="94"/>
  <c r="ET783" i="94"/>
  <c r="ET810" i="94" s="1"/>
  <c r="L909" i="94" s="1"/>
  <c r="LN48" i="75"/>
  <c r="DO48" i="75"/>
  <c r="K94" i="75" s="1"/>
  <c r="DR48" i="75"/>
  <c r="N94" i="75" s="1"/>
  <c r="CT48" i="75"/>
  <c r="J98" i="75" s="1"/>
  <c r="JC778" i="93"/>
  <c r="JH48" i="75"/>
  <c r="J126" i="75" s="1"/>
  <c r="IH48" i="75"/>
  <c r="N124" i="75" s="1"/>
  <c r="JJ778" i="93"/>
  <c r="JF778" i="93"/>
  <c r="F805" i="93"/>
  <c r="JE778" i="93"/>
  <c r="JG778" i="93"/>
  <c r="DI48" i="75"/>
  <c r="J95" i="75" s="1"/>
  <c r="A778" i="93"/>
  <c r="EY778" i="93"/>
  <c r="JD778" i="93"/>
  <c r="JI778" i="93"/>
  <c r="JH778" i="93"/>
  <c r="JM778" i="93"/>
  <c r="DF48" i="75"/>
  <c r="L96" i="75" s="1"/>
  <c r="JK778" i="93"/>
  <c r="JL778" i="93"/>
  <c r="LJ48" i="75"/>
  <c r="LR48" i="75"/>
  <c r="LZ48" i="75"/>
  <c r="GW48" i="75"/>
  <c r="L104" i="75" s="1"/>
  <c r="FU48" i="75"/>
  <c r="N153" i="75" s="1"/>
  <c r="HC48" i="75"/>
  <c r="M105" i="75" s="1"/>
  <c r="GB778" i="93"/>
  <c r="DK48" i="75"/>
  <c r="L95" i="75" s="1"/>
  <c r="IR48" i="75"/>
  <c r="N130" i="75" s="1"/>
  <c r="IN48" i="75"/>
  <c r="J130" i="75" s="1"/>
  <c r="AB48" i="75"/>
  <c r="J57" i="75" s="1"/>
  <c r="HP48" i="75"/>
  <c r="K108" i="75" s="1"/>
  <c r="MG48" i="75"/>
  <c r="DL48" i="75"/>
  <c r="M95" i="75" s="1"/>
  <c r="CU48" i="75"/>
  <c r="K98" i="75" s="1"/>
  <c r="FQ810" i="94"/>
  <c r="J915" i="94" s="1"/>
  <c r="GC48" i="75"/>
  <c r="L155" i="75" s="1"/>
  <c r="EH810" i="94"/>
  <c r="J907" i="94" s="1"/>
  <c r="GI48" i="75"/>
  <c r="M101" i="75" s="1"/>
  <c r="HK48" i="75"/>
  <c r="K107" i="75" s="1"/>
  <c r="HZ810" i="94"/>
  <c r="GG48" i="75"/>
  <c r="K101" i="75" s="1"/>
  <c r="GY48" i="75"/>
  <c r="N104" i="75" s="1"/>
  <c r="KN48" i="75"/>
  <c r="L120" i="75" s="1"/>
  <c r="L139" i="75" s="1"/>
  <c r="F57" i="73" s="1"/>
  <c r="JR48" i="75"/>
  <c r="J116" i="75" s="1"/>
  <c r="BG48" i="75"/>
  <c r="K64" i="75" s="1"/>
  <c r="AQ48" i="75"/>
  <c r="J60" i="75" s="1"/>
  <c r="CV48" i="75"/>
  <c r="L98" i="75" s="1"/>
  <c r="AC783" i="94"/>
  <c r="W48" i="75"/>
  <c r="J56" i="75" s="1"/>
  <c r="DY48" i="75"/>
  <c r="K92" i="75" s="1"/>
  <c r="LP48" i="75"/>
  <c r="LJ810" i="94"/>
  <c r="KC48" i="75"/>
  <c r="K118" i="75" s="1"/>
  <c r="BE783" i="94"/>
  <c r="AK783" i="94"/>
  <c r="BI783" i="94"/>
  <c r="AO783" i="94"/>
  <c r="EE783" i="94"/>
  <c r="AS783" i="94"/>
  <c r="Y783" i="94"/>
  <c r="AW783" i="94"/>
  <c r="BF783" i="94"/>
  <c r="BD48" i="75"/>
  <c r="M62" i="75" s="1"/>
  <c r="ED48" i="75"/>
  <c r="K66" i="75" s="1"/>
  <c r="AV48" i="75"/>
  <c r="J61" i="75" s="1"/>
  <c r="JQ778" i="93"/>
  <c r="BC778" i="93"/>
  <c r="DZ48" i="75"/>
  <c r="L92" i="75" s="1"/>
  <c r="JL810" i="94"/>
  <c r="N888" i="94" s="1"/>
  <c r="GL48" i="75"/>
  <c r="K102" i="75" s="1"/>
  <c r="GU48" i="75"/>
  <c r="J104" i="75" s="1"/>
  <c r="HM48" i="75"/>
  <c r="M107" i="75" s="1"/>
  <c r="DB48" i="75"/>
  <c r="M97" i="75" s="1"/>
  <c r="LK810" i="94"/>
  <c r="KW48" i="75"/>
  <c r="K122" i="75" s="1"/>
  <c r="KL48" i="75"/>
  <c r="J120" i="75" s="1"/>
  <c r="J139" i="75" s="1"/>
  <c r="F1149" i="93" s="1"/>
  <c r="JB48" i="75"/>
  <c r="N128" i="75" s="1"/>
  <c r="IX48" i="75"/>
  <c r="J128" i="75" s="1"/>
  <c r="BJ783" i="94"/>
  <c r="AP783" i="94"/>
  <c r="EF783" i="94"/>
  <c r="AT783" i="94"/>
  <c r="Z783" i="94"/>
  <c r="AX783" i="94"/>
  <c r="AD783" i="94"/>
  <c r="BB783" i="94"/>
  <c r="AH783" i="94"/>
  <c r="AO48" i="75"/>
  <c r="M59" i="75" s="1"/>
  <c r="BA48" i="75"/>
  <c r="J62" i="75" s="1"/>
  <c r="JZ48" i="75"/>
  <c r="M117" i="75" s="1"/>
  <c r="DP48" i="75"/>
  <c r="L94" i="75" s="1"/>
  <c r="DC48" i="75"/>
  <c r="N97" i="75" s="1"/>
  <c r="FF810" i="94"/>
  <c r="N911" i="94" s="1"/>
  <c r="DJ48" i="75"/>
  <c r="K95" i="75" s="1"/>
  <c r="DQ48" i="75"/>
  <c r="M94" i="75" s="1"/>
  <c r="DV48" i="75"/>
  <c r="M93" i="75" s="1"/>
  <c r="LF810" i="94"/>
  <c r="GO783" i="94"/>
  <c r="KM48" i="75"/>
  <c r="K120" i="75" s="1"/>
  <c r="K139" i="75" s="1"/>
  <c r="F1150" i="93" s="1"/>
  <c r="H1150" i="93" s="1"/>
  <c r="EG783" i="94"/>
  <c r="AU783" i="94"/>
  <c r="AA783" i="94"/>
  <c r="AY783" i="94"/>
  <c r="AE783" i="94"/>
  <c r="BC783" i="94"/>
  <c r="AI783" i="94"/>
  <c r="BG783" i="94"/>
  <c r="BJ48" i="75"/>
  <c r="N64" i="75" s="1"/>
  <c r="BF48" i="75"/>
  <c r="J64" i="75" s="1"/>
  <c r="AL48" i="75"/>
  <c r="J59" i="75" s="1"/>
  <c r="IK48" i="75"/>
  <c r="L125" i="75" s="1"/>
  <c r="JC48" i="75"/>
  <c r="J129" i="75" s="1"/>
  <c r="JP48" i="75"/>
  <c r="M127" i="75" s="1"/>
  <c r="MO48" i="75"/>
  <c r="MI782" i="94"/>
  <c r="JE777" i="93"/>
  <c r="JK777" i="93"/>
  <c r="MG782" i="94"/>
  <c r="MG810" i="94" s="1"/>
  <c r="LS782" i="94"/>
  <c r="LS810" i="94" s="1"/>
  <c r="JG777" i="93"/>
  <c r="JC777" i="93"/>
  <c r="DS777" i="93"/>
  <c r="JL777" i="93"/>
  <c r="EE777" i="93"/>
  <c r="DG777" i="93"/>
  <c r="ME48" i="75"/>
  <c r="HX782" i="94"/>
  <c r="HO782" i="94"/>
  <c r="HD782" i="94"/>
  <c r="HD810" i="94" s="1"/>
  <c r="N867" i="94" s="1"/>
  <c r="HT782" i="94"/>
  <c r="HR48" i="75"/>
  <c r="M108" i="75" s="1"/>
  <c r="GX782" i="94"/>
  <c r="GU782" i="94"/>
  <c r="GN782" i="94"/>
  <c r="GO782" i="94"/>
  <c r="GI782" i="94"/>
  <c r="LZ782" i="94"/>
  <c r="GW782" i="94"/>
  <c r="GW810" i="94" s="1"/>
  <c r="L866" i="94" s="1"/>
  <c r="GP782" i="94"/>
  <c r="GP810" i="94" s="1"/>
  <c r="GR782" i="94"/>
  <c r="GF782" i="94"/>
  <c r="ME782" i="94"/>
  <c r="ML782" i="94"/>
  <c r="HF782" i="94"/>
  <c r="GL782" i="94"/>
  <c r="HV782" i="94"/>
  <c r="HK782" i="94"/>
  <c r="HK810" i="94" s="1"/>
  <c r="K869" i="94" s="1"/>
  <c r="HE782" i="94"/>
  <c r="HR782" i="94"/>
  <c r="LW782" i="94"/>
  <c r="LW810" i="94" s="1"/>
  <c r="HA782" i="94"/>
  <c r="HA810" i="94" s="1"/>
  <c r="K867" i="94" s="1"/>
  <c r="A782" i="94"/>
  <c r="LV782" i="94"/>
  <c r="GV782" i="94"/>
  <c r="MD782" i="94"/>
  <c r="HL782" i="94"/>
  <c r="HB782" i="94"/>
  <c r="HM782" i="94"/>
  <c r="HI782" i="94"/>
  <c r="HJ782" i="94"/>
  <c r="MH782" i="94"/>
  <c r="GM782" i="94"/>
  <c r="LT782" i="94"/>
  <c r="HC782" i="94"/>
  <c r="HC810" i="94" s="1"/>
  <c r="M867" i="94" s="1"/>
  <c r="GS782" i="94"/>
  <c r="HU782" i="94"/>
  <c r="GZ782" i="94"/>
  <c r="GZ810" i="94" s="1"/>
  <c r="J867" i="94" s="1"/>
  <c r="HS782" i="94"/>
  <c r="MF782" i="94"/>
  <c r="MM782" i="94"/>
  <c r="MJ782" i="94"/>
  <c r="MJ810" i="94" s="1"/>
  <c r="GT782" i="94"/>
  <c r="GJ782" i="94"/>
  <c r="LP782" i="94"/>
  <c r="LP810" i="94" s="1"/>
  <c r="GQ782" i="94"/>
  <c r="GQ810" i="94" s="1"/>
  <c r="HQ782" i="94"/>
  <c r="GQ48" i="75"/>
  <c r="HD48" i="75"/>
  <c r="N105" i="75" s="1"/>
  <c r="HQ48" i="75"/>
  <c r="L108" i="75" s="1"/>
  <c r="MN48" i="75"/>
  <c r="MN782" i="94"/>
  <c r="HP782" i="94"/>
  <c r="HP810" i="94" s="1"/>
  <c r="K870" i="94" s="1"/>
  <c r="LU782" i="94"/>
  <c r="HW782" i="94"/>
  <c r="HW810" i="94" s="1"/>
  <c r="GK782" i="94"/>
  <c r="MB782" i="94"/>
  <c r="MB810" i="94" s="1"/>
  <c r="LX782" i="94"/>
  <c r="LX810" i="94" s="1"/>
  <c r="GH782" i="94"/>
  <c r="GH810" i="94" s="1"/>
  <c r="L863" i="94" s="1"/>
  <c r="HH782" i="94"/>
  <c r="HH810" i="94" s="1"/>
  <c r="LQ782" i="94"/>
  <c r="HG782" i="94"/>
  <c r="HG810" i="94" s="1"/>
  <c r="HN782" i="94"/>
  <c r="HN810" i="94" s="1"/>
  <c r="N869" i="94" s="1"/>
  <c r="MC782" i="94"/>
  <c r="LR782" i="94"/>
  <c r="GG782" i="94"/>
  <c r="GG810" i="94" s="1"/>
  <c r="K863" i="94" s="1"/>
  <c r="MK782" i="94"/>
  <c r="GY782" i="94"/>
  <c r="LY782" i="94"/>
  <c r="HZ48" i="75"/>
  <c r="IM48" i="75"/>
  <c r="N125" i="75" s="1"/>
  <c r="JE48" i="75"/>
  <c r="L129" i="75" s="1"/>
  <c r="KJ48" i="75"/>
  <c r="M119" i="75" s="1"/>
  <c r="MI48" i="75"/>
  <c r="MQ48" i="75"/>
  <c r="LC48" i="75"/>
  <c r="L123" i="75" s="1"/>
  <c r="JF810" i="94"/>
  <c r="M891" i="94" s="1"/>
  <c r="KM810" i="94"/>
  <c r="K882" i="94" s="1"/>
  <c r="K901" i="94" s="1"/>
  <c r="IA48" i="75"/>
  <c r="HY48" i="75"/>
  <c r="IL48" i="75"/>
  <c r="M125" i="75" s="1"/>
  <c r="JD48" i="75"/>
  <c r="K129" i="75" s="1"/>
  <c r="JQ48" i="75"/>
  <c r="N127" i="75" s="1"/>
  <c r="KI48" i="75"/>
  <c r="L119" i="75" s="1"/>
  <c r="MP48" i="75"/>
  <c r="KB48" i="75"/>
  <c r="J118" i="75" s="1"/>
  <c r="DG48" i="75"/>
  <c r="M96" i="75" s="1"/>
  <c r="DU48" i="75"/>
  <c r="L93" i="75" s="1"/>
  <c r="EB48" i="75"/>
  <c r="N92" i="75" s="1"/>
  <c r="GS48" i="75"/>
  <c r="AM777" i="93"/>
  <c r="AC777" i="93"/>
  <c r="IR777" i="93"/>
  <c r="FS48" i="75"/>
  <c r="L153" i="75" s="1"/>
  <c r="GN48" i="75"/>
  <c r="M102" i="75" s="1"/>
  <c r="HA48" i="75"/>
  <c r="K105" i="75" s="1"/>
  <c r="HO48" i="75"/>
  <c r="J108" i="75" s="1"/>
  <c r="AW777" i="93"/>
  <c r="EU777" i="93"/>
  <c r="IU777" i="93"/>
  <c r="W777" i="93"/>
  <c r="DD777" i="93"/>
  <c r="CQ777" i="93"/>
  <c r="CG777" i="93"/>
  <c r="BV777" i="93"/>
  <c r="AN777" i="93"/>
  <c r="DX777" i="93"/>
  <c r="IQ777" i="93"/>
  <c r="CP777" i="93"/>
  <c r="CU777" i="93"/>
  <c r="BD777" i="93"/>
  <c r="DJ777" i="93"/>
  <c r="BR777" i="93"/>
  <c r="AD777" i="93"/>
  <c r="DM777" i="93"/>
  <c r="DL777" i="93"/>
  <c r="DR777" i="93"/>
  <c r="AK777" i="93"/>
  <c r="BQ777" i="93"/>
  <c r="AY777" i="93"/>
  <c r="CD777" i="93"/>
  <c r="AP777" i="93"/>
  <c r="EQ777" i="93"/>
  <c r="FT48" i="75"/>
  <c r="M153" i="75" s="1"/>
  <c r="EP777" i="93"/>
  <c r="AJ777" i="93"/>
  <c r="CZ777" i="93"/>
  <c r="BF777" i="93"/>
  <c r="IO777" i="93"/>
  <c r="BH777" i="93"/>
  <c r="IP777" i="93"/>
  <c r="IP805" i="93" s="1"/>
  <c r="AG777" i="93"/>
  <c r="BM777" i="93"/>
  <c r="BS782" i="94"/>
  <c r="CQ782" i="94"/>
  <c r="DZ782" i="94"/>
  <c r="BX782" i="94"/>
  <c r="DF782" i="94"/>
  <c r="BU782" i="94"/>
  <c r="CJ782" i="94"/>
  <c r="CL782" i="94"/>
  <c r="EB782" i="94"/>
  <c r="BK782" i="94"/>
  <c r="CH782" i="94"/>
  <c r="DQ782" i="94"/>
  <c r="BP782" i="94"/>
  <c r="CV782" i="94"/>
  <c r="BM782" i="94"/>
  <c r="CB782" i="94"/>
  <c r="CU782" i="94"/>
  <c r="FZ782" i="94"/>
  <c r="DW48" i="75"/>
  <c r="N93" i="75" s="1"/>
  <c r="DJ782" i="94"/>
  <c r="BR782" i="94"/>
  <c r="CY782" i="94"/>
  <c r="DP782" i="94"/>
  <c r="CE782" i="94"/>
  <c r="CW782" i="94"/>
  <c r="DL782" i="94"/>
  <c r="BL782" i="94"/>
  <c r="DN782" i="94"/>
  <c r="DE48" i="75"/>
  <c r="K96" i="75" s="1"/>
  <c r="FV782" i="94"/>
  <c r="DA782" i="94"/>
  <c r="EA782" i="94"/>
  <c r="CP782" i="94"/>
  <c r="DG782" i="94"/>
  <c r="BW782" i="94"/>
  <c r="DE782" i="94"/>
  <c r="FY782" i="94"/>
  <c r="DC782" i="94"/>
  <c r="DT782" i="94"/>
  <c r="DW782" i="94"/>
  <c r="CR782" i="94"/>
  <c r="DR782" i="94"/>
  <c r="CG782" i="94"/>
  <c r="CX782" i="94"/>
  <c r="BO782" i="94"/>
  <c r="DM782" i="94"/>
  <c r="FX782" i="94"/>
  <c r="CT782" i="94"/>
  <c r="DK782" i="94"/>
  <c r="BN782" i="94"/>
  <c r="CI782" i="94"/>
  <c r="DI782" i="94"/>
  <c r="BY782" i="94"/>
  <c r="CN782" i="94"/>
  <c r="DX782" i="94"/>
  <c r="DU782" i="94"/>
  <c r="CK782" i="94"/>
  <c r="DB782" i="94"/>
  <c r="FU810" i="94"/>
  <c r="N915" i="94" s="1"/>
  <c r="A48" i="75"/>
  <c r="A5" i="75" s="1"/>
  <c r="GE48" i="75"/>
  <c r="N155" i="75" s="1"/>
  <c r="F1151" i="93"/>
  <c r="H1151" i="93" s="1"/>
  <c r="DD48" i="75"/>
  <c r="J96" i="75" s="1"/>
  <c r="FK810" i="94"/>
  <c r="N912" i="94" s="1"/>
  <c r="JW810" i="94"/>
  <c r="J879" i="94" s="1"/>
  <c r="AT48" i="75"/>
  <c r="M60" i="75" s="1"/>
  <c r="DS48" i="75"/>
  <c r="J93" i="75" s="1"/>
  <c r="FY48" i="75"/>
  <c r="HG48" i="75"/>
  <c r="HT48" i="75"/>
  <c r="JY48" i="75"/>
  <c r="L117" i="75" s="1"/>
  <c r="MS48" i="75"/>
  <c r="CW48" i="75"/>
  <c r="M98" i="75" s="1"/>
  <c r="KE48" i="75"/>
  <c r="M118" i="75" s="1"/>
  <c r="EI48" i="75"/>
  <c r="K145" i="75" s="1"/>
  <c r="EU48" i="75"/>
  <c r="M147" i="75" s="1"/>
  <c r="FC48" i="75"/>
  <c r="K149" i="75" s="1"/>
  <c r="FO48" i="75"/>
  <c r="M151" i="75" s="1"/>
  <c r="MK48" i="75"/>
  <c r="KP48" i="75"/>
  <c r="N120" i="75" s="1"/>
  <c r="N139" i="75" s="1"/>
  <c r="DT48" i="75"/>
  <c r="K93" i="75" s="1"/>
  <c r="EA48" i="75"/>
  <c r="M92" i="75" s="1"/>
  <c r="KF48" i="75"/>
  <c r="N118" i="75" s="1"/>
  <c r="KD48" i="75"/>
  <c r="L118" i="75" s="1"/>
  <c r="CM48" i="75"/>
  <c r="M82" i="75" s="1"/>
  <c r="CE48" i="75"/>
  <c r="J83" i="75" s="1"/>
  <c r="CA48" i="75"/>
  <c r="K84" i="75" s="1"/>
  <c r="BW48" i="75"/>
  <c r="L85" i="75" s="1"/>
  <c r="BS48" i="75"/>
  <c r="M86" i="75" s="1"/>
  <c r="BO48" i="75"/>
  <c r="N87" i="75" s="1"/>
  <c r="BK48" i="75"/>
  <c r="J87" i="75" s="1"/>
  <c r="EO48" i="75"/>
  <c r="L146" i="75" s="1"/>
  <c r="FA48" i="75"/>
  <c r="N148" i="75" s="1"/>
  <c r="EW48" i="75"/>
  <c r="J148" i="75" s="1"/>
  <c r="FI48" i="75"/>
  <c r="L150" i="75" s="1"/>
  <c r="DH48" i="75"/>
  <c r="N96" i="75" s="1"/>
  <c r="FC810" i="94"/>
  <c r="K911" i="94" s="1"/>
  <c r="FE810" i="94"/>
  <c r="M911" i="94" s="1"/>
  <c r="KZ48" i="75"/>
  <c r="N122" i="75" s="1"/>
  <c r="KX48" i="75"/>
  <c r="L122" i="75" s="1"/>
  <c r="DV777" i="93"/>
  <c r="IT777" i="93"/>
  <c r="IT805" i="93" s="1"/>
  <c r="GE777" i="93"/>
  <c r="GD777" i="93"/>
  <c r="FG777" i="93"/>
  <c r="AL777" i="93"/>
  <c r="DK777" i="93"/>
  <c r="DK805" i="93" s="1"/>
  <c r="L830" i="93" s="1"/>
  <c r="HB777" i="93"/>
  <c r="AU777" i="93"/>
  <c r="EA777" i="93"/>
  <c r="HN777" i="93"/>
  <c r="BE777" i="93"/>
  <c r="ES777" i="93"/>
  <c r="IA777" i="93"/>
  <c r="BO777" i="93"/>
  <c r="BO805" i="93" s="1"/>
  <c r="N826" i="93" s="1"/>
  <c r="FF777" i="93"/>
  <c r="IM777" i="93"/>
  <c r="DW777" i="93"/>
  <c r="GO777" i="93"/>
  <c r="JN777" i="93"/>
  <c r="DQ777" i="93"/>
  <c r="GK777" i="93"/>
  <c r="IZ777" i="93"/>
  <c r="AV777" i="93"/>
  <c r="DB777" i="93"/>
  <c r="AR777" i="93"/>
  <c r="IJ777" i="93"/>
  <c r="CW777" i="93"/>
  <c r="HD777" i="93"/>
  <c r="FP810" i="94"/>
  <c r="N913" i="94" s="1"/>
  <c r="CD48" i="75"/>
  <c r="N84" i="75" s="1"/>
  <c r="BZ48" i="75"/>
  <c r="J84" i="75" s="1"/>
  <c r="BV48" i="75"/>
  <c r="K85" i="75" s="1"/>
  <c r="BR48" i="75"/>
  <c r="L86" i="75" s="1"/>
  <c r="BN48" i="75"/>
  <c r="M87" i="75" s="1"/>
  <c r="EN48" i="75"/>
  <c r="K146" i="75" s="1"/>
  <c r="EZ48" i="75"/>
  <c r="M148" i="75" s="1"/>
  <c r="FH48" i="75"/>
  <c r="K150" i="75" s="1"/>
  <c r="AX810" i="94"/>
  <c r="L823" i="94" s="1"/>
  <c r="DZ777" i="93"/>
  <c r="IX777" i="93"/>
  <c r="FJ777" i="93"/>
  <c r="FH777" i="93"/>
  <c r="EI777" i="93"/>
  <c r="AT777" i="93"/>
  <c r="DY777" i="93"/>
  <c r="HL777" i="93"/>
  <c r="BC777" i="93"/>
  <c r="EO777" i="93"/>
  <c r="HX777" i="93"/>
  <c r="BN777" i="93"/>
  <c r="FD777" i="93"/>
  <c r="IL777" i="93"/>
  <c r="BY777" i="93"/>
  <c r="FP777" i="93"/>
  <c r="JA777" i="93"/>
  <c r="EG777" i="93"/>
  <c r="GW777" i="93"/>
  <c r="BK777" i="93"/>
  <c r="EB777" i="93"/>
  <c r="GS777" i="93"/>
  <c r="DT777" i="93"/>
  <c r="EC777" i="93"/>
  <c r="HZ777" i="93"/>
  <c r="AA777" i="93"/>
  <c r="BZ777" i="93"/>
  <c r="GT777" i="93"/>
  <c r="IE777" i="93"/>
  <c r="KY48" i="75"/>
  <c r="M122" i="75" s="1"/>
  <c r="KO48" i="75"/>
  <c r="M120" i="75" s="1"/>
  <c r="JV48" i="75"/>
  <c r="N116" i="75" s="1"/>
  <c r="EJ48" i="75"/>
  <c r="L145" i="75" s="1"/>
  <c r="EV48" i="75"/>
  <c r="N147" i="75" s="1"/>
  <c r="ER48" i="75"/>
  <c r="J147" i="75" s="1"/>
  <c r="FD48" i="75"/>
  <c r="L149" i="75" s="1"/>
  <c r="FP48" i="75"/>
  <c r="N151" i="75" s="1"/>
  <c r="FL48" i="75"/>
  <c r="J151" i="75" s="1"/>
  <c r="ED777" i="93"/>
  <c r="JB777" i="93"/>
  <c r="EK777" i="93"/>
  <c r="EJ777" i="93"/>
  <c r="DF777" i="93"/>
  <c r="IF777" i="93"/>
  <c r="BB777" i="93"/>
  <c r="EN777" i="93"/>
  <c r="HW777" i="93"/>
  <c r="BL777" i="93"/>
  <c r="FB777" i="93"/>
  <c r="II777" i="93"/>
  <c r="BX777" i="93"/>
  <c r="FO777" i="93"/>
  <c r="IY777" i="93"/>
  <c r="CJ777" i="93"/>
  <c r="GA777" i="93"/>
  <c r="BW777" i="93"/>
  <c r="ER777" i="93"/>
  <c r="HE777" i="93"/>
  <c r="BS777" i="93"/>
  <c r="EM777" i="93"/>
  <c r="HA777" i="93"/>
  <c r="JF777" i="93"/>
  <c r="EV777" i="93"/>
  <c r="CB777" i="93"/>
  <c r="GM777" i="93"/>
  <c r="AS777" i="93"/>
  <c r="FR777" i="93"/>
  <c r="FS777" i="93"/>
  <c r="CX48" i="75"/>
  <c r="N98" i="75" s="1"/>
  <c r="AJ48" i="75"/>
  <c r="M58" i="75" s="1"/>
  <c r="FR48" i="75"/>
  <c r="K153" i="75" s="1"/>
  <c r="FZ48" i="75"/>
  <c r="GM48" i="75"/>
  <c r="L102" i="75" s="1"/>
  <c r="GZ48" i="75"/>
  <c r="J105" i="75" s="1"/>
  <c r="HH48" i="75"/>
  <c r="HU48" i="75"/>
  <c r="IC48" i="75"/>
  <c r="IU48" i="75"/>
  <c r="L131" i="75" s="1"/>
  <c r="JM48" i="75"/>
  <c r="J127" i="75" s="1"/>
  <c r="KR48" i="75"/>
  <c r="K121" i="75" s="1"/>
  <c r="K140" i="75" s="1"/>
  <c r="K1214" i="94" s="1"/>
  <c r="LE48" i="75"/>
  <c r="N123" i="75" s="1"/>
  <c r="ML48" i="75"/>
  <c r="JF48" i="75"/>
  <c r="M129" i="75" s="1"/>
  <c r="EH777" i="93"/>
  <c r="DI777" i="93"/>
  <c r="DH777" i="93"/>
  <c r="CK777" i="93"/>
  <c r="HK777" i="93"/>
  <c r="BJ777" i="93"/>
  <c r="EZ777" i="93"/>
  <c r="IH777" i="93"/>
  <c r="BU777" i="93"/>
  <c r="FL777" i="93"/>
  <c r="IV777" i="93"/>
  <c r="CH777" i="93"/>
  <c r="FZ777" i="93"/>
  <c r="Z777" i="93"/>
  <c r="CT777" i="93"/>
  <c r="GL777" i="93"/>
  <c r="CE777" i="93"/>
  <c r="FA777" i="93"/>
  <c r="HM777" i="93"/>
  <c r="CA777" i="93"/>
  <c r="EW777" i="93"/>
  <c r="HI777" i="93"/>
  <c r="DU777" i="93"/>
  <c r="JJ777" i="93"/>
  <c r="GN777" i="93"/>
  <c r="EY777" i="93"/>
  <c r="X777" i="93"/>
  <c r="CV777" i="93"/>
  <c r="AQ777" i="93"/>
  <c r="EK48" i="75"/>
  <c r="M145" i="75" s="1"/>
  <c r="ES48" i="75"/>
  <c r="K147" i="75" s="1"/>
  <c r="FE48" i="75"/>
  <c r="M149" i="75" s="1"/>
  <c r="FM48" i="75"/>
  <c r="K151" i="75" s="1"/>
  <c r="EL777" i="93"/>
  <c r="CN777" i="93"/>
  <c r="CL777" i="93"/>
  <c r="IN777" i="93"/>
  <c r="BP777" i="93"/>
  <c r="BT777" i="93"/>
  <c r="FK777" i="93"/>
  <c r="IS777" i="93"/>
  <c r="CF777" i="93"/>
  <c r="FW777" i="93"/>
  <c r="Y777" i="93"/>
  <c r="CS777" i="93"/>
  <c r="GJ777" i="93"/>
  <c r="AH777" i="93"/>
  <c r="DE777" i="93"/>
  <c r="GV777" i="93"/>
  <c r="CM777" i="93"/>
  <c r="FI777" i="93"/>
  <c r="HU777" i="93"/>
  <c r="CI777" i="93"/>
  <c r="FE777" i="93"/>
  <c r="HQ777" i="93"/>
  <c r="IW777" i="93"/>
  <c r="FC777" i="93"/>
  <c r="CC777" i="93"/>
  <c r="HH777" i="93"/>
  <c r="BI777" i="93"/>
  <c r="CR777" i="93"/>
  <c r="ID777" i="93"/>
  <c r="AF777" i="93"/>
  <c r="GP777" i="93"/>
  <c r="DX48" i="75"/>
  <c r="J92" i="75" s="1"/>
  <c r="LN810" i="94"/>
  <c r="IQ810" i="94"/>
  <c r="M892" i="94" s="1"/>
  <c r="IC810" i="94"/>
  <c r="JL48" i="75"/>
  <c r="N126" i="75" s="1"/>
  <c r="CF48" i="75"/>
  <c r="K83" i="75" s="1"/>
  <c r="CB48" i="75"/>
  <c r="L84" i="75" s="1"/>
  <c r="BX48" i="75"/>
  <c r="M85" i="75" s="1"/>
  <c r="BT48" i="75"/>
  <c r="N86" i="75" s="1"/>
  <c r="BP48" i="75"/>
  <c r="J86" i="75" s="1"/>
  <c r="BL48" i="75"/>
  <c r="K87" i="75" s="1"/>
  <c r="EP48" i="75"/>
  <c r="M146" i="75" s="1"/>
  <c r="EX48" i="75"/>
  <c r="K148" i="75" s="1"/>
  <c r="FJ48" i="75"/>
  <c r="M150" i="75" s="1"/>
  <c r="AN810" i="94"/>
  <c r="L821" i="94" s="1"/>
  <c r="EL48" i="75"/>
  <c r="N145" i="75" s="1"/>
  <c r="EH48" i="75"/>
  <c r="J145" i="75" s="1"/>
  <c r="ET48" i="75"/>
  <c r="L147" i="75" s="1"/>
  <c r="FF48" i="75"/>
  <c r="N149" i="75" s="1"/>
  <c r="FB48" i="75"/>
  <c r="J149" i="75" s="1"/>
  <c r="FN48" i="75"/>
  <c r="L151" i="75" s="1"/>
  <c r="A777" i="93"/>
  <c r="DN777" i="93"/>
  <c r="DN805" i="93" s="1"/>
  <c r="ET777" i="93"/>
  <c r="HV777" i="93"/>
  <c r="BA777" i="93"/>
  <c r="HT777" i="93"/>
  <c r="AZ777" i="93"/>
  <c r="GX777" i="93"/>
  <c r="AI777" i="93"/>
  <c r="CO777" i="93"/>
  <c r="GF777" i="93"/>
  <c r="AE777" i="93"/>
  <c r="DA777" i="93"/>
  <c r="GR777" i="93"/>
  <c r="AO777" i="93"/>
  <c r="DP777" i="93"/>
  <c r="HF777" i="93"/>
  <c r="AX777" i="93"/>
  <c r="EF777" i="93"/>
  <c r="HR777" i="93"/>
  <c r="DC777" i="93"/>
  <c r="FY777" i="93"/>
  <c r="IK777" i="93"/>
  <c r="CY777" i="93"/>
  <c r="FU777" i="93"/>
  <c r="IG777" i="93"/>
  <c r="DO777" i="93"/>
  <c r="BG777" i="93"/>
  <c r="AB777" i="93"/>
  <c r="GI777" i="93"/>
  <c r="HJ777" i="93"/>
  <c r="CX777" i="93"/>
  <c r="KV48" i="75"/>
  <c r="J122" i="75" s="1"/>
  <c r="CO48" i="75"/>
  <c r="J81" i="75" s="1"/>
  <c r="CK48" i="75"/>
  <c r="K82" i="75" s="1"/>
  <c r="CG48" i="75"/>
  <c r="L83" i="75" s="1"/>
  <c r="CC48" i="75"/>
  <c r="M84" i="75" s="1"/>
  <c r="BY48" i="75"/>
  <c r="N85" i="75" s="1"/>
  <c r="BU48" i="75"/>
  <c r="J85" i="75" s="1"/>
  <c r="BQ48" i="75"/>
  <c r="K86" i="75" s="1"/>
  <c r="BM48" i="75"/>
  <c r="L87" i="75" s="1"/>
  <c r="EQ48" i="75"/>
  <c r="N146" i="75" s="1"/>
  <c r="EM48" i="75"/>
  <c r="J146" i="75" s="1"/>
  <c r="EY48" i="75"/>
  <c r="L148" i="75" s="1"/>
  <c r="FK48" i="75"/>
  <c r="N150" i="75" s="1"/>
  <c r="FG48" i="75"/>
  <c r="J150" i="75" s="1"/>
  <c r="Z48" i="75"/>
  <c r="M56" i="75" s="1"/>
  <c r="I782" i="93"/>
  <c r="K782" i="93" s="1"/>
  <c r="L782" i="93" s="1"/>
  <c r="K14" i="75"/>
  <c r="L14" i="75" s="1"/>
  <c r="K30" i="75"/>
  <c r="L30" i="75" s="1"/>
  <c r="I798" i="93"/>
  <c r="K798" i="93" s="1"/>
  <c r="L798" i="93" s="1"/>
  <c r="I771" i="93"/>
  <c r="K771" i="93" s="1"/>
  <c r="L771" i="93" s="1"/>
  <c r="K46" i="75"/>
  <c r="L46" i="75" s="1"/>
  <c r="I787" i="93"/>
  <c r="K787" i="93" s="1"/>
  <c r="L787" i="93" s="1"/>
  <c r="I803" i="93"/>
  <c r="K803" i="93" s="1"/>
  <c r="L803" i="93" s="1"/>
  <c r="K17" i="75"/>
  <c r="L17" i="75" s="1"/>
  <c r="K38" i="75"/>
  <c r="L38" i="75" s="1"/>
  <c r="K13" i="75"/>
  <c r="L13" i="75" s="1"/>
  <c r="I770" i="93"/>
  <c r="K770" i="93" s="1"/>
  <c r="L770" i="93" s="1"/>
  <c r="K34" i="75"/>
  <c r="L34" i="75" s="1"/>
  <c r="I794" i="93"/>
  <c r="K794" i="93" s="1"/>
  <c r="L794" i="93" s="1"/>
  <c r="K37" i="75"/>
  <c r="L37" i="75" s="1"/>
  <c r="I786" i="93"/>
  <c r="K786" i="93" s="1"/>
  <c r="L786" i="93" s="1"/>
  <c r="K22" i="75"/>
  <c r="L22" i="75" s="1"/>
  <c r="K29" i="75"/>
  <c r="L29" i="75" s="1"/>
  <c r="I779" i="93"/>
  <c r="K779" i="93" s="1"/>
  <c r="L779" i="93" s="1"/>
  <c r="I799" i="93"/>
  <c r="K799" i="93" s="1"/>
  <c r="L799" i="93" s="1"/>
  <c r="K42" i="75"/>
  <c r="L42" i="75" s="1"/>
  <c r="K15" i="75"/>
  <c r="L15" i="75" s="1"/>
  <c r="K33" i="75"/>
  <c r="L33" i="75" s="1"/>
  <c r="K27" i="75"/>
  <c r="L27" i="75" s="1"/>
  <c r="I802" i="93"/>
  <c r="K802" i="93" s="1"/>
  <c r="L802" i="93" s="1"/>
  <c r="I772" i="93"/>
  <c r="K772" i="93" s="1"/>
  <c r="L772" i="93" s="1"/>
  <c r="I796" i="93"/>
  <c r="K796" i="93" s="1"/>
  <c r="L796" i="93" s="1"/>
  <c r="K20" i="75"/>
  <c r="L20" i="75" s="1"/>
  <c r="I790" i="93"/>
  <c r="K790" i="93" s="1"/>
  <c r="L790" i="93" s="1"/>
  <c r="K45" i="75"/>
  <c r="L45" i="75" s="1"/>
  <c r="I777" i="93"/>
  <c r="K777" i="93" s="1"/>
  <c r="L777" i="93" s="1"/>
  <c r="K39" i="75"/>
  <c r="L39" i="75" s="1"/>
  <c r="I784" i="93"/>
  <c r="K784" i="93" s="1"/>
  <c r="L784" i="93" s="1"/>
  <c r="K12" i="75"/>
  <c r="L12" i="75" s="1"/>
  <c r="K35" i="75"/>
  <c r="L35" i="75" s="1"/>
  <c r="I769" i="93"/>
  <c r="K769" i="93" s="1"/>
  <c r="L769" i="93" s="1"/>
  <c r="K21" i="75"/>
  <c r="L21" i="75" s="1"/>
  <c r="K26" i="75"/>
  <c r="L26" i="75" s="1"/>
  <c r="I783" i="93"/>
  <c r="K783" i="93" s="1"/>
  <c r="L783" i="93" s="1"/>
  <c r="I778" i="93"/>
  <c r="K778" i="93" s="1"/>
  <c r="L778" i="93" s="1"/>
  <c r="I792" i="93"/>
  <c r="K792" i="93" s="1"/>
  <c r="L792" i="93" s="1"/>
  <c r="L810" i="94"/>
  <c r="L811" i="94" s="1"/>
  <c r="H1009" i="93"/>
  <c r="F1072" i="94"/>
  <c r="H16" i="86"/>
  <c r="I1027" i="93"/>
  <c r="B1078" i="94"/>
  <c r="J164" i="78"/>
  <c r="G34" i="86"/>
  <c r="E1078" i="94"/>
  <c r="C1015" i="93"/>
  <c r="H1027" i="93"/>
  <c r="F34" i="86"/>
  <c r="E25" i="87"/>
  <c r="J65" i="82"/>
  <c r="I1104" i="94"/>
  <c r="D1009" i="93"/>
  <c r="B65" i="82"/>
  <c r="J1072" i="94"/>
  <c r="B1039" i="93"/>
  <c r="K36" i="88"/>
  <c r="D39" i="88" s="1"/>
  <c r="E1104" i="94"/>
  <c r="I435" i="94"/>
  <c r="B1072" i="94"/>
  <c r="E1134" i="94"/>
  <c r="L408" i="94"/>
  <c r="L393" i="93"/>
  <c r="S459" i="93"/>
  <c r="P554" i="93"/>
  <c r="P469" i="93"/>
  <c r="P478" i="94"/>
  <c r="S575" i="94"/>
  <c r="P132" i="78"/>
  <c r="P149" i="78" s="1"/>
  <c r="P151" i="78" s="1"/>
  <c r="P153" i="78" s="1"/>
  <c r="S547" i="93"/>
  <c r="P453" i="93"/>
  <c r="L409" i="94"/>
  <c r="F36" i="86"/>
  <c r="E16" i="86"/>
  <c r="I16" i="86"/>
  <c r="I36" i="86"/>
  <c r="G566" i="93"/>
  <c r="A546" i="93"/>
  <c r="G527" i="93"/>
  <c r="A498" i="93"/>
  <c r="A452" i="93"/>
  <c r="F34" i="78"/>
  <c r="G472" i="94"/>
  <c r="E482" i="94" s="1"/>
  <c r="G468" i="94"/>
  <c r="G132" i="78"/>
  <c r="I59" i="68" s="1"/>
  <c r="L32" i="68"/>
  <c r="L394" i="93" s="1"/>
  <c r="G459" i="93"/>
  <c r="A460" i="94"/>
  <c r="J1776" i="93"/>
  <c r="G453" i="93"/>
  <c r="G462" i="94"/>
  <c r="L370" i="94"/>
  <c r="L354" i="93"/>
  <c r="C8" i="90"/>
  <c r="E5" i="89"/>
  <c r="P182" i="93"/>
  <c r="P1819" i="94"/>
  <c r="P1801" i="94" s="1"/>
  <c r="G1200" i="94"/>
  <c r="G1217" i="94"/>
  <c r="G1151" i="93"/>
  <c r="I1151" i="93" s="1"/>
  <c r="G1144" i="93"/>
  <c r="O1621" i="93"/>
  <c r="G1137" i="93"/>
  <c r="G1152" i="93"/>
  <c r="G1201" i="94"/>
  <c r="G1203" i="94"/>
  <c r="G1207" i="94"/>
  <c r="G1209" i="94"/>
  <c r="G1213" i="94"/>
  <c r="G1221" i="94"/>
  <c r="G1223" i="94"/>
  <c r="G1159" i="93"/>
  <c r="G1142" i="93"/>
  <c r="G1156" i="93"/>
  <c r="G1138" i="93"/>
  <c r="G1139" i="93"/>
  <c r="G1158" i="93"/>
  <c r="G1199" i="94"/>
  <c r="G1214" i="94"/>
  <c r="P58" i="73"/>
  <c r="G1146" i="93"/>
  <c r="G1150" i="93"/>
  <c r="G1157" i="93"/>
  <c r="G1136" i="93"/>
  <c r="G1143" i="93"/>
  <c r="G1153" i="93"/>
  <c r="G1202" i="94"/>
  <c r="G1206" i="94"/>
  <c r="G1208" i="94"/>
  <c r="G1210" i="94"/>
  <c r="G1216" i="94"/>
  <c r="G1220" i="94"/>
  <c r="G1222" i="94"/>
  <c r="G1224" i="94"/>
  <c r="K90" i="75"/>
  <c r="H83" i="93"/>
  <c r="A1" i="73"/>
  <c r="P42" i="73"/>
  <c r="L43" i="73" s="1"/>
  <c r="A364" i="93"/>
  <c r="T1727" i="93"/>
  <c r="R769" i="93"/>
  <c r="A1" i="76"/>
  <c r="T175" i="72"/>
  <c r="A1" i="78"/>
  <c r="W1" i="78" s="1"/>
  <c r="A1" i="74"/>
  <c r="N1" i="74" s="1"/>
  <c r="H8" i="84"/>
  <c r="F14" i="85" s="1"/>
  <c r="A3" i="83" s="1"/>
  <c r="A623" i="93"/>
  <c r="T1729" i="93"/>
  <c r="R798" i="93"/>
  <c r="A378" i="94"/>
  <c r="A628" i="94"/>
  <c r="I713" i="94"/>
  <c r="T173" i="72"/>
  <c r="A1" i="66"/>
  <c r="R770" i="93"/>
  <c r="A3" i="71"/>
  <c r="A1" i="67"/>
  <c r="A1" i="75"/>
  <c r="U1" i="75" s="1"/>
  <c r="N40" i="66"/>
  <c r="O40" i="66"/>
  <c r="T174" i="72" s="1"/>
  <c r="C43" i="90"/>
  <c r="I712" i="93"/>
  <c r="A2011" i="93"/>
  <c r="R802" i="93"/>
  <c r="R790" i="93"/>
  <c r="R768" i="93"/>
  <c r="R794" i="93"/>
  <c r="I40" i="66"/>
  <c r="A1" i="77"/>
  <c r="J50" i="93"/>
  <c r="A3" i="94"/>
  <c r="I3" i="76"/>
  <c r="A1" i="68"/>
  <c r="S1" i="68" s="1"/>
  <c r="A3" i="79"/>
  <c r="A1" i="72"/>
  <c r="A3" i="93"/>
  <c r="F1910" i="93"/>
  <c r="R774" i="93"/>
  <c r="R786" i="93"/>
  <c r="L49" i="93"/>
  <c r="L235" i="72"/>
  <c r="B1048" i="93"/>
  <c r="C1075" i="93"/>
  <c r="H34" i="86"/>
  <c r="K58" i="73"/>
  <c r="K1216" i="94"/>
  <c r="K1152" i="93"/>
  <c r="F1015" i="93"/>
  <c r="C54" i="86"/>
  <c r="I98" i="74"/>
  <c r="I1113" i="94" s="1"/>
  <c r="B98" i="74"/>
  <c r="B1113" i="94" s="1"/>
  <c r="F65" i="82"/>
  <c r="C129" i="74"/>
  <c r="C1144" i="94" s="1"/>
  <c r="F1009" i="93"/>
  <c r="B1018" i="93"/>
  <c r="H1041" i="93"/>
  <c r="H1048" i="93" s="1"/>
  <c r="P1136" i="93"/>
  <c r="L44" i="73"/>
  <c r="L62" i="73"/>
  <c r="L42" i="73"/>
  <c r="L52" i="73"/>
  <c r="L57" i="73"/>
  <c r="L64" i="73"/>
  <c r="G56" i="73"/>
  <c r="G59" i="73"/>
  <c r="G64" i="73"/>
  <c r="G45" i="73"/>
  <c r="E1009" i="93"/>
  <c r="FX48" i="75"/>
  <c r="GB48" i="75"/>
  <c r="K155" i="75" s="1"/>
  <c r="GK48" i="75"/>
  <c r="J102" i="75" s="1"/>
  <c r="GO48" i="75"/>
  <c r="N102" i="75" s="1"/>
  <c r="HF48" i="75"/>
  <c r="HS48" i="75"/>
  <c r="N108" i="75" s="1"/>
  <c r="IW48" i="75"/>
  <c r="N131" i="75" s="1"/>
  <c r="KG48" i="75"/>
  <c r="J119" i="75" s="1"/>
  <c r="MF48" i="75"/>
  <c r="MJ48" i="75"/>
  <c r="MR48" i="75"/>
  <c r="FQ48" i="75"/>
  <c r="J153" i="75" s="1"/>
  <c r="GP48" i="75"/>
  <c r="GT48" i="75"/>
  <c r="HX48" i="75"/>
  <c r="IB48" i="75"/>
  <c r="IT48" i="75"/>
  <c r="K131" i="75" s="1"/>
  <c r="JG48" i="75"/>
  <c r="N129" i="75" s="1"/>
  <c r="KH48" i="75"/>
  <c r="K119" i="75" s="1"/>
  <c r="KQ48" i="75"/>
  <c r="J121" i="75" s="1"/>
  <c r="KU48" i="75"/>
  <c r="N121" i="75" s="1"/>
  <c r="N140" i="75" s="1"/>
  <c r="LD48" i="75"/>
  <c r="M123" i="75" s="1"/>
  <c r="G57" i="73"/>
  <c r="G58" i="73"/>
  <c r="G66" i="73"/>
  <c r="L49" i="73"/>
  <c r="L51" i="73"/>
  <c r="F129" i="74"/>
  <c r="F1144" i="94" s="1"/>
  <c r="R55" i="74"/>
  <c r="S55" i="74" s="1"/>
  <c r="B1012" i="93"/>
  <c r="B1020" i="93" s="1"/>
  <c r="D1012" i="93"/>
  <c r="D1020" i="93" s="1"/>
  <c r="D68" i="74"/>
  <c r="D1083" i="94" s="1"/>
  <c r="I67" i="74"/>
  <c r="I1082" i="94" s="1"/>
  <c r="G41" i="73"/>
  <c r="G48" i="73"/>
  <c r="G49" i="73"/>
  <c r="L56" i="73"/>
  <c r="L59" i="73"/>
  <c r="L50" i="73"/>
  <c r="K68" i="74"/>
  <c r="K1083" i="94" s="1"/>
  <c r="E1039" i="93"/>
  <c r="R117" i="74"/>
  <c r="S117" i="74" s="1"/>
  <c r="O763" i="93"/>
  <c r="Q772" i="94"/>
  <c r="P1857" i="93"/>
  <c r="P306" i="72"/>
  <c r="P1848" i="93" s="1"/>
  <c r="R792" i="94"/>
  <c r="R787" i="93"/>
  <c r="R796" i="94"/>
  <c r="R791" i="93"/>
  <c r="S132" i="78"/>
  <c r="GA48" i="75"/>
  <c r="J155" i="75" s="1"/>
  <c r="HE48" i="75"/>
  <c r="HI48" i="75"/>
  <c r="HV48" i="75"/>
  <c r="II48" i="75"/>
  <c r="J125" i="75" s="1"/>
  <c r="JN48" i="75"/>
  <c r="K127" i="75" s="1"/>
  <c r="JW48" i="75"/>
  <c r="J117" i="75" s="1"/>
  <c r="LB48" i="75"/>
  <c r="K123" i="75" s="1"/>
  <c r="MM48" i="75"/>
  <c r="P1878" i="93"/>
  <c r="P1997" i="93" s="1"/>
  <c r="P450" i="72"/>
  <c r="R794" i="94"/>
  <c r="R789" i="93"/>
  <c r="R806" i="94"/>
  <c r="R801" i="93"/>
  <c r="C29" i="84"/>
  <c r="D16" i="86"/>
  <c r="H56" i="86"/>
  <c r="D56" i="86"/>
  <c r="D56" i="92"/>
  <c r="F84" i="92"/>
  <c r="G971" i="93"/>
  <c r="G970" i="93"/>
  <c r="G975" i="93"/>
  <c r="D36" i="86"/>
  <c r="F16" i="86"/>
  <c r="H36" i="86"/>
  <c r="G16" i="86"/>
  <c r="C36" i="86"/>
  <c r="H975" i="93"/>
  <c r="I969" i="93"/>
  <c r="D474" i="93"/>
  <c r="U546" i="93"/>
  <c r="B480" i="93"/>
  <c r="F483" i="93" s="1"/>
  <c r="A512" i="93"/>
  <c r="U512" i="93"/>
  <c r="J513" i="93"/>
  <c r="P513" i="93"/>
  <c r="S527" i="93"/>
  <c r="S541" i="93"/>
  <c r="J554" i="93"/>
  <c r="J558" i="93"/>
  <c r="G562" i="93"/>
  <c r="S562" i="93"/>
  <c r="A565" i="93"/>
  <c r="J566" i="93"/>
  <c r="M566" i="93"/>
  <c r="P566" i="93"/>
  <c r="S566" i="93"/>
  <c r="J582" i="93"/>
  <c r="J586" i="93" s="1"/>
  <c r="I730" i="93"/>
  <c r="J730" i="93"/>
  <c r="M730" i="93"/>
  <c r="L746" i="93"/>
  <c r="CJ805" i="93"/>
  <c r="G36" i="86"/>
  <c r="C16" i="86"/>
  <c r="G56" i="86"/>
  <c r="C56" i="86"/>
  <c r="F56" i="86"/>
  <c r="D16" i="83"/>
  <c r="A2" i="88"/>
  <c r="B1" i="87"/>
  <c r="F549" i="93"/>
  <c r="F552" i="93"/>
  <c r="U450" i="93"/>
  <c r="A450" i="93"/>
  <c r="G513" i="93"/>
  <c r="S453" i="93"/>
  <c r="J463" i="93"/>
  <c r="U526" i="93"/>
  <c r="A526" i="93"/>
  <c r="G547" i="93"/>
  <c r="V568" i="93"/>
  <c r="G519" i="93"/>
  <c r="G541" i="93"/>
  <c r="G554" i="93"/>
  <c r="J562" i="93"/>
  <c r="FU791" i="93"/>
  <c r="CY791" i="93"/>
  <c r="HA791" i="93"/>
  <c r="EN791" i="93"/>
  <c r="AV791" i="93"/>
  <c r="GG791" i="93"/>
  <c r="DK791" i="93"/>
  <c r="JB791" i="93"/>
  <c r="FP791" i="93"/>
  <c r="CP791" i="93"/>
  <c r="HT791" i="93"/>
  <c r="EY791" i="93"/>
  <c r="BV791" i="93"/>
  <c r="DS791" i="93"/>
  <c r="FI791" i="93"/>
  <c r="GO791" i="93"/>
  <c r="JK791" i="93"/>
  <c r="FX791" i="93"/>
  <c r="CB791" i="93"/>
  <c r="HQ791" i="93"/>
  <c r="DA791" i="93"/>
  <c r="GB791" i="93"/>
  <c r="IH791" i="93"/>
  <c r="JI791" i="93"/>
  <c r="FE791" i="93"/>
  <c r="BZ791" i="93"/>
  <c r="GJ791" i="93"/>
  <c r="DL791" i="93"/>
  <c r="JG791" i="93"/>
  <c r="FQ791" i="93"/>
  <c r="CV791" i="93"/>
  <c r="HY791" i="93"/>
  <c r="EZ791" i="93"/>
  <c r="BW791" i="93"/>
  <c r="GS791" i="93"/>
  <c r="EF791" i="93"/>
  <c r="AI791" i="93"/>
  <c r="BP791" i="93"/>
  <c r="DB791" i="93"/>
  <c r="EX791" i="93"/>
  <c r="FY791" i="93"/>
  <c r="CH791" i="93"/>
  <c r="IM791" i="93"/>
  <c r="EV791" i="93"/>
  <c r="Z791" i="93"/>
  <c r="EA791" i="93"/>
  <c r="IF791" i="93"/>
  <c r="HD791" i="93"/>
  <c r="ET791" i="93"/>
  <c r="BB791" i="93"/>
  <c r="FT791" i="93"/>
  <c r="CW791" i="93"/>
  <c r="IB791" i="93"/>
  <c r="FA791" i="93"/>
  <c r="BX791" i="93"/>
  <c r="GV791" i="93"/>
  <c r="EH791" i="93"/>
  <c r="AN791" i="93"/>
  <c r="GC791" i="93"/>
  <c r="DC791" i="93"/>
  <c r="HL791" i="93"/>
  <c r="JL791" i="93"/>
  <c r="BK791" i="93"/>
  <c r="CZ791" i="93"/>
  <c r="CI791" i="93"/>
  <c r="IN791" i="93"/>
  <c r="EW791" i="93"/>
  <c r="AF791" i="93"/>
  <c r="GR791" i="93"/>
  <c r="DB799" i="93"/>
  <c r="CP799" i="93"/>
  <c r="BU799" i="93"/>
  <c r="IY799" i="93"/>
  <c r="X799" i="93"/>
  <c r="ER799" i="93"/>
  <c r="BW799" i="93"/>
  <c r="AI799" i="93"/>
  <c r="EZ799" i="93"/>
  <c r="BY799" i="93"/>
  <c r="EA799" i="93"/>
  <c r="HQ799" i="93"/>
  <c r="GH799" i="93"/>
  <c r="EQ799" i="93"/>
  <c r="EH799" i="93"/>
  <c r="HF799" i="93"/>
  <c r="IQ799" i="93"/>
  <c r="CR799" i="93"/>
  <c r="CI799" i="93"/>
  <c r="DF799" i="93"/>
  <c r="DC799" i="93"/>
  <c r="IX799" i="93"/>
  <c r="CV799" i="93"/>
  <c r="JL799" i="93"/>
  <c r="DN799" i="93"/>
  <c r="CY799" i="93"/>
  <c r="DW799" i="93"/>
  <c r="CE799" i="93"/>
  <c r="CW768" i="93"/>
  <c r="CU768" i="93"/>
  <c r="BY768" i="93"/>
  <c r="BW768" i="93"/>
  <c r="CX768" i="93"/>
  <c r="CY768" i="93"/>
  <c r="BV768" i="93"/>
  <c r="CV768" i="93"/>
  <c r="DA768" i="93"/>
  <c r="CZ768" i="93"/>
  <c r="CT768" i="93"/>
  <c r="BU768" i="93"/>
  <c r="DA776" i="93"/>
  <c r="DB776" i="93"/>
  <c r="DC776" i="93"/>
  <c r="BV776" i="93"/>
  <c r="CX776" i="93"/>
  <c r="CV776" i="93"/>
  <c r="BX776" i="93"/>
  <c r="CU780" i="93"/>
  <c r="BV780" i="93"/>
  <c r="BY780" i="93"/>
  <c r="BU780" i="93"/>
  <c r="CX780" i="93"/>
  <c r="BW780" i="93"/>
  <c r="CT780" i="93"/>
  <c r="CW780" i="93"/>
  <c r="CV780" i="93"/>
  <c r="CT784" i="93"/>
  <c r="CU784" i="93"/>
  <c r="BU784" i="93"/>
  <c r="DB784" i="93"/>
  <c r="CZ784" i="93"/>
  <c r="CY784" i="93"/>
  <c r="CX784" i="93"/>
  <c r="CY792" i="93"/>
  <c r="CV792" i="93"/>
  <c r="DB792" i="93"/>
  <c r="BX792" i="93"/>
  <c r="DA792" i="93"/>
  <c r="CX792" i="93"/>
  <c r="BU792" i="93"/>
  <c r="DC792" i="93"/>
  <c r="BY792" i="93"/>
  <c r="CX800" i="93"/>
  <c r="CV800" i="93"/>
  <c r="DB800" i="93"/>
  <c r="DA800" i="93"/>
  <c r="BY800" i="93"/>
  <c r="BU800" i="93"/>
  <c r="BW804" i="93"/>
  <c r="DB804" i="93"/>
  <c r="FW790" i="93"/>
  <c r="FG790" i="93"/>
  <c r="IU768" i="93"/>
  <c r="JE768" i="93"/>
  <c r="JC768" i="93"/>
  <c r="JD768" i="93"/>
  <c r="DG768" i="93"/>
  <c r="JG768" i="93"/>
  <c r="JF768" i="93"/>
  <c r="JK768" i="93"/>
  <c r="JL768" i="93"/>
  <c r="JH776" i="93"/>
  <c r="JI776" i="93"/>
  <c r="JJ776" i="93"/>
  <c r="JE776" i="93"/>
  <c r="JC776" i="93"/>
  <c r="EG776" i="93"/>
  <c r="JL776" i="93"/>
  <c r="JK780" i="93"/>
  <c r="JL780" i="93"/>
  <c r="EL780" i="93"/>
  <c r="JF780" i="93"/>
  <c r="JD780" i="93"/>
  <c r="JE780" i="93"/>
  <c r="JL784" i="93"/>
  <c r="JH784" i="93"/>
  <c r="JE784" i="93"/>
  <c r="JD784" i="93"/>
  <c r="JC784" i="93"/>
  <c r="JK784" i="93"/>
  <c r="JF784" i="93"/>
  <c r="JI784" i="93"/>
  <c r="IZ784" i="93"/>
  <c r="JI792" i="93"/>
  <c r="JD792" i="93"/>
  <c r="JH792" i="93"/>
  <c r="JG792" i="93"/>
  <c r="JF792" i="93"/>
  <c r="JK792" i="93"/>
  <c r="DZ800" i="93"/>
  <c r="JC800" i="93"/>
  <c r="JI804" i="93"/>
  <c r="JE804" i="93"/>
  <c r="Q1858" i="93"/>
  <c r="L1858" i="93"/>
  <c r="J1935" i="93"/>
  <c r="U452" i="93"/>
  <c r="FY799" i="93"/>
  <c r="HE799" i="93"/>
  <c r="JE799" i="93"/>
  <c r="FV799" i="93"/>
  <c r="HB799" i="93"/>
  <c r="JD799" i="93"/>
  <c r="FL799" i="93"/>
  <c r="GB799" i="93"/>
  <c r="GR799" i="93"/>
  <c r="HH799" i="93"/>
  <c r="HX799" i="93"/>
  <c r="JO799" i="93"/>
  <c r="FO799" i="93"/>
  <c r="GE799" i="93"/>
  <c r="GU799" i="93"/>
  <c r="HK799" i="93"/>
  <c r="IA799" i="93"/>
  <c r="FK791" i="93"/>
  <c r="GA791" i="93"/>
  <c r="GQ791" i="93"/>
  <c r="HP791" i="93"/>
  <c r="FB791" i="93"/>
  <c r="FR791" i="93"/>
  <c r="GH791" i="93"/>
  <c r="GY791" i="93"/>
  <c r="IC791" i="93"/>
  <c r="HG791" i="93"/>
  <c r="HW791" i="93"/>
  <c r="JQ791" i="93"/>
  <c r="HJ791" i="93"/>
  <c r="HZ791" i="93"/>
  <c r="GJ778" i="93"/>
  <c r="FK774" i="93"/>
  <c r="HC790" i="93"/>
  <c r="FM786" i="93"/>
  <c r="HV770" i="93"/>
  <c r="CW800" i="93"/>
  <c r="HW774" i="93"/>
  <c r="AC768" i="93"/>
  <c r="AQ768" i="93"/>
  <c r="AK768" i="93"/>
  <c r="AP768" i="93"/>
  <c r="AG768" i="93"/>
  <c r="X768" i="93"/>
  <c r="W768" i="93"/>
  <c r="AT768" i="93"/>
  <c r="JK800" i="93"/>
  <c r="CZ800" i="93"/>
  <c r="JJ800" i="93"/>
  <c r="CY800" i="93"/>
  <c r="CV788" i="93"/>
  <c r="BY804" i="93"/>
  <c r="GK799" i="93"/>
  <c r="CY804" i="93"/>
  <c r="DA804" i="93"/>
  <c r="JK796" i="93"/>
  <c r="JH799" i="93"/>
  <c r="FJ799" i="93"/>
  <c r="FM799" i="93"/>
  <c r="FR799" i="93"/>
  <c r="HI799" i="93"/>
  <c r="JK799" i="93"/>
  <c r="IU796" i="93"/>
  <c r="JC772" i="93"/>
  <c r="JI772" i="93"/>
  <c r="JD776" i="93"/>
  <c r="JK776" i="93"/>
  <c r="BU776" i="93"/>
  <c r="CU776" i="93"/>
  <c r="CZ776" i="93"/>
  <c r="JG776" i="93"/>
  <c r="AZ799" i="93"/>
  <c r="IN799" i="93"/>
  <c r="EY799" i="93"/>
  <c r="DG799" i="93"/>
  <c r="JG800" i="93"/>
  <c r="JF796" i="93"/>
  <c r="CU800" i="93"/>
  <c r="CT792" i="93"/>
  <c r="AB792" i="93"/>
  <c r="JL792" i="93"/>
  <c r="BD799" i="93"/>
  <c r="HA799" i="93"/>
  <c r="DX791" i="93"/>
  <c r="AA791" i="93"/>
  <c r="CN791" i="93"/>
  <c r="CN805" i="93" s="1"/>
  <c r="GF791" i="93"/>
  <c r="BY791" i="93"/>
  <c r="GK791" i="93"/>
  <c r="CV796" i="93"/>
  <c r="AF784" i="93"/>
  <c r="BX768" i="93"/>
  <c r="DW768" i="93"/>
  <c r="FO770" i="93"/>
  <c r="IH799" i="93"/>
  <c r="FO782" i="93"/>
  <c r="BU788" i="93"/>
  <c r="DA788" i="93"/>
  <c r="EM768" i="93"/>
  <c r="EX772" i="93"/>
  <c r="BY772" i="93"/>
  <c r="EZ772" i="93"/>
  <c r="JM772" i="93"/>
  <c r="FL772" i="93"/>
  <c r="HK772" i="93"/>
  <c r="JL772" i="93"/>
  <c r="CX772" i="93"/>
  <c r="CT772" i="93"/>
  <c r="HB772" i="93"/>
  <c r="FV772" i="93"/>
  <c r="HQ772" i="93"/>
  <c r="GK772" i="93"/>
  <c r="FE772" i="93"/>
  <c r="GY772" i="93"/>
  <c r="FS772" i="93"/>
  <c r="HN772" i="93"/>
  <c r="GH772" i="93"/>
  <c r="FB772" i="93"/>
  <c r="FT772" i="93"/>
  <c r="GW772" i="93"/>
  <c r="HL772" i="93"/>
  <c r="FW772" i="93"/>
  <c r="FX772" i="93"/>
  <c r="FY772" i="93"/>
  <c r="HD772" i="93"/>
  <c r="JP772" i="93"/>
  <c r="IZ772" i="93"/>
  <c r="AJ772" i="93"/>
  <c r="BV772" i="93"/>
  <c r="BW772" i="93"/>
  <c r="BX772" i="93"/>
  <c r="GO772" i="93"/>
  <c r="HH772" i="93"/>
  <c r="JG772" i="93"/>
  <c r="CW772" i="93"/>
  <c r="BP772" i="93"/>
  <c r="HZ772" i="93"/>
  <c r="GT772" i="93"/>
  <c r="FN772" i="93"/>
  <c r="HI772" i="93"/>
  <c r="GC772" i="93"/>
  <c r="HW772" i="93"/>
  <c r="GQ772" i="93"/>
  <c r="FK772" i="93"/>
  <c r="HF772" i="93"/>
  <c r="FZ772" i="93"/>
  <c r="HP772" i="93"/>
  <c r="FD772" i="93"/>
  <c r="GG772" i="93"/>
  <c r="GV772" i="93"/>
  <c r="GR772" i="93"/>
  <c r="GU772" i="93"/>
  <c r="IA772" i="93"/>
  <c r="FH772" i="93"/>
  <c r="CZ772" i="93"/>
  <c r="CY772" i="93"/>
  <c r="HS772" i="93"/>
  <c r="DA772" i="93"/>
  <c r="CF772" i="93"/>
  <c r="BU772" i="93"/>
  <c r="DL772" i="93"/>
  <c r="EW772" i="93"/>
  <c r="GM772" i="93"/>
  <c r="GN772" i="93"/>
  <c r="FI772" i="93"/>
  <c r="JD772" i="93"/>
  <c r="CU772" i="93"/>
  <c r="HR772" i="93"/>
  <c r="GL772" i="93"/>
  <c r="FF772" i="93"/>
  <c r="HA772" i="93"/>
  <c r="FU772" i="93"/>
  <c r="HO772" i="93"/>
  <c r="GI772" i="93"/>
  <c r="FC772" i="93"/>
  <c r="GX772" i="93"/>
  <c r="FR772" i="93"/>
  <c r="GZ772" i="93"/>
  <c r="IC772" i="93"/>
  <c r="FQ772" i="93"/>
  <c r="GF772" i="93"/>
  <c r="HT772" i="93"/>
  <c r="HU772" i="93"/>
  <c r="HC772" i="93"/>
  <c r="JO772" i="93"/>
  <c r="FG772" i="93"/>
  <c r="GE772" i="93"/>
  <c r="JF772" i="93"/>
  <c r="JQ772" i="93"/>
  <c r="JJ772" i="93"/>
  <c r="ER772" i="93"/>
  <c r="CZ780" i="93"/>
  <c r="EZ788" i="93"/>
  <c r="DC788" i="93"/>
  <c r="DB788" i="93"/>
  <c r="DL788" i="93"/>
  <c r="EG788" i="93"/>
  <c r="JN788" i="93"/>
  <c r="JK788" i="93"/>
  <c r="BP788" i="93"/>
  <c r="IC788" i="93"/>
  <c r="GX788" i="93"/>
  <c r="FR788" i="93"/>
  <c r="HM788" i="93"/>
  <c r="GG788" i="93"/>
  <c r="IB788" i="93"/>
  <c r="GV788" i="93"/>
  <c r="FP788" i="93"/>
  <c r="HK788" i="93"/>
  <c r="GE788" i="93"/>
  <c r="HR788" i="93"/>
  <c r="FF788" i="93"/>
  <c r="FU788" i="93"/>
  <c r="GI788" i="93"/>
  <c r="FM788" i="93"/>
  <c r="HH788" i="93"/>
  <c r="HG788" i="93"/>
  <c r="GZ788" i="93"/>
  <c r="GA788" i="93"/>
  <c r="HW788" i="93"/>
  <c r="JJ788" i="93"/>
  <c r="JE788" i="93"/>
  <c r="CO788" i="93"/>
  <c r="EX788" i="93"/>
  <c r="BY788" i="93"/>
  <c r="CY788" i="93"/>
  <c r="JC788" i="93"/>
  <c r="JI788" i="93"/>
  <c r="CX788" i="93"/>
  <c r="HV788" i="93"/>
  <c r="GP788" i="93"/>
  <c r="FJ788" i="93"/>
  <c r="HE788" i="93"/>
  <c r="FY788" i="93"/>
  <c r="HT788" i="93"/>
  <c r="GN788" i="93"/>
  <c r="FH788" i="93"/>
  <c r="HC788" i="93"/>
  <c r="FW788" i="93"/>
  <c r="HB788" i="93"/>
  <c r="HQ788" i="93"/>
  <c r="FE788" i="93"/>
  <c r="FS788" i="93"/>
  <c r="HI788" i="93"/>
  <c r="GD788" i="93"/>
  <c r="GC788" i="93"/>
  <c r="GB788" i="93"/>
  <c r="FT788" i="93"/>
  <c r="GS788" i="93"/>
  <c r="BW788" i="93"/>
  <c r="FA788" i="93"/>
  <c r="EW788" i="93"/>
  <c r="EY788" i="93"/>
  <c r="Y788" i="93"/>
  <c r="JQ788" i="93"/>
  <c r="JM788" i="93"/>
  <c r="JF788" i="93"/>
  <c r="CW788" i="93"/>
  <c r="CT788" i="93"/>
  <c r="HN788" i="93"/>
  <c r="GH788" i="93"/>
  <c r="FB788" i="93"/>
  <c r="GW788" i="93"/>
  <c r="FQ788" i="93"/>
  <c r="HL788" i="93"/>
  <c r="GF788" i="93"/>
  <c r="IA788" i="93"/>
  <c r="GU788" i="93"/>
  <c r="FO788" i="93"/>
  <c r="GL788" i="93"/>
  <c r="HA788" i="93"/>
  <c r="HO788" i="93"/>
  <c r="HJ788" i="93"/>
  <c r="GJ788" i="93"/>
  <c r="FK788" i="93"/>
  <c r="FD788" i="93"/>
  <c r="FC788" i="93"/>
  <c r="HX788" i="93"/>
  <c r="JH788" i="93"/>
  <c r="EW796" i="93"/>
  <c r="EZ796" i="93"/>
  <c r="CY796" i="93"/>
  <c r="EY796" i="93"/>
  <c r="FA796" i="93"/>
  <c r="CT796" i="93"/>
  <c r="GR796" i="93"/>
  <c r="GP796" i="93"/>
  <c r="HY796" i="93"/>
  <c r="FT796" i="93"/>
  <c r="JI796" i="93"/>
  <c r="JD796" i="93"/>
  <c r="CW796" i="93"/>
  <c r="GO796" i="93"/>
  <c r="FB796" i="93"/>
  <c r="GL796" i="93"/>
  <c r="HU796" i="93"/>
  <c r="GA796" i="93"/>
  <c r="HF796" i="93"/>
  <c r="FO796" i="93"/>
  <c r="GS796" i="93"/>
  <c r="FF796" i="93"/>
  <c r="HB796" i="93"/>
  <c r="HM796" i="93"/>
  <c r="BV796" i="93"/>
  <c r="BX796" i="93"/>
  <c r="FK796" i="93"/>
  <c r="HZ796" i="93"/>
  <c r="HP796" i="93"/>
  <c r="BW796" i="93"/>
  <c r="DC796" i="93"/>
  <c r="EX796" i="93"/>
  <c r="HA796" i="93"/>
  <c r="GQ796" i="93"/>
  <c r="GH796" i="93"/>
  <c r="HN796" i="93"/>
  <c r="JE796" i="93"/>
  <c r="HJ796" i="93"/>
  <c r="FS796" i="93"/>
  <c r="HI796" i="93"/>
  <c r="FR796" i="93"/>
  <c r="GW796" i="93"/>
  <c r="FH796" i="93"/>
  <c r="GJ796" i="93"/>
  <c r="HQ796" i="93"/>
  <c r="FY796" i="93"/>
  <c r="GZ796" i="93"/>
  <c r="FD796" i="93"/>
  <c r="FE796" i="93"/>
  <c r="M1721" i="93"/>
  <c r="P1721" i="93" s="1"/>
  <c r="M1723" i="93"/>
  <c r="P1723" i="93" s="1"/>
  <c r="K1732" i="93"/>
  <c r="CU792" i="93"/>
  <c r="CX799" i="93"/>
  <c r="JI774" i="93"/>
  <c r="DC800" i="93"/>
  <c r="AR768" i="93"/>
  <c r="AR805" i="93" s="1"/>
  <c r="AI768" i="93"/>
  <c r="AZ768" i="93"/>
  <c r="AH768" i="93"/>
  <c r="AV768" i="93"/>
  <c r="AU768" i="93"/>
  <c r="AO768" i="93"/>
  <c r="AL768" i="93"/>
  <c r="BW800" i="93"/>
  <c r="BV800" i="93"/>
  <c r="CU804" i="93"/>
  <c r="BT804" i="93"/>
  <c r="JI799" i="93"/>
  <c r="GP799" i="93"/>
  <c r="GS799" i="93"/>
  <c r="GX799" i="93"/>
  <c r="FE799" i="93"/>
  <c r="HN799" i="93"/>
  <c r="AQ774" i="93"/>
  <c r="DS796" i="93"/>
  <c r="CC780" i="93"/>
  <c r="EB772" i="93"/>
  <c r="JH780" i="93"/>
  <c r="IH776" i="93"/>
  <c r="CT776" i="93"/>
  <c r="FU799" i="93"/>
  <c r="DP799" i="93"/>
  <c r="JI800" i="93"/>
  <c r="CW799" i="93"/>
  <c r="BV799" i="93"/>
  <c r="ID792" i="93"/>
  <c r="JF800" i="93"/>
  <c r="JL796" i="93"/>
  <c r="JJ796" i="93"/>
  <c r="EE792" i="93"/>
  <c r="EE805" i="93" s="1"/>
  <c r="CW792" i="93"/>
  <c r="JE792" i="93"/>
  <c r="HE772" i="93"/>
  <c r="JI768" i="93"/>
  <c r="BT799" i="93"/>
  <c r="BU791" i="93"/>
  <c r="JJ791" i="93"/>
  <c r="FM791" i="93"/>
  <c r="AP791" i="93"/>
  <c r="FD791" i="93"/>
  <c r="FC796" i="93"/>
  <c r="HY788" i="93"/>
  <c r="GY788" i="93"/>
  <c r="GM788" i="93"/>
  <c r="FI788" i="93"/>
  <c r="HF788" i="93"/>
  <c r="GJ772" i="93"/>
  <c r="GA772" i="93"/>
  <c r="HY772" i="93"/>
  <c r="CU788" i="93"/>
  <c r="JL788" i="93"/>
  <c r="JC780" i="93"/>
  <c r="ID784" i="93"/>
  <c r="BW784" i="93"/>
  <c r="BY784" i="93"/>
  <c r="DB768" i="93"/>
  <c r="IJ772" i="93"/>
  <c r="DB772" i="93"/>
  <c r="EU796" i="93"/>
  <c r="BV788" i="93"/>
  <c r="EY772" i="93"/>
  <c r="JE772" i="93"/>
  <c r="EY770" i="93"/>
  <c r="GJ782" i="93"/>
  <c r="HS790" i="93"/>
  <c r="BU796" i="93"/>
  <c r="DC804" i="93"/>
  <c r="J889" i="93"/>
  <c r="J894" i="93"/>
  <c r="N903" i="93"/>
  <c r="K1656" i="93"/>
  <c r="Q1871" i="93"/>
  <c r="L1871" i="93"/>
  <c r="FX782" i="93"/>
  <c r="GT782" i="93"/>
  <c r="HO782" i="93"/>
  <c r="JQ782" i="93"/>
  <c r="HN782" i="93"/>
  <c r="FI782" i="93"/>
  <c r="FY782" i="93"/>
  <c r="GO782" i="93"/>
  <c r="HE782" i="93"/>
  <c r="FI778" i="93"/>
  <c r="GC778" i="93"/>
  <c r="GW778" i="93"/>
  <c r="HQ778" i="93"/>
  <c r="JP778" i="93"/>
  <c r="AX778" i="93"/>
  <c r="CW778" i="93"/>
  <c r="EX778" i="93"/>
  <c r="FN778" i="93"/>
  <c r="GD778" i="93"/>
  <c r="GT778" i="93"/>
  <c r="HJ778" i="93"/>
  <c r="HZ778" i="93"/>
  <c r="HE778" i="93"/>
  <c r="AY774" i="93"/>
  <c r="BT774" i="93"/>
  <c r="FA774" i="93"/>
  <c r="FQ774" i="93"/>
  <c r="GG774" i="93"/>
  <c r="GW774" i="93"/>
  <c r="HM774" i="93"/>
  <c r="IC774" i="93"/>
  <c r="JD774" i="93"/>
  <c r="AW770" i="93"/>
  <c r="BR770" i="93"/>
  <c r="FL770" i="93"/>
  <c r="GB770" i="93"/>
  <c r="GR770" i="93"/>
  <c r="HH770" i="93"/>
  <c r="HX770" i="93"/>
  <c r="JJ770" i="93"/>
  <c r="E805" i="93"/>
  <c r="BK799" i="93"/>
  <c r="BD791" i="93"/>
  <c r="CU791" i="93"/>
  <c r="BE774" i="93"/>
  <c r="CT774" i="93"/>
  <c r="JC804" i="93"/>
  <c r="JE786" i="93"/>
  <c r="FI799" i="93"/>
  <c r="GO799" i="93"/>
  <c r="HU799" i="93"/>
  <c r="FF799" i="93"/>
  <c r="GL799" i="93"/>
  <c r="HR799" i="93"/>
  <c r="FD799" i="93"/>
  <c r="FT799" i="93"/>
  <c r="GJ799" i="93"/>
  <c r="GZ799" i="93"/>
  <c r="HP799" i="93"/>
  <c r="JC799" i="93"/>
  <c r="FG799" i="93"/>
  <c r="FW799" i="93"/>
  <c r="GM799" i="93"/>
  <c r="HC799" i="93"/>
  <c r="HS799" i="93"/>
  <c r="JN799" i="93"/>
  <c r="FC791" i="93"/>
  <c r="FS791" i="93"/>
  <c r="GI791" i="93"/>
  <c r="GZ791" i="93"/>
  <c r="JF791" i="93"/>
  <c r="FJ791" i="93"/>
  <c r="FZ791" i="93"/>
  <c r="GP791" i="93"/>
  <c r="HM791" i="93"/>
  <c r="JN791" i="93"/>
  <c r="HO791" i="93"/>
  <c r="JE791" i="93"/>
  <c r="HB791" i="93"/>
  <c r="HR791" i="93"/>
  <c r="JP791" i="93"/>
  <c r="GH786" i="93"/>
  <c r="HB774" i="93"/>
  <c r="CX791" i="93"/>
  <c r="JE800" i="93"/>
  <c r="CT800" i="93"/>
  <c r="AB768" i="93"/>
  <c r="AA768" i="93"/>
  <c r="AJ768" i="93"/>
  <c r="Z768" i="93"/>
  <c r="AN768" i="93"/>
  <c r="AM768" i="93"/>
  <c r="Y768" i="93"/>
  <c r="AD768" i="93"/>
  <c r="CW804" i="93"/>
  <c r="EI804" i="93"/>
  <c r="CV804" i="93"/>
  <c r="BU804" i="93"/>
  <c r="JF804" i="93"/>
  <c r="JJ799" i="93"/>
  <c r="HV799" i="93"/>
  <c r="HY799" i="93"/>
  <c r="FA799" i="93"/>
  <c r="FB799" i="93"/>
  <c r="DQ780" i="93"/>
  <c r="JI780" i="93"/>
  <c r="JG780" i="93"/>
  <c r="JF776" i="93"/>
  <c r="CY776" i="93"/>
  <c r="CS776" i="93"/>
  <c r="BY776" i="93"/>
  <c r="CZ799" i="93"/>
  <c r="BX799" i="93"/>
  <c r="AA799" i="93"/>
  <c r="BW792" i="93"/>
  <c r="JJ804" i="93"/>
  <c r="IE800" i="93"/>
  <c r="JJ784" i="93"/>
  <c r="EI799" i="93"/>
  <c r="FH791" i="93"/>
  <c r="HI791" i="93"/>
  <c r="IV791" i="93"/>
  <c r="EM791" i="93"/>
  <c r="JH791" i="93"/>
  <c r="FP772" i="93"/>
  <c r="FJ772" i="93"/>
  <c r="HG772" i="93"/>
  <c r="GD772" i="93"/>
  <c r="BI780" i="93"/>
  <c r="JD788" i="93"/>
  <c r="JJ780" i="93"/>
  <c r="DC784" i="93"/>
  <c r="DC768" i="93"/>
  <c r="JH768" i="93"/>
  <c r="CZ788" i="93"/>
  <c r="CZ796" i="93"/>
  <c r="BY796" i="93"/>
  <c r="BX788" i="93"/>
  <c r="FA772" i="93"/>
  <c r="FL778" i="93"/>
  <c r="EK767" i="93"/>
  <c r="BH767" i="93"/>
  <c r="BH805" i="93" s="1"/>
  <c r="JA767" i="93"/>
  <c r="IS767" i="93"/>
  <c r="CD767" i="93"/>
  <c r="CL767" i="93"/>
  <c r="ES767" i="93"/>
  <c r="DM767" i="93"/>
  <c r="DU767" i="93"/>
  <c r="EC767" i="93"/>
  <c r="IZ767" i="93"/>
  <c r="AM800" i="93"/>
  <c r="IH788" i="93"/>
  <c r="CP784" i="93"/>
  <c r="BA784" i="93"/>
  <c r="IM780" i="93"/>
  <c r="AM780" i="93"/>
  <c r="AH776" i="93"/>
  <c r="BC776" i="93"/>
  <c r="IE768" i="93"/>
  <c r="BG768" i="93"/>
  <c r="CM768" i="93"/>
  <c r="HK770" i="93"/>
  <c r="FE770" i="93"/>
  <c r="HQ770" i="93"/>
  <c r="CI770" i="93"/>
  <c r="GP770" i="93"/>
  <c r="AM770" i="93"/>
  <c r="ES770" i="93"/>
  <c r="HF770" i="93"/>
  <c r="FU770" i="93"/>
  <c r="JM770" i="93"/>
  <c r="IA770" i="93"/>
  <c r="GU770" i="93"/>
  <c r="GK770" i="93"/>
  <c r="EZ774" i="93"/>
  <c r="GL774" i="93"/>
  <c r="CM774" i="93"/>
  <c r="FF774" i="93"/>
  <c r="JN774" i="93"/>
  <c r="GA774" i="93"/>
  <c r="HL774" i="93"/>
  <c r="FP774" i="93"/>
  <c r="HR774" i="93"/>
  <c r="FV774" i="93"/>
  <c r="GQ774" i="93"/>
  <c r="IB774" i="93"/>
  <c r="GV774" i="93"/>
  <c r="HX778" i="93"/>
  <c r="FT778" i="93"/>
  <c r="HH778" i="93"/>
  <c r="GR778" i="93"/>
  <c r="BV778" i="93"/>
  <c r="CZ778" i="93"/>
  <c r="HF782" i="93"/>
  <c r="HP782" i="93"/>
  <c r="FZ782" i="93"/>
  <c r="IA782" i="93"/>
  <c r="GS786" i="93"/>
  <c r="HY786" i="93"/>
  <c r="FB786" i="93"/>
  <c r="AP786" i="93"/>
  <c r="EW794" i="93"/>
  <c r="A1097" i="93"/>
  <c r="H1097" i="93" s="1"/>
  <c r="Q1667" i="93"/>
  <c r="L1667" i="93"/>
  <c r="FV771" i="93"/>
  <c r="FG771" i="93"/>
  <c r="HS771" i="93"/>
  <c r="HF771" i="93"/>
  <c r="FX771" i="93"/>
  <c r="HD771" i="93"/>
  <c r="FI771" i="93"/>
  <c r="GO771" i="93"/>
  <c r="HU771" i="93"/>
  <c r="FS771" i="93"/>
  <c r="GY771" i="93"/>
  <c r="FD771" i="93"/>
  <c r="GJ771" i="93"/>
  <c r="HP771" i="93"/>
  <c r="GP768" i="93"/>
  <c r="DP773" i="93"/>
  <c r="GC768" i="93"/>
  <c r="DE771" i="93"/>
  <c r="CY780" i="93"/>
  <c r="HI773" i="93"/>
  <c r="BX780" i="93"/>
  <c r="HE773" i="93"/>
  <c r="EW780" i="93"/>
  <c r="HY773" i="93"/>
  <c r="CT804" i="93"/>
  <c r="DB780" i="93"/>
  <c r="HU773" i="93"/>
  <c r="BU787" i="93"/>
  <c r="CZ771" i="93"/>
  <c r="CK795" i="93"/>
  <c r="CE787" i="93"/>
  <c r="CY771" i="93"/>
  <c r="AO771" i="93"/>
  <c r="IK795" i="93"/>
  <c r="FA787" i="93"/>
  <c r="CC771" i="93"/>
  <c r="DA795" i="93"/>
  <c r="CQ787" i="93"/>
  <c r="AK771" i="93"/>
  <c r="HL773" i="93"/>
  <c r="JN773" i="93"/>
  <c r="CZ795" i="93"/>
  <c r="CP787" i="93"/>
  <c r="BX771" i="93"/>
  <c r="HM773" i="93"/>
  <c r="HY771" i="93"/>
  <c r="EX773" i="93"/>
  <c r="IG771" i="93"/>
  <c r="EX797" i="93"/>
  <c r="EZ795" i="93"/>
  <c r="EZ787" i="93"/>
  <c r="CL787" i="93"/>
  <c r="EX789" i="93"/>
  <c r="DB795" i="93"/>
  <c r="AG771" i="93"/>
  <c r="BX795" i="93"/>
  <c r="CH771" i="93"/>
  <c r="EY780" i="93"/>
  <c r="AA787" i="93"/>
  <c r="IF795" i="93"/>
  <c r="IL787" i="93"/>
  <c r="IH771" i="93"/>
  <c r="BW771" i="93"/>
  <c r="DC780" i="93"/>
  <c r="CZ804" i="93"/>
  <c r="DA780" i="93"/>
  <c r="FA771" i="93"/>
  <c r="EZ773" i="93"/>
  <c r="EW787" i="93"/>
  <c r="FA789" i="93"/>
  <c r="EX795" i="93"/>
  <c r="EY797" i="93"/>
  <c r="L1766" i="93"/>
  <c r="L1923" i="93"/>
  <c r="Q1766" i="93"/>
  <c r="Q1656" i="93"/>
  <c r="C1060" i="94"/>
  <c r="B1070" i="94"/>
  <c r="HB771" i="93"/>
  <c r="GM771" i="93"/>
  <c r="FZ771" i="93"/>
  <c r="FH771" i="93"/>
  <c r="GN771" i="93"/>
  <c r="HT771" i="93"/>
  <c r="FY771" i="93"/>
  <c r="HE771" i="93"/>
  <c r="FC771" i="93"/>
  <c r="GI771" i="93"/>
  <c r="HO771" i="93"/>
  <c r="FT771" i="93"/>
  <c r="GZ771" i="93"/>
  <c r="GU771" i="93"/>
  <c r="JM768" i="93"/>
  <c r="FJ768" i="93"/>
  <c r="GO773" i="93"/>
  <c r="FJ773" i="93"/>
  <c r="DJ771" i="93"/>
  <c r="GF773" i="93"/>
  <c r="EP771" i="93"/>
  <c r="FZ773" i="93"/>
  <c r="EH771" i="93"/>
  <c r="FQ773" i="93"/>
  <c r="DZ771" i="93"/>
  <c r="BV795" i="93"/>
  <c r="BU771" i="93"/>
  <c r="IM795" i="93"/>
  <c r="IE787" i="93"/>
  <c r="IL771" i="93"/>
  <c r="AP771" i="93"/>
  <c r="EW771" i="93"/>
  <c r="IA768" i="93"/>
  <c r="CI795" i="93"/>
  <c r="CA787" i="93"/>
  <c r="AC795" i="93"/>
  <c r="AG787" i="93"/>
  <c r="CO771" i="93"/>
  <c r="HK789" i="93"/>
  <c r="DQ771" i="93"/>
  <c r="AB795" i="93"/>
  <c r="AE787" i="93"/>
  <c r="DC771" i="93"/>
  <c r="HV773" i="93"/>
  <c r="HU804" i="93"/>
  <c r="EG771" i="93"/>
  <c r="FY773" i="93"/>
  <c r="DB787" i="93"/>
  <c r="IG787" i="93"/>
  <c r="W795" i="93"/>
  <c r="EZ771" i="93"/>
  <c r="DC787" i="93"/>
  <c r="CP771" i="93"/>
  <c r="CP805" i="93" s="1"/>
  <c r="K873" i="93" s="1"/>
  <c r="BZ771" i="93"/>
  <c r="EZ789" i="93"/>
  <c r="M577" i="94"/>
  <c r="M594" i="94" s="1"/>
  <c r="M596" i="94" s="1"/>
  <c r="M598" i="94" s="1"/>
  <c r="JZ810" i="94"/>
  <c r="M879" i="94" s="1"/>
  <c r="KT810" i="94"/>
  <c r="M883" i="94" s="1"/>
  <c r="M902" i="94" s="1"/>
  <c r="JP810" i="94"/>
  <c r="M889" i="94" s="1"/>
  <c r="MH810" i="94"/>
  <c r="P577" i="94"/>
  <c r="P594" i="94" s="1"/>
  <c r="P596" i="94" s="1"/>
  <c r="P598" i="94" s="1"/>
  <c r="D30" i="74"/>
  <c r="C1045" i="94"/>
  <c r="BM785" i="94"/>
  <c r="BQ785" i="94"/>
  <c r="BU785" i="94"/>
  <c r="BU810" i="94" s="1"/>
  <c r="J847" i="94" s="1"/>
  <c r="BY785" i="94"/>
  <c r="CC785" i="94"/>
  <c r="CG785" i="94"/>
  <c r="CK785" i="94"/>
  <c r="CO785" i="94"/>
  <c r="CS785" i="94"/>
  <c r="CW785" i="94"/>
  <c r="DA785" i="94"/>
  <c r="DE785" i="94"/>
  <c r="DI785" i="94"/>
  <c r="DM785" i="94"/>
  <c r="DQ785" i="94"/>
  <c r="DQ810" i="94" s="1"/>
  <c r="M856" i="94" s="1"/>
  <c r="DU785" i="94"/>
  <c r="DY785" i="94"/>
  <c r="FV785" i="94"/>
  <c r="FZ785" i="94"/>
  <c r="BN787" i="94"/>
  <c r="BR787" i="94"/>
  <c r="BV787" i="94"/>
  <c r="BZ787" i="94"/>
  <c r="CD787" i="94"/>
  <c r="CH787" i="94"/>
  <c r="CL787" i="94"/>
  <c r="CP787" i="94"/>
  <c r="CT787" i="94"/>
  <c r="CX787" i="94"/>
  <c r="DB787" i="94"/>
  <c r="DF787" i="94"/>
  <c r="DJ787" i="94"/>
  <c r="DN787" i="94"/>
  <c r="DR787" i="94"/>
  <c r="DV787" i="94"/>
  <c r="DZ787" i="94"/>
  <c r="FW787" i="94"/>
  <c r="BW793" i="94"/>
  <c r="CX793" i="94"/>
  <c r="DW793" i="94"/>
  <c r="IA797" i="94"/>
  <c r="FX800" i="94"/>
  <c r="C1072" i="94"/>
  <c r="K1072" i="94"/>
  <c r="B1104" i="94"/>
  <c r="J1104" i="94"/>
  <c r="BN785" i="94"/>
  <c r="BR785" i="94"/>
  <c r="BV785" i="94"/>
  <c r="BZ785" i="94"/>
  <c r="CD785" i="94"/>
  <c r="CH785" i="94"/>
  <c r="CL785" i="94"/>
  <c r="CP785" i="94"/>
  <c r="CT785" i="94"/>
  <c r="CX785" i="94"/>
  <c r="DB785" i="94"/>
  <c r="DF785" i="94"/>
  <c r="DJ785" i="94"/>
  <c r="DN785" i="94"/>
  <c r="DR785" i="94"/>
  <c r="DV785" i="94"/>
  <c r="DZ785" i="94"/>
  <c r="FW785" i="94"/>
  <c r="BK787" i="94"/>
  <c r="BO787" i="94"/>
  <c r="BS787" i="94"/>
  <c r="BW787" i="94"/>
  <c r="CA787" i="94"/>
  <c r="CE787" i="94"/>
  <c r="CI787" i="94"/>
  <c r="CM787" i="94"/>
  <c r="CQ787" i="94"/>
  <c r="CU787" i="94"/>
  <c r="CY787" i="94"/>
  <c r="DC787" i="94"/>
  <c r="DG787" i="94"/>
  <c r="DK787" i="94"/>
  <c r="DO787" i="94"/>
  <c r="DS787" i="94"/>
  <c r="DW787" i="94"/>
  <c r="EA787" i="94"/>
  <c r="FX787" i="94"/>
  <c r="CD793" i="94"/>
  <c r="DC793" i="94"/>
  <c r="IB797" i="94"/>
  <c r="FY800" i="94"/>
  <c r="K25" i="74"/>
  <c r="I25" i="74"/>
  <c r="G25" i="74"/>
  <c r="E25" i="74"/>
  <c r="C25" i="74"/>
  <c r="D1134" i="94"/>
  <c r="H1104" i="94"/>
  <c r="D1104" i="94"/>
  <c r="I1072" i="94"/>
  <c r="E1072" i="94"/>
  <c r="C1134" i="94"/>
  <c r="K1104" i="94"/>
  <c r="G1104" i="94"/>
  <c r="C1104" i="94"/>
  <c r="H1072" i="94"/>
  <c r="D1072" i="94"/>
  <c r="J25" i="74"/>
  <c r="H25" i="74"/>
  <c r="F25" i="74"/>
  <c r="D25" i="74"/>
  <c r="B25" i="74"/>
  <c r="B39" i="74" s="1"/>
  <c r="K31" i="74"/>
  <c r="I31" i="74"/>
  <c r="G31" i="74"/>
  <c r="E31" i="74"/>
  <c r="C31" i="74"/>
  <c r="D1078" i="94"/>
  <c r="C1078" i="94"/>
  <c r="J31" i="74"/>
  <c r="H31" i="74"/>
  <c r="F31" i="74"/>
  <c r="D31" i="74"/>
  <c r="B31" i="74"/>
  <c r="B43" i="74" s="1"/>
  <c r="BK785" i="94"/>
  <c r="BO785" i="94"/>
  <c r="BS785" i="94"/>
  <c r="BW785" i="94"/>
  <c r="CA785" i="94"/>
  <c r="CA810" i="94" s="1"/>
  <c r="K846" i="94" s="1"/>
  <c r="CE785" i="94"/>
  <c r="CI785" i="94"/>
  <c r="CI810" i="94" s="1"/>
  <c r="N845" i="94" s="1"/>
  <c r="CM785" i="94"/>
  <c r="CQ785" i="94"/>
  <c r="CU785" i="94"/>
  <c r="CY785" i="94"/>
  <c r="DC785" i="94"/>
  <c r="DC810" i="94" s="1"/>
  <c r="N859" i="94" s="1"/>
  <c r="DG785" i="94"/>
  <c r="DK785" i="94"/>
  <c r="DO785" i="94"/>
  <c r="DS785" i="94"/>
  <c r="DW785" i="94"/>
  <c r="EA785" i="94"/>
  <c r="BL787" i="94"/>
  <c r="BL810" i="94" s="1"/>
  <c r="K849" i="94" s="1"/>
  <c r="BP787" i="94"/>
  <c r="BT787" i="94"/>
  <c r="BX787" i="94"/>
  <c r="CB787" i="94"/>
  <c r="CF787" i="94"/>
  <c r="CJ787" i="94"/>
  <c r="CN787" i="94"/>
  <c r="CR787" i="94"/>
  <c r="CV787" i="94"/>
  <c r="CZ787" i="94"/>
  <c r="DD787" i="94"/>
  <c r="DH787" i="94"/>
  <c r="DH810" i="94" s="1"/>
  <c r="N858" i="94" s="1"/>
  <c r="DL787" i="94"/>
  <c r="DP787" i="94"/>
  <c r="DT787" i="94"/>
  <c r="DX787" i="94"/>
  <c r="EB787" i="94"/>
  <c r="BK793" i="94"/>
  <c r="CK793" i="94"/>
  <c r="DJ793" i="94"/>
  <c r="HY797" i="94"/>
  <c r="MA802" i="94"/>
  <c r="G1072" i="94"/>
  <c r="F1078" i="94"/>
  <c r="F1104" i="94"/>
  <c r="B1134" i="94"/>
  <c r="D23" i="74"/>
  <c r="D1038" i="94" s="1"/>
  <c r="E13" i="74"/>
  <c r="Q1745" i="94"/>
  <c r="F1746" i="94"/>
  <c r="L1763" i="94"/>
  <c r="Q1763" i="94"/>
  <c r="O1964" i="94"/>
  <c r="O306" i="72"/>
  <c r="L1214" i="94"/>
  <c r="L1200" i="94"/>
  <c r="Q1735" i="94"/>
  <c r="H1736" i="94"/>
  <c r="C1073" i="94"/>
  <c r="G1073" i="94"/>
  <c r="K1073" i="94"/>
  <c r="E1105" i="94"/>
  <c r="I1105" i="94"/>
  <c r="B1135" i="94"/>
  <c r="F1135" i="94"/>
  <c r="B26" i="74"/>
  <c r="D26" i="74"/>
  <c r="F26" i="74"/>
  <c r="H26" i="74"/>
  <c r="J26" i="74"/>
  <c r="C28" i="74"/>
  <c r="E28" i="74"/>
  <c r="G28" i="74"/>
  <c r="I28" i="74"/>
  <c r="D1073" i="94"/>
  <c r="H1073" i="94"/>
  <c r="B1105" i="94"/>
  <c r="F1105" i="94"/>
  <c r="J1105" i="94"/>
  <c r="O329" i="72"/>
  <c r="T1821" i="94"/>
  <c r="JK48" i="75"/>
  <c r="M126" i="75" s="1"/>
  <c r="IP48" i="75"/>
  <c r="L130" i="75" s="1"/>
  <c r="IF48" i="75"/>
  <c r="L124" i="75" s="1"/>
  <c r="IO48" i="75"/>
  <c r="K130" i="75" s="1"/>
  <c r="P1200" i="94"/>
  <c r="F1325" i="94"/>
  <c r="T1823" i="94"/>
  <c r="IQ48" i="75"/>
  <c r="M130" i="75" s="1"/>
  <c r="IG48" i="75"/>
  <c r="M124" i="75" s="1"/>
  <c r="CR48" i="75"/>
  <c r="M81" i="75" s="1"/>
  <c r="CP48" i="75"/>
  <c r="K81" i="75" s="1"/>
  <c r="CI48" i="75"/>
  <c r="N83" i="75" s="1"/>
  <c r="JT48" i="75"/>
  <c r="L116" i="75" s="1"/>
  <c r="JS48" i="75"/>
  <c r="K116" i="75" s="1"/>
  <c r="IZ48" i="75"/>
  <c r="L128" i="75" s="1"/>
  <c r="IE48" i="75"/>
  <c r="K124" i="75" s="1"/>
  <c r="CN48" i="75"/>
  <c r="N82" i="75" s="1"/>
  <c r="CL48" i="75"/>
  <c r="L82" i="75" s="1"/>
  <c r="CJ48" i="75"/>
  <c r="J82" i="75" s="1"/>
  <c r="I1325" i="94"/>
  <c r="JU48" i="75"/>
  <c r="M116" i="75" s="1"/>
  <c r="JJ48" i="75"/>
  <c r="L126" i="75" s="1"/>
  <c r="JI48" i="75"/>
  <c r="K126" i="75" s="1"/>
  <c r="JA48" i="75"/>
  <c r="M128" i="75" s="1"/>
  <c r="IY48" i="75"/>
  <c r="K128" i="75" s="1"/>
  <c r="CS48" i="75"/>
  <c r="N81" i="75" s="1"/>
  <c r="CQ48" i="75"/>
  <c r="L81" i="75" s="1"/>
  <c r="CH48" i="75"/>
  <c r="M83" i="75" s="1"/>
  <c r="O279" i="72"/>
  <c r="BE48" i="75"/>
  <c r="N62" i="75" s="1"/>
  <c r="AK48" i="75"/>
  <c r="N58" i="75" s="1"/>
  <c r="EF48" i="75"/>
  <c r="M66" i="75" s="1"/>
  <c r="EE48" i="75"/>
  <c r="L66" i="75" s="1"/>
  <c r="AW48" i="75"/>
  <c r="K61" i="75" s="1"/>
  <c r="X48" i="75"/>
  <c r="K56" i="75" s="1"/>
  <c r="EG48" i="75"/>
  <c r="N66" i="75" s="1"/>
  <c r="AP48" i="75"/>
  <c r="N59" i="75" s="1"/>
  <c r="AE48" i="75"/>
  <c r="M57" i="75" s="1"/>
  <c r="AB809" i="94"/>
  <c r="AL809" i="94"/>
  <c r="AV809" i="94"/>
  <c r="BA809" i="94"/>
  <c r="BF809" i="94"/>
  <c r="BF808" i="94"/>
  <c r="AG808" i="94"/>
  <c r="AQ808" i="94"/>
  <c r="AB807" i="94"/>
  <c r="AG807" i="94"/>
  <c r="AL807" i="94"/>
  <c r="AQ807" i="94"/>
  <c r="AV807" i="94"/>
  <c r="AG806" i="94"/>
  <c r="AQ806" i="94"/>
  <c r="BA806" i="94"/>
  <c r="BA805" i="94"/>
  <c r="AB805" i="94"/>
  <c r="AL805" i="94"/>
  <c r="AV805" i="94"/>
  <c r="BF805" i="94"/>
  <c r="AB804" i="94"/>
  <c r="AL804" i="94"/>
  <c r="AV804" i="94"/>
  <c r="BF804" i="94"/>
  <c r="AB803" i="94"/>
  <c r="AG803" i="94"/>
  <c r="AL803" i="94"/>
  <c r="AQ803" i="94"/>
  <c r="AV803" i="94"/>
  <c r="AG802" i="94"/>
  <c r="AQ802" i="94"/>
  <c r="BA802" i="94"/>
  <c r="AG801" i="94"/>
  <c r="AQ801" i="94"/>
  <c r="BA801" i="94"/>
  <c r="BF801" i="94"/>
  <c r="BF800" i="94"/>
  <c r="AB800" i="94"/>
  <c r="AL800" i="94"/>
  <c r="AV800" i="94"/>
  <c r="AB799" i="94"/>
  <c r="AG799" i="94"/>
  <c r="AL799" i="94"/>
  <c r="AQ799" i="94"/>
  <c r="AV799" i="94"/>
  <c r="BA799" i="94"/>
  <c r="AB798" i="94"/>
  <c r="AL798" i="94"/>
  <c r="AV798" i="94"/>
  <c r="AG797" i="94"/>
  <c r="AQ797" i="94"/>
  <c r="BA797" i="94"/>
  <c r="BF797" i="94"/>
  <c r="AG796" i="94"/>
  <c r="AQ796" i="94"/>
  <c r="BA796" i="94"/>
  <c r="BF796" i="94"/>
  <c r="AB795" i="94"/>
  <c r="AG795" i="94"/>
  <c r="AL795" i="94"/>
  <c r="AQ795" i="94"/>
  <c r="AV795" i="94"/>
  <c r="BA795" i="94"/>
  <c r="AB794" i="94"/>
  <c r="AL794" i="94"/>
  <c r="AV794" i="94"/>
  <c r="AB793" i="94"/>
  <c r="AL793" i="94"/>
  <c r="AV793" i="94"/>
  <c r="BF793" i="94"/>
  <c r="BF792" i="94"/>
  <c r="AG792" i="94"/>
  <c r="AQ792" i="94"/>
  <c r="BA792" i="94"/>
  <c r="EC792" i="94"/>
  <c r="AB791" i="94"/>
  <c r="AG791" i="94"/>
  <c r="AL791" i="94"/>
  <c r="AQ791" i="94"/>
  <c r="AV791" i="94"/>
  <c r="BA791" i="94"/>
  <c r="EC791" i="94"/>
  <c r="AG790" i="94"/>
  <c r="AQ790" i="94"/>
  <c r="BA790" i="94"/>
  <c r="AB789" i="94"/>
  <c r="AL789" i="94"/>
  <c r="AV789" i="94"/>
  <c r="BF789" i="94"/>
  <c r="AB788" i="94"/>
  <c r="AL788" i="94"/>
  <c r="AV788" i="94"/>
  <c r="BF788" i="94"/>
  <c r="EC788" i="94"/>
  <c r="AB787" i="94"/>
  <c r="AG787" i="94"/>
  <c r="AL787" i="94"/>
  <c r="AQ787" i="94"/>
  <c r="AV787" i="94"/>
  <c r="BA787" i="94"/>
  <c r="EC787" i="94"/>
  <c r="AG786" i="94"/>
  <c r="AQ786" i="94"/>
  <c r="BA786" i="94"/>
  <c r="AG785" i="94"/>
  <c r="AQ785" i="94"/>
  <c r="BA785" i="94"/>
  <c r="BF785" i="94"/>
  <c r="BF784" i="94"/>
  <c r="AB784" i="94"/>
  <c r="AL784" i="94"/>
  <c r="AV784" i="94"/>
  <c r="EC784" i="94"/>
  <c r="AB783" i="94"/>
  <c r="AG783" i="94"/>
  <c r="AL783" i="94"/>
  <c r="AQ783" i="94"/>
  <c r="AV783" i="94"/>
  <c r="BA783" i="94"/>
  <c r="EC783" i="94"/>
  <c r="AB782" i="94"/>
  <c r="AL782" i="94"/>
  <c r="AV782" i="94"/>
  <c r="AG781" i="94"/>
  <c r="AQ781" i="94"/>
  <c r="BA781" i="94"/>
  <c r="BF781" i="94"/>
  <c r="AG780" i="94"/>
  <c r="AQ780" i="94"/>
  <c r="BA780" i="94"/>
  <c r="BF780" i="94"/>
  <c r="EC780" i="94"/>
  <c r="AB779" i="94"/>
  <c r="AG779" i="94"/>
  <c r="AL779" i="94"/>
  <c r="AQ779" i="94"/>
  <c r="AV779" i="94"/>
  <c r="BA779" i="94"/>
  <c r="EC779" i="94"/>
  <c r="AB778" i="94"/>
  <c r="AL778" i="94"/>
  <c r="AV778" i="94"/>
  <c r="AB777" i="94"/>
  <c r="AL777" i="94"/>
  <c r="AV777" i="94"/>
  <c r="BF777" i="94"/>
  <c r="BF776" i="94"/>
  <c r="AG776" i="94"/>
  <c r="AQ776" i="94"/>
  <c r="BA776" i="94"/>
  <c r="EC776" i="94"/>
  <c r="AB775" i="94"/>
  <c r="AG775" i="94"/>
  <c r="AL775" i="94"/>
  <c r="AQ775" i="94"/>
  <c r="AV775" i="94"/>
  <c r="BA775" i="94"/>
  <c r="EC775" i="94"/>
  <c r="AG774" i="94"/>
  <c r="AQ774" i="94"/>
  <c r="BA774" i="94"/>
  <c r="AB773" i="94"/>
  <c r="AL773" i="94"/>
  <c r="AV773" i="94"/>
  <c r="BF773" i="94"/>
  <c r="AB772" i="94"/>
  <c r="AL772" i="94"/>
  <c r="AV772" i="94"/>
  <c r="BF772" i="94"/>
  <c r="EC772" i="94"/>
  <c r="AU48" i="75"/>
  <c r="N60" i="75" s="1"/>
  <c r="AA48" i="75"/>
  <c r="N56" i="75" s="1"/>
  <c r="BH48" i="75"/>
  <c r="L64" i="75" s="1"/>
  <c r="AR48" i="75"/>
  <c r="K60" i="75" s="1"/>
  <c r="AC48" i="75"/>
  <c r="K57" i="75" s="1"/>
  <c r="AZ48" i="75"/>
  <c r="N61" i="75" s="1"/>
  <c r="AF48" i="75"/>
  <c r="N57" i="75" s="1"/>
  <c r="AY48" i="75"/>
  <c r="M61" i="75" s="1"/>
  <c r="AX48" i="75"/>
  <c r="L61" i="75" s="1"/>
  <c r="AN48" i="75"/>
  <c r="L59" i="75" s="1"/>
  <c r="AD48" i="75"/>
  <c r="L57" i="75" s="1"/>
  <c r="BB48" i="75"/>
  <c r="K62" i="75" s="1"/>
  <c r="AH48" i="75"/>
  <c r="K58" i="75" s="1"/>
  <c r="BI48" i="75"/>
  <c r="M64" i="75" s="1"/>
  <c r="BC48" i="75"/>
  <c r="L62" i="75" s="1"/>
  <c r="AS48" i="75"/>
  <c r="L60" i="75" s="1"/>
  <c r="AI48" i="75"/>
  <c r="L58" i="75" s="1"/>
  <c r="Y48" i="75"/>
  <c r="L56" i="75" s="1"/>
  <c r="AM48" i="75"/>
  <c r="K59" i="75" s="1"/>
  <c r="EC48" i="75"/>
  <c r="J66" i="75" s="1"/>
  <c r="I58" i="84" l="1"/>
  <c r="K58" i="84"/>
  <c r="K62" i="84" s="1"/>
  <c r="L395" i="93"/>
  <c r="F1042" i="94"/>
  <c r="F981" i="93"/>
  <c r="F989" i="93" s="1"/>
  <c r="F35" i="74"/>
  <c r="F1050" i="94" s="1"/>
  <c r="BA810" i="94"/>
  <c r="J824" i="94" s="1"/>
  <c r="DK810" i="94"/>
  <c r="L857" i="94" s="1"/>
  <c r="BO810" i="94"/>
  <c r="N849" i="94" s="1"/>
  <c r="FV810" i="94"/>
  <c r="DM810" i="94"/>
  <c r="N857" i="94" s="1"/>
  <c r="CW810" i="94"/>
  <c r="M860" i="94" s="1"/>
  <c r="BQ810" i="94"/>
  <c r="K848" i="94" s="1"/>
  <c r="IS805" i="93"/>
  <c r="AA805" i="93"/>
  <c r="N813" i="93" s="1"/>
  <c r="N815" i="93" s="1"/>
  <c r="E978" i="93"/>
  <c r="DH805" i="93"/>
  <c r="N829" i="93" s="1"/>
  <c r="DT805" i="93"/>
  <c r="K832" i="93" s="1"/>
  <c r="LY810" i="94"/>
  <c r="KJ810" i="94"/>
  <c r="M881" i="94" s="1"/>
  <c r="IR810" i="94"/>
  <c r="N892" i="94" s="1"/>
  <c r="KC810" i="94"/>
  <c r="K880" i="94" s="1"/>
  <c r="K903" i="94" s="1"/>
  <c r="JN810" i="94"/>
  <c r="K889" i="94" s="1"/>
  <c r="LA810" i="94"/>
  <c r="J885" i="94" s="1"/>
  <c r="KK810" i="94"/>
  <c r="N881" i="94" s="1"/>
  <c r="KG810" i="94"/>
  <c r="J881" i="94" s="1"/>
  <c r="O881" i="94" s="1"/>
  <c r="O1819" i="94"/>
  <c r="O1725" i="93"/>
  <c r="C1042" i="94"/>
  <c r="C35" i="74"/>
  <c r="C1050" i="94" s="1"/>
  <c r="C981" i="93"/>
  <c r="C989" i="93" s="1"/>
  <c r="O1734" i="94"/>
  <c r="O1634" i="93"/>
  <c r="E58" i="84"/>
  <c r="E62" i="84" s="1"/>
  <c r="G58" i="84"/>
  <c r="G62" i="84" s="1"/>
  <c r="CN810" i="94"/>
  <c r="N844" i="94" s="1"/>
  <c r="MA810" i="94"/>
  <c r="CZ810" i="94"/>
  <c r="K859" i="94" s="1"/>
  <c r="CA805" i="93"/>
  <c r="K870" i="93" s="1"/>
  <c r="HO805" i="93"/>
  <c r="J849" i="93" s="1"/>
  <c r="FZ805" i="93"/>
  <c r="N856" i="93" s="1"/>
  <c r="CH805" i="93"/>
  <c r="M871" i="93" s="1"/>
  <c r="HM805" i="93"/>
  <c r="M848" i="93" s="1"/>
  <c r="M865" i="93" s="1"/>
  <c r="GC805" i="93"/>
  <c r="L857" i="93" s="1"/>
  <c r="HU805" i="93"/>
  <c r="K850" i="93" s="1"/>
  <c r="FX805" i="93"/>
  <c r="L856" i="93" s="1"/>
  <c r="FV805" i="93"/>
  <c r="J856" i="93" s="1"/>
  <c r="GS805" i="93"/>
  <c r="M844" i="93" s="1"/>
  <c r="IB805" i="93"/>
  <c r="M851" i="93" s="1"/>
  <c r="ES805" i="93"/>
  <c r="K837" i="93" s="1"/>
  <c r="HG805" i="93"/>
  <c r="L847" i="93" s="1"/>
  <c r="EI805" i="93"/>
  <c r="K835" i="93" s="1"/>
  <c r="AN805" i="93"/>
  <c r="L816" i="93" s="1"/>
  <c r="BD805" i="93"/>
  <c r="M821" i="93" s="1"/>
  <c r="M823" i="93" s="1"/>
  <c r="DB805" i="93"/>
  <c r="M875" i="93" s="1"/>
  <c r="GA805" i="93"/>
  <c r="J857" i="93" s="1"/>
  <c r="FR805" i="93"/>
  <c r="K859" i="93" s="1"/>
  <c r="HW805" i="93"/>
  <c r="M850" i="93" s="1"/>
  <c r="M867" i="93" s="1"/>
  <c r="HC805" i="93"/>
  <c r="M846" i="93" s="1"/>
  <c r="X805" i="93"/>
  <c r="K813" i="93" s="1"/>
  <c r="M763" i="93"/>
  <c r="G50" i="73"/>
  <c r="K65" i="82"/>
  <c r="E27" i="87"/>
  <c r="L45" i="73"/>
  <c r="G65" i="73"/>
  <c r="G42" i="73"/>
  <c r="L63" i="73"/>
  <c r="L58" i="73"/>
  <c r="E65" i="82"/>
  <c r="CF805" i="93"/>
  <c r="K871" i="93" s="1"/>
  <c r="DI805" i="93"/>
  <c r="J830" i="93" s="1"/>
  <c r="IR805" i="93"/>
  <c r="MC810" i="94"/>
  <c r="MN810" i="94"/>
  <c r="HB810" i="94"/>
  <c r="L867" i="94" s="1"/>
  <c r="I1149" i="93"/>
  <c r="I1154" i="93" s="1"/>
  <c r="AS805" i="93"/>
  <c r="JC810" i="94"/>
  <c r="J891" i="94" s="1"/>
  <c r="ID810" i="94"/>
  <c r="J886" i="94" s="1"/>
  <c r="MI810" i="94"/>
  <c r="CB805" i="93"/>
  <c r="L870" i="93" s="1"/>
  <c r="L872" i="93" s="1"/>
  <c r="LB810" i="94"/>
  <c r="K885" i="94" s="1"/>
  <c r="LE810" i="94"/>
  <c r="N885" i="94" s="1"/>
  <c r="KS810" i="94"/>
  <c r="L883" i="94" s="1"/>
  <c r="L902" i="94" s="1"/>
  <c r="O902" i="94" s="1"/>
  <c r="KF810" i="94"/>
  <c r="N880" i="94" s="1"/>
  <c r="O880" i="94" s="1"/>
  <c r="AJ810" i="94"/>
  <c r="M820" i="94" s="1"/>
  <c r="KI810" i="94"/>
  <c r="L881" i="94" s="1"/>
  <c r="EJ805" i="93"/>
  <c r="L835" i="93" s="1"/>
  <c r="BM805" i="93"/>
  <c r="L826" i="93" s="1"/>
  <c r="L827" i="93" s="1"/>
  <c r="IW810" i="94"/>
  <c r="N893" i="94" s="1"/>
  <c r="EN805" i="93"/>
  <c r="K836" i="93" s="1"/>
  <c r="BL805" i="93"/>
  <c r="K826" i="93" s="1"/>
  <c r="S577" i="94"/>
  <c r="AW810" i="94"/>
  <c r="K823" i="94" s="1"/>
  <c r="AR810" i="94"/>
  <c r="K822" i="94" s="1"/>
  <c r="W810" i="94"/>
  <c r="J818" i="94" s="1"/>
  <c r="O818" i="94" s="1"/>
  <c r="BI810" i="94"/>
  <c r="M826" i="94" s="1"/>
  <c r="AO810" i="94"/>
  <c r="M821" i="94" s="1"/>
  <c r="KX810" i="94"/>
  <c r="L884" i="94" s="1"/>
  <c r="IL810" i="94"/>
  <c r="M887" i="94" s="1"/>
  <c r="BD810" i="94"/>
  <c r="M824" i="94" s="1"/>
  <c r="EF810" i="94"/>
  <c r="M828" i="94" s="1"/>
  <c r="AM810" i="94"/>
  <c r="K821" i="94" s="1"/>
  <c r="AS810" i="94"/>
  <c r="L822" i="94" s="1"/>
  <c r="BH810" i="94"/>
  <c r="L826" i="94" s="1"/>
  <c r="X810" i="94"/>
  <c r="K818" i="94" s="1"/>
  <c r="ED810" i="94"/>
  <c r="K828" i="94" s="1"/>
  <c r="Y810" i="94"/>
  <c r="L818" i="94" s="1"/>
  <c r="ML810" i="94"/>
  <c r="KE810" i="94"/>
  <c r="M880" i="94" s="1"/>
  <c r="KQ810" i="94"/>
  <c r="J883" i="94" s="1"/>
  <c r="J902" i="94" s="1"/>
  <c r="LR810" i="94"/>
  <c r="KO810" i="94"/>
  <c r="M882" i="94" s="1"/>
  <c r="M901" i="94" s="1"/>
  <c r="II810" i="94"/>
  <c r="J887" i="94" s="1"/>
  <c r="IZ810" i="94"/>
  <c r="L890" i="94" s="1"/>
  <c r="KA810" i="94"/>
  <c r="N879" i="94" s="1"/>
  <c r="N875" i="94" s="1"/>
  <c r="C978" i="93"/>
  <c r="E472" i="93"/>
  <c r="O1719" i="94"/>
  <c r="G1215" i="94"/>
  <c r="G1160" i="93"/>
  <c r="G1135" i="93"/>
  <c r="G1149" i="93"/>
  <c r="G1145" i="93"/>
  <c r="G1041" i="94"/>
  <c r="G980" i="93"/>
  <c r="G988" i="93" s="1"/>
  <c r="G34" i="74"/>
  <c r="G1049" i="94" s="1"/>
  <c r="HY810" i="94"/>
  <c r="CM810" i="94"/>
  <c r="M844" i="94" s="1"/>
  <c r="CH810" i="94"/>
  <c r="M845" i="94" s="1"/>
  <c r="IV805" i="93"/>
  <c r="BR805" i="93"/>
  <c r="L825" i="93" s="1"/>
  <c r="CR805" i="93"/>
  <c r="M873" i="93" s="1"/>
  <c r="EQ805" i="93"/>
  <c r="N836" i="93" s="1"/>
  <c r="F47" i="78"/>
  <c r="E19" i="87"/>
  <c r="L138" i="75"/>
  <c r="K1144" i="93" s="1"/>
  <c r="BF805" i="93"/>
  <c r="IQ805" i="93"/>
  <c r="CG805" i="93"/>
  <c r="L871" i="93" s="1"/>
  <c r="GI810" i="94"/>
  <c r="M863" i="94" s="1"/>
  <c r="KD810" i="94"/>
  <c r="L880" i="94" s="1"/>
  <c r="IH810" i="94"/>
  <c r="N886" i="94" s="1"/>
  <c r="IM810" i="94"/>
  <c r="N887" i="94" s="1"/>
  <c r="D978" i="93"/>
  <c r="C1041" i="94"/>
  <c r="C980" i="93"/>
  <c r="C988" i="93" s="1"/>
  <c r="C34" i="74"/>
  <c r="C1049" i="94" s="1"/>
  <c r="I1041" i="94"/>
  <c r="I980" i="93"/>
  <c r="I988" i="93" s="1"/>
  <c r="I34" i="74"/>
  <c r="I1049" i="94" s="1"/>
  <c r="FY805" i="93"/>
  <c r="M856" i="93" s="1"/>
  <c r="BP805" i="93"/>
  <c r="J825" i="93" s="1"/>
  <c r="H1043" i="94"/>
  <c r="H982" i="93"/>
  <c r="H990" i="93" s="1"/>
  <c r="H36" i="74"/>
  <c r="H1051" i="94" s="1"/>
  <c r="DP810" i="94"/>
  <c r="L856" i="94" s="1"/>
  <c r="CQ810" i="94"/>
  <c r="L843" i="94" s="1"/>
  <c r="IA810" i="94"/>
  <c r="DI810" i="94"/>
  <c r="J857" i="94" s="1"/>
  <c r="BM810" i="94"/>
  <c r="L849" i="94" s="1"/>
  <c r="BZ805" i="93"/>
  <c r="J870" i="93" s="1"/>
  <c r="CO805" i="93"/>
  <c r="J873" i="93" s="1"/>
  <c r="GI805" i="93"/>
  <c r="M854" i="93" s="1"/>
  <c r="M863" i="93" s="1"/>
  <c r="IF805" i="93"/>
  <c r="IG805" i="93"/>
  <c r="CC805" i="93"/>
  <c r="M870" i="93" s="1"/>
  <c r="CS805" i="93"/>
  <c r="N873" i="93" s="1"/>
  <c r="AD805" i="93"/>
  <c r="L814" i="93" s="1"/>
  <c r="H978" i="93"/>
  <c r="I62" i="84"/>
  <c r="M6" i="75"/>
  <c r="T1822" i="94"/>
  <c r="E18" i="87"/>
  <c r="EO805" i="93"/>
  <c r="L836" i="93" s="1"/>
  <c r="GL810" i="94"/>
  <c r="K864" i="94" s="1"/>
  <c r="K865" i="94" s="1"/>
  <c r="GF810" i="94"/>
  <c r="J863" i="94" s="1"/>
  <c r="O863" i="94" s="1"/>
  <c r="BG810" i="94"/>
  <c r="K826" i="94" s="1"/>
  <c r="AH810" i="94"/>
  <c r="K820" i="94" s="1"/>
  <c r="BJ810" i="94"/>
  <c r="N826" i="94" s="1"/>
  <c r="K141" i="75"/>
  <c r="F1221" i="94" s="1"/>
  <c r="AK810" i="94"/>
  <c r="N820" i="94" s="1"/>
  <c r="HI810" i="94"/>
  <c r="JK810" i="94"/>
  <c r="M888" i="94" s="1"/>
  <c r="M899" i="94" s="1"/>
  <c r="IY810" i="94"/>
  <c r="K890" i="94" s="1"/>
  <c r="K897" i="94" s="1"/>
  <c r="IU810" i="94"/>
  <c r="L893" i="94" s="1"/>
  <c r="ME810" i="94"/>
  <c r="HT810" i="94"/>
  <c r="IJ810" i="94"/>
  <c r="K887" i="94" s="1"/>
  <c r="MP810" i="94"/>
  <c r="MS810" i="94"/>
  <c r="AF810" i="94"/>
  <c r="N819" i="94" s="1"/>
  <c r="JM810" i="94"/>
  <c r="J889" i="94" s="1"/>
  <c r="O889" i="94" s="1"/>
  <c r="IE810" i="94"/>
  <c r="K886" i="94" s="1"/>
  <c r="JV810" i="94"/>
  <c r="N878" i="94" s="1"/>
  <c r="N899" i="94" s="1"/>
  <c r="EB810" i="94"/>
  <c r="N854" i="94" s="1"/>
  <c r="DL810" i="94"/>
  <c r="M857" i="94" s="1"/>
  <c r="CV810" i="94"/>
  <c r="L860" i="94" s="1"/>
  <c r="CF810" i="94"/>
  <c r="K845" i="94" s="1"/>
  <c r="BP810" i="94"/>
  <c r="J848" i="94" s="1"/>
  <c r="DS810" i="94"/>
  <c r="J855" i="94" s="1"/>
  <c r="CX810" i="94"/>
  <c r="N860" i="94" s="1"/>
  <c r="BR810" i="94"/>
  <c r="L848" i="94" s="1"/>
  <c r="DE810" i="94"/>
  <c r="K858" i="94" s="1"/>
  <c r="CO810" i="94"/>
  <c r="J843" i="94" s="1"/>
  <c r="BY810" i="94"/>
  <c r="N847" i="94" s="1"/>
  <c r="EP805" i="93"/>
  <c r="M836" i="93" s="1"/>
  <c r="GZ805" i="93"/>
  <c r="J846" i="93" s="1"/>
  <c r="GY805" i="93"/>
  <c r="N845" i="93" s="1"/>
  <c r="CD805" i="93"/>
  <c r="N870" i="93" s="1"/>
  <c r="EL805" i="93"/>
  <c r="N835" i="93" s="1"/>
  <c r="M568" i="93"/>
  <c r="M585" i="93" s="1"/>
  <c r="M587" i="93" s="1"/>
  <c r="M589" i="93" s="1"/>
  <c r="E471" i="93"/>
  <c r="IW805" i="93"/>
  <c r="ED805" i="93"/>
  <c r="K834" i="93" s="1"/>
  <c r="AA810" i="94"/>
  <c r="N818" i="94" s="1"/>
  <c r="BB810" i="94"/>
  <c r="K824" i="94" s="1"/>
  <c r="AT810" i="94"/>
  <c r="M822" i="94" s="1"/>
  <c r="EE810" i="94"/>
  <c r="L828" i="94" s="1"/>
  <c r="JT810" i="94"/>
  <c r="L878" i="94" s="1"/>
  <c r="O878" i="94" s="1"/>
  <c r="BJ805" i="93"/>
  <c r="JY810" i="94"/>
  <c r="L879" i="94" s="1"/>
  <c r="AC810" i="94"/>
  <c r="K819" i="94" s="1"/>
  <c r="J577" i="94"/>
  <c r="J594" i="94" s="1"/>
  <c r="J596" i="94" s="1"/>
  <c r="J598" i="94" s="1"/>
  <c r="DX810" i="94"/>
  <c r="J854" i="94" s="1"/>
  <c r="CR810" i="94"/>
  <c r="M843" i="94" s="1"/>
  <c r="DO810" i="94"/>
  <c r="K856" i="94" s="1"/>
  <c r="BS810" i="94"/>
  <c r="M848" i="94" s="1"/>
  <c r="FY810" i="94"/>
  <c r="FX810" i="94"/>
  <c r="CK810" i="94"/>
  <c r="K844" i="94" s="1"/>
  <c r="V577" i="94"/>
  <c r="FJ805" i="93"/>
  <c r="M853" i="93" s="1"/>
  <c r="FH805" i="93"/>
  <c r="K853" i="93" s="1"/>
  <c r="HY805" i="93"/>
  <c r="J851" i="93" s="1"/>
  <c r="IK805" i="93"/>
  <c r="CK805" i="93"/>
  <c r="IE805" i="93"/>
  <c r="IM805" i="93"/>
  <c r="AY805" i="93"/>
  <c r="M822" i="93" s="1"/>
  <c r="IJ805" i="93"/>
  <c r="ID805" i="93"/>
  <c r="EB805" i="93"/>
  <c r="N833" i="93" s="1"/>
  <c r="AU805" i="93"/>
  <c r="ET805" i="93"/>
  <c r="E473" i="93"/>
  <c r="AF805" i="93"/>
  <c r="N814" i="93" s="1"/>
  <c r="IO805" i="93"/>
  <c r="DR805" i="93"/>
  <c r="LT810" i="94"/>
  <c r="MD810" i="94"/>
  <c r="AU810" i="94"/>
  <c r="N822" i="94" s="1"/>
  <c r="AD810" i="94"/>
  <c r="L819" i="94" s="1"/>
  <c r="IK810" i="94"/>
  <c r="L887" i="94" s="1"/>
  <c r="JD810" i="94"/>
  <c r="K891" i="94" s="1"/>
  <c r="IV810" i="94"/>
  <c r="M893" i="94" s="1"/>
  <c r="FM805" i="93"/>
  <c r="K858" i="93" s="1"/>
  <c r="BC810" i="94"/>
  <c r="L824" i="94" s="1"/>
  <c r="HM810" i="94"/>
  <c r="M869" i="94" s="1"/>
  <c r="KW810" i="94"/>
  <c r="K884" i="94" s="1"/>
  <c r="JR810" i="94"/>
  <c r="J878" i="94" s="1"/>
  <c r="JO810" i="94"/>
  <c r="L889" i="94" s="1"/>
  <c r="KH810" i="94"/>
  <c r="K881" i="94" s="1"/>
  <c r="K904" i="94" s="1"/>
  <c r="F992" i="93"/>
  <c r="J18" i="84"/>
  <c r="B489" i="94"/>
  <c r="D65" i="82"/>
  <c r="C1039" i="93"/>
  <c r="G1009" i="93"/>
  <c r="F1039" i="93"/>
  <c r="E23" i="87"/>
  <c r="H65" i="82"/>
  <c r="E30" i="87"/>
  <c r="D1039" i="93"/>
  <c r="I65" i="82"/>
  <c r="C65" i="82"/>
  <c r="J1009" i="93"/>
  <c r="E26" i="87"/>
  <c r="FW810" i="94"/>
  <c r="LD810" i="94"/>
  <c r="M885" i="94" s="1"/>
  <c r="M904" i="94" s="1"/>
  <c r="JI810" i="94"/>
  <c r="K888" i="94" s="1"/>
  <c r="K899" i="94" s="1"/>
  <c r="MR810" i="94"/>
  <c r="K56" i="73"/>
  <c r="N56" i="73" s="1"/>
  <c r="F1215" i="94"/>
  <c r="H1215" i="94" s="1"/>
  <c r="IN805" i="93"/>
  <c r="EC805" i="93"/>
  <c r="DS805" i="93"/>
  <c r="J832" i="93" s="1"/>
  <c r="HS810" i="94"/>
  <c r="N870" i="94" s="1"/>
  <c r="L900" i="94"/>
  <c r="M138" i="75"/>
  <c r="K1145" i="93" s="1"/>
  <c r="KV810" i="94"/>
  <c r="J884" i="94" s="1"/>
  <c r="J903" i="94" s="1"/>
  <c r="F55" i="73"/>
  <c r="I55" i="73" s="1"/>
  <c r="K1150" i="93"/>
  <c r="N1150" i="93" s="1"/>
  <c r="I1150" i="93"/>
  <c r="M136" i="75"/>
  <c r="K44" i="73" s="1"/>
  <c r="GN805" i="93"/>
  <c r="M855" i="93" s="1"/>
  <c r="N142" i="75"/>
  <c r="K66" i="73" s="1"/>
  <c r="M66" i="73" s="1"/>
  <c r="F56" i="73"/>
  <c r="H56" i="73" s="1"/>
  <c r="MK810" i="94"/>
  <c r="IB810" i="94"/>
  <c r="DV805" i="93"/>
  <c r="M832" i="93" s="1"/>
  <c r="HQ810" i="94"/>
  <c r="L870" i="94" s="1"/>
  <c r="BE810" i="94"/>
  <c r="N824" i="94" s="1"/>
  <c r="HU810" i="94"/>
  <c r="K871" i="94" s="1"/>
  <c r="GU810" i="94"/>
  <c r="J866" i="94" s="1"/>
  <c r="HL810" i="94"/>
  <c r="L869" i="94" s="1"/>
  <c r="GR810" i="94"/>
  <c r="EV805" i="93"/>
  <c r="N837" i="93" s="1"/>
  <c r="GT810" i="94"/>
  <c r="HE810" i="94"/>
  <c r="DD805" i="93"/>
  <c r="J829" i="93" s="1"/>
  <c r="J831" i="93" s="1"/>
  <c r="GK810" i="94"/>
  <c r="J864" i="94" s="1"/>
  <c r="J865" i="94" s="1"/>
  <c r="LV810" i="94"/>
  <c r="HJ810" i="94"/>
  <c r="J869" i="94" s="1"/>
  <c r="HO810" i="94"/>
  <c r="J870" i="94" s="1"/>
  <c r="DT810" i="94"/>
  <c r="K855" i="94" s="1"/>
  <c r="CU810" i="94"/>
  <c r="K860" i="94" s="1"/>
  <c r="AW805" i="93"/>
  <c r="K822" i="93" s="1"/>
  <c r="AT805" i="93"/>
  <c r="CE810" i="94"/>
  <c r="J845" i="94" s="1"/>
  <c r="O845" i="94" s="1"/>
  <c r="CG810" i="94"/>
  <c r="L845" i="94" s="1"/>
  <c r="BT810" i="94"/>
  <c r="N848" i="94" s="1"/>
  <c r="BW810" i="94"/>
  <c r="L847" i="94" s="1"/>
  <c r="CD810" i="94"/>
  <c r="N846" i="94" s="1"/>
  <c r="CJ810" i="94"/>
  <c r="J844" i="94" s="1"/>
  <c r="BV810" i="94"/>
  <c r="K847" i="94" s="1"/>
  <c r="CS810" i="94"/>
  <c r="N843" i="94" s="1"/>
  <c r="EA805" i="93"/>
  <c r="M833" i="93" s="1"/>
  <c r="BQ805" i="93"/>
  <c r="K825" i="93" s="1"/>
  <c r="AQ805" i="93"/>
  <c r="CY810" i="94"/>
  <c r="J859" i="94" s="1"/>
  <c r="EA810" i="94"/>
  <c r="M854" i="94" s="1"/>
  <c r="DQ805" i="93"/>
  <c r="GM805" i="93"/>
  <c r="L855" i="93" s="1"/>
  <c r="LZ810" i="94"/>
  <c r="O917" i="94"/>
  <c r="DD810" i="94"/>
  <c r="J858" i="94" s="1"/>
  <c r="BX810" i="94"/>
  <c r="M847" i="94" s="1"/>
  <c r="DO805" i="93"/>
  <c r="DY805" i="93"/>
  <c r="K833" i="93" s="1"/>
  <c r="HF810" i="94"/>
  <c r="CC810" i="94"/>
  <c r="M846" i="94" s="1"/>
  <c r="CQ805" i="93"/>
  <c r="L873" i="93" s="1"/>
  <c r="Y805" i="93"/>
  <c r="L813" i="93" s="1"/>
  <c r="L815" i="93" s="1"/>
  <c r="L817" i="93" s="1"/>
  <c r="BE805" i="93"/>
  <c r="N821" i="93" s="1"/>
  <c r="M106" i="75"/>
  <c r="LU810" i="94"/>
  <c r="DN810" i="94"/>
  <c r="J856" i="94" s="1"/>
  <c r="LQ810" i="94"/>
  <c r="GN810" i="94"/>
  <c r="M864" i="94" s="1"/>
  <c r="IT810" i="94"/>
  <c r="K893" i="94" s="1"/>
  <c r="DA810" i="94"/>
  <c r="L859" i="94" s="1"/>
  <c r="HT805" i="93"/>
  <c r="J850" i="93" s="1"/>
  <c r="GS810" i="94"/>
  <c r="BK805" i="93"/>
  <c r="J826" i="93" s="1"/>
  <c r="DY810" i="94"/>
  <c r="K854" i="94" s="1"/>
  <c r="FS805" i="93"/>
  <c r="L859" i="93" s="1"/>
  <c r="K1151" i="93"/>
  <c r="M1151" i="93" s="1"/>
  <c r="HV810" i="94"/>
  <c r="L103" i="75"/>
  <c r="BN805" i="93"/>
  <c r="M826" i="93" s="1"/>
  <c r="M827" i="93" s="1"/>
  <c r="J137" i="75"/>
  <c r="F1142" i="93" s="1"/>
  <c r="KL810" i="94"/>
  <c r="J882" i="94" s="1"/>
  <c r="J901" i="94" s="1"/>
  <c r="AI810" i="94"/>
  <c r="L820" i="94" s="1"/>
  <c r="HX810" i="94"/>
  <c r="O97" i="75"/>
  <c r="DM805" i="93"/>
  <c r="N830" i="93" s="1"/>
  <c r="GY810" i="94"/>
  <c r="N866" i="94" s="1"/>
  <c r="N868" i="94" s="1"/>
  <c r="GJ810" i="94"/>
  <c r="N863" i="94" s="1"/>
  <c r="HR810" i="94"/>
  <c r="M870" i="94" s="1"/>
  <c r="M871" i="94" s="1"/>
  <c r="AY810" i="94"/>
  <c r="M823" i="94" s="1"/>
  <c r="M825" i="94" s="1"/>
  <c r="M827" i="94" s="1"/>
  <c r="M829" i="94" s="1"/>
  <c r="AP810" i="94"/>
  <c r="N821" i="94" s="1"/>
  <c r="O107" i="75"/>
  <c r="IS810" i="94"/>
  <c r="J893" i="94" s="1"/>
  <c r="J898" i="94" s="1"/>
  <c r="IG810" i="94"/>
  <c r="M886" i="94" s="1"/>
  <c r="M897" i="94" s="1"/>
  <c r="K109" i="75"/>
  <c r="J897" i="94"/>
  <c r="MM810" i="94"/>
  <c r="GM810" i="94"/>
  <c r="L864" i="94" s="1"/>
  <c r="GV810" i="94"/>
  <c r="K866" i="94" s="1"/>
  <c r="N135" i="75"/>
  <c r="F45" i="73" s="1"/>
  <c r="KN810" i="94"/>
  <c r="L882" i="94" s="1"/>
  <c r="L901" i="94" s="1"/>
  <c r="MF810" i="94"/>
  <c r="JB810" i="94"/>
  <c r="N890" i="94" s="1"/>
  <c r="N897" i="94" s="1"/>
  <c r="KY810" i="94"/>
  <c r="M884" i="94" s="1"/>
  <c r="M903" i="94" s="1"/>
  <c r="N904" i="94"/>
  <c r="IP810" i="94"/>
  <c r="L892" i="94" s="1"/>
  <c r="O892" i="94" s="1"/>
  <c r="J109" i="75"/>
  <c r="O908" i="94"/>
  <c r="O101" i="75"/>
  <c r="O911" i="94"/>
  <c r="J63" i="75"/>
  <c r="J74" i="75" s="1"/>
  <c r="J836" i="94" s="1"/>
  <c r="IH805" i="93"/>
  <c r="O95" i="75"/>
  <c r="M898" i="94"/>
  <c r="N138" i="75"/>
  <c r="K52" i="73" s="1"/>
  <c r="A805" i="93"/>
  <c r="A762" i="93" s="1"/>
  <c r="I1215" i="94"/>
  <c r="N57" i="73"/>
  <c r="F1214" i="94"/>
  <c r="H1214" i="94" s="1"/>
  <c r="K1215" i="94"/>
  <c r="N1215" i="94" s="1"/>
  <c r="O887" i="94"/>
  <c r="L898" i="94"/>
  <c r="M109" i="75"/>
  <c r="J135" i="75"/>
  <c r="F41" i="73" s="1"/>
  <c r="JM805" i="93"/>
  <c r="M141" i="75"/>
  <c r="F65" i="73" s="1"/>
  <c r="N898" i="94"/>
  <c r="K103" i="75"/>
  <c r="O93" i="75"/>
  <c r="O912" i="94"/>
  <c r="O104" i="75"/>
  <c r="AQ810" i="94"/>
  <c r="J822" i="94" s="1"/>
  <c r="O822" i="94" s="1"/>
  <c r="K914" i="94"/>
  <c r="K916" i="94" s="1"/>
  <c r="K918" i="94" s="1"/>
  <c r="O148" i="75"/>
  <c r="O910" i="94"/>
  <c r="A810" i="94"/>
  <c r="A767" i="94" s="1"/>
  <c r="L914" i="94"/>
  <c r="L916" i="94" s="1"/>
  <c r="L918" i="94" s="1"/>
  <c r="O915" i="94"/>
  <c r="N914" i="94"/>
  <c r="N916" i="94" s="1"/>
  <c r="N918" i="94" s="1"/>
  <c r="M914" i="94"/>
  <c r="M916" i="94" s="1"/>
  <c r="M918" i="94" s="1"/>
  <c r="O86" i="75"/>
  <c r="I90" i="94" s="1"/>
  <c r="GW805" i="93"/>
  <c r="L845" i="93" s="1"/>
  <c r="O127" i="75"/>
  <c r="K99" i="75"/>
  <c r="O96" i="75"/>
  <c r="O907" i="94"/>
  <c r="N106" i="75"/>
  <c r="O891" i="94"/>
  <c r="O105" i="75"/>
  <c r="O94" i="75"/>
  <c r="K136" i="75"/>
  <c r="K42" i="73" s="1"/>
  <c r="L106" i="75"/>
  <c r="L136" i="75"/>
  <c r="K43" i="73" s="1"/>
  <c r="M43" i="73" s="1"/>
  <c r="L99" i="75"/>
  <c r="O147" i="75"/>
  <c r="P87" i="94" s="1"/>
  <c r="O146" i="75"/>
  <c r="P86" i="94" s="1"/>
  <c r="K106" i="75"/>
  <c r="F1213" i="94"/>
  <c r="I1213" i="94" s="1"/>
  <c r="FT805" i="93"/>
  <c r="M859" i="93" s="1"/>
  <c r="GO810" i="94"/>
  <c r="N864" i="94" s="1"/>
  <c r="HX805" i="93"/>
  <c r="N850" i="93" s="1"/>
  <c r="O909" i="94"/>
  <c r="GJ805" i="93"/>
  <c r="N854" i="93" s="1"/>
  <c r="AG810" i="94"/>
  <c r="J820" i="94" s="1"/>
  <c r="P237" i="75"/>
  <c r="K900" i="94"/>
  <c r="FL805" i="93"/>
  <c r="J858" i="93" s="1"/>
  <c r="GT805" i="93"/>
  <c r="N844" i="93" s="1"/>
  <c r="J900" i="94"/>
  <c r="L142" i="75"/>
  <c r="J899" i="94"/>
  <c r="J141" i="75"/>
  <c r="F1220" i="94" s="1"/>
  <c r="IZ805" i="93"/>
  <c r="EK805" i="93"/>
  <c r="M835" i="93" s="1"/>
  <c r="ER805" i="93"/>
  <c r="O235" i="75"/>
  <c r="M103" i="75"/>
  <c r="JB805" i="93"/>
  <c r="EG805" i="93"/>
  <c r="IX805" i="93"/>
  <c r="L868" i="94"/>
  <c r="O867" i="94"/>
  <c r="M868" i="94"/>
  <c r="O108" i="75"/>
  <c r="J871" i="94"/>
  <c r="L109" i="75"/>
  <c r="DW805" i="93"/>
  <c r="N832" i="93" s="1"/>
  <c r="DF805" i="93"/>
  <c r="L829" i="93" s="1"/>
  <c r="DJ805" i="93"/>
  <c r="K830" i="93" s="1"/>
  <c r="DX805" i="93"/>
  <c r="J833" i="93" s="1"/>
  <c r="DE805" i="93"/>
  <c r="K829" i="93" s="1"/>
  <c r="EU805" i="93"/>
  <c r="EH805" i="93"/>
  <c r="J835" i="93" s="1"/>
  <c r="O129" i="75"/>
  <c r="FG805" i="93"/>
  <c r="J853" i="93" s="1"/>
  <c r="FU805" i="93"/>
  <c r="N859" i="93" s="1"/>
  <c r="JN805" i="93"/>
  <c r="GX805" i="93"/>
  <c r="M845" i="93" s="1"/>
  <c r="M113" i="75"/>
  <c r="HD805" i="93"/>
  <c r="N846" i="93" s="1"/>
  <c r="GE805" i="93"/>
  <c r="N857" i="93" s="1"/>
  <c r="L113" i="75"/>
  <c r="EF805" i="93"/>
  <c r="O151" i="75"/>
  <c r="P91" i="94" s="1"/>
  <c r="O150" i="75"/>
  <c r="P90" i="94" s="1"/>
  <c r="O98" i="75"/>
  <c r="AB805" i="93"/>
  <c r="J814" i="93" s="1"/>
  <c r="BA805" i="93"/>
  <c r="J821" i="93" s="1"/>
  <c r="O85" i="75"/>
  <c r="I89" i="94" s="1"/>
  <c r="O84" i="75"/>
  <c r="I65" i="66" s="1"/>
  <c r="FZ810" i="94"/>
  <c r="DB810" i="94"/>
  <c r="M859" i="94" s="1"/>
  <c r="DU810" i="94"/>
  <c r="L855" i="94" s="1"/>
  <c r="CB810" i="94"/>
  <c r="L846" i="94" s="1"/>
  <c r="DG810" i="94"/>
  <c r="M858" i="94" s="1"/>
  <c r="DR810" i="94"/>
  <c r="N856" i="94" s="1"/>
  <c r="CL810" i="94"/>
  <c r="L844" i="94" s="1"/>
  <c r="BI805" i="93"/>
  <c r="AX805" i="93"/>
  <c r="L822" i="93" s="1"/>
  <c r="AV805" i="93"/>
  <c r="J822" i="93" s="1"/>
  <c r="IL805" i="93"/>
  <c r="K872" i="93"/>
  <c r="K874" i="93" s="1"/>
  <c r="O913" i="94"/>
  <c r="O149" i="75"/>
  <c r="P66" i="66" s="1"/>
  <c r="J106" i="75"/>
  <c r="O145" i="75"/>
  <c r="P85" i="94" s="1"/>
  <c r="J99" i="75"/>
  <c r="M63" i="75"/>
  <c r="M74" i="75" s="1"/>
  <c r="M836" i="94" s="1"/>
  <c r="FK805" i="93"/>
  <c r="N853" i="93" s="1"/>
  <c r="O87" i="75"/>
  <c r="I68" i="66" s="1"/>
  <c r="M99" i="75"/>
  <c r="I57" i="73"/>
  <c r="H57" i="73"/>
  <c r="DZ805" i="93"/>
  <c r="L833" i="93" s="1"/>
  <c r="FC805" i="93"/>
  <c r="K852" i="93" s="1"/>
  <c r="DU805" i="93"/>
  <c r="L832" i="93" s="1"/>
  <c r="IY805" i="93"/>
  <c r="N99" i="75"/>
  <c r="O122" i="75"/>
  <c r="L141" i="75"/>
  <c r="N141" i="75"/>
  <c r="AL805" i="93"/>
  <c r="J816" i="93" s="1"/>
  <c r="O123" i="75"/>
  <c r="DP805" i="93"/>
  <c r="BG805" i="93"/>
  <c r="F59" i="73"/>
  <c r="F1217" i="94"/>
  <c r="F1153" i="93"/>
  <c r="H1153" i="93" s="1"/>
  <c r="O118" i="75"/>
  <c r="O66" i="75"/>
  <c r="P155" i="75" s="1"/>
  <c r="AV810" i="94"/>
  <c r="J823" i="94" s="1"/>
  <c r="K88" i="75"/>
  <c r="GK805" i="93"/>
  <c r="J855" i="93" s="1"/>
  <c r="BC805" i="93"/>
  <c r="L821" i="93" s="1"/>
  <c r="JA805" i="93"/>
  <c r="AE805" i="93"/>
  <c r="M814" i="93" s="1"/>
  <c r="O92" i="75"/>
  <c r="BB805" i="93"/>
  <c r="K821" i="93" s="1"/>
  <c r="J914" i="94"/>
  <c r="J916" i="94" s="1"/>
  <c r="J918" i="94" s="1"/>
  <c r="N63" i="75"/>
  <c r="N77" i="75" s="1"/>
  <c r="N839" i="94" s="1"/>
  <c r="I56" i="73"/>
  <c r="L88" i="75"/>
  <c r="O83" i="75"/>
  <c r="I87" i="94" s="1"/>
  <c r="O155" i="75"/>
  <c r="P94" i="94" s="1"/>
  <c r="N109" i="75"/>
  <c r="N136" i="75"/>
  <c r="K45" i="73" s="1"/>
  <c r="M142" i="75"/>
  <c r="K1223" i="94" s="1"/>
  <c r="J152" i="75"/>
  <c r="J154" i="75" s="1"/>
  <c r="M152" i="75"/>
  <c r="M154" i="75" s="1"/>
  <c r="M156" i="75" s="1"/>
  <c r="L152" i="75"/>
  <c r="L154" i="75" s="1"/>
  <c r="L156" i="75" s="1"/>
  <c r="O62" i="75"/>
  <c r="H74" i="93" s="1"/>
  <c r="N152" i="75"/>
  <c r="N154" i="75" s="1"/>
  <c r="N156" i="75" s="1"/>
  <c r="L904" i="94"/>
  <c r="N137" i="75"/>
  <c r="H1149" i="93"/>
  <c r="O59" i="75"/>
  <c r="P148" i="75" s="1"/>
  <c r="P910" i="94" s="1"/>
  <c r="AL810" i="94"/>
  <c r="J821" i="94" s="1"/>
  <c r="M139" i="75"/>
  <c r="O120" i="75"/>
  <c r="H55" i="73"/>
  <c r="K152" i="75"/>
  <c r="K154" i="75" s="1"/>
  <c r="K156" i="75" s="1"/>
  <c r="O126" i="75"/>
  <c r="O130" i="75"/>
  <c r="K142" i="75"/>
  <c r="K1221" i="94" s="1"/>
  <c r="O102" i="75"/>
  <c r="F1139" i="93"/>
  <c r="H1139" i="93" s="1"/>
  <c r="L805" i="93"/>
  <c r="L806" i="93" s="1"/>
  <c r="L48" i="75"/>
  <c r="L49" i="75" s="1"/>
  <c r="H173" i="75" s="1"/>
  <c r="C43" i="74"/>
  <c r="D43" i="74" s="1"/>
  <c r="B1058" i="94"/>
  <c r="B997" i="93"/>
  <c r="C10" i="86"/>
  <c r="B993" i="93"/>
  <c r="B1054" i="94"/>
  <c r="C39" i="74"/>
  <c r="L410" i="94"/>
  <c r="E3" i="86"/>
  <c r="C55" i="86" s="1"/>
  <c r="P568" i="93"/>
  <c r="P585" i="93" s="1"/>
  <c r="P587" i="93" s="1"/>
  <c r="P589" i="93" s="1"/>
  <c r="E480" i="94"/>
  <c r="E481" i="94"/>
  <c r="I422" i="93"/>
  <c r="I423" i="93" s="1"/>
  <c r="I436" i="94"/>
  <c r="P428" i="94" s="1"/>
  <c r="L33" i="68"/>
  <c r="G577" i="94"/>
  <c r="J407" i="72"/>
  <c r="M408" i="72" s="1"/>
  <c r="M2056" i="94" s="1"/>
  <c r="G222" i="72"/>
  <c r="B4" i="82"/>
  <c r="J2055" i="94"/>
  <c r="J2056" i="94" s="1"/>
  <c r="C18" i="84"/>
  <c r="K40" i="84" s="1"/>
  <c r="P1203" i="94"/>
  <c r="J1937" i="93"/>
  <c r="M1938" i="93" s="1"/>
  <c r="M1939" i="93" s="1"/>
  <c r="G1870" i="94"/>
  <c r="P45" i="73"/>
  <c r="P1139" i="93" s="1"/>
  <c r="K9" i="88"/>
  <c r="K23" i="88" s="1"/>
  <c r="K28" i="88" s="1"/>
  <c r="F39" i="88" s="1"/>
  <c r="G1776" i="93"/>
  <c r="G568" i="93"/>
  <c r="I60" i="68"/>
  <c r="P45" i="68" s="1"/>
  <c r="P422" i="94" s="1"/>
  <c r="P51" i="68"/>
  <c r="P50" i="68"/>
  <c r="B5" i="92"/>
  <c r="C139" i="90"/>
  <c r="I51" i="93"/>
  <c r="K40" i="66"/>
  <c r="I63" i="94"/>
  <c r="O768" i="94"/>
  <c r="T1728" i="93"/>
  <c r="O63" i="94"/>
  <c r="M768" i="94"/>
  <c r="O51" i="93"/>
  <c r="O6" i="75"/>
  <c r="N63" i="94"/>
  <c r="N51" i="93"/>
  <c r="L48" i="73"/>
  <c r="G55" i="73"/>
  <c r="G51" i="73"/>
  <c r="L55" i="73"/>
  <c r="G43" i="73"/>
  <c r="L65" i="73"/>
  <c r="L41" i="73"/>
  <c r="G62" i="73"/>
  <c r="G52" i="73"/>
  <c r="L66" i="73"/>
  <c r="G44" i="73"/>
  <c r="G63" i="73"/>
  <c r="J866" i="93"/>
  <c r="G1043" i="94"/>
  <c r="G982" i="93"/>
  <c r="G990" i="93" s="1"/>
  <c r="G36" i="74"/>
  <c r="G1051" i="94" s="1"/>
  <c r="J1046" i="94"/>
  <c r="J985" i="93"/>
  <c r="D34" i="86"/>
  <c r="EZ805" i="93"/>
  <c r="C1070" i="94"/>
  <c r="D1060" i="94"/>
  <c r="HK805" i="93"/>
  <c r="K848" i="93" s="1"/>
  <c r="K865" i="93" s="1"/>
  <c r="FQ805" i="93"/>
  <c r="J859" i="93" s="1"/>
  <c r="HR805" i="93"/>
  <c r="M849" i="93" s="1"/>
  <c r="M866" i="93" s="1"/>
  <c r="HI805" i="93"/>
  <c r="N847" i="93" s="1"/>
  <c r="HN805" i="93"/>
  <c r="N848" i="93" s="1"/>
  <c r="N865" i="93" s="1"/>
  <c r="EX805" i="93"/>
  <c r="BX805" i="93"/>
  <c r="M818" i="93" s="1"/>
  <c r="HV805" i="93"/>
  <c r="L850" i="93" s="1"/>
  <c r="JG805" i="93"/>
  <c r="JE805" i="93"/>
  <c r="BU805" i="93"/>
  <c r="J818" i="93" s="1"/>
  <c r="CV805" i="93"/>
  <c r="BW805" i="93"/>
  <c r="L818" i="93" s="1"/>
  <c r="J568" i="93"/>
  <c r="J585" i="93" s="1"/>
  <c r="J587" i="93" s="1"/>
  <c r="J589" i="93" s="1"/>
  <c r="G972" i="93"/>
  <c r="G976" i="93" s="1"/>
  <c r="G992" i="93" s="1"/>
  <c r="J136" i="75"/>
  <c r="O125" i="75"/>
  <c r="N1216" i="94"/>
  <c r="M1216" i="94"/>
  <c r="N113" i="75"/>
  <c r="M56" i="73"/>
  <c r="K1208" i="94"/>
  <c r="K63" i="75"/>
  <c r="O56" i="75"/>
  <c r="H1041" i="94"/>
  <c r="H34" i="74"/>
  <c r="H1049" i="94" s="1"/>
  <c r="H980" i="93"/>
  <c r="H988" i="93" s="1"/>
  <c r="E1046" i="94"/>
  <c r="F14" i="86"/>
  <c r="E985" i="93"/>
  <c r="J1040" i="94"/>
  <c r="J979" i="93"/>
  <c r="E16" i="87"/>
  <c r="J45" i="82"/>
  <c r="C1040" i="94"/>
  <c r="C45" i="82"/>
  <c r="C979" i="93"/>
  <c r="E9" i="87"/>
  <c r="L903" i="94"/>
  <c r="O60" i="75"/>
  <c r="AB810" i="94"/>
  <c r="J819" i="94" s="1"/>
  <c r="O61" i="75"/>
  <c r="N88" i="75"/>
  <c r="F13" i="74"/>
  <c r="E23" i="74"/>
  <c r="E1038" i="94" s="1"/>
  <c r="D1046" i="94"/>
  <c r="E14" i="86"/>
  <c r="D985" i="93"/>
  <c r="G1046" i="94"/>
  <c r="G985" i="93"/>
  <c r="H14" i="86"/>
  <c r="D1040" i="94"/>
  <c r="D979" i="93"/>
  <c r="E10" i="87"/>
  <c r="D45" i="82"/>
  <c r="E1040" i="94"/>
  <c r="E11" i="87"/>
  <c r="E979" i="93"/>
  <c r="E45" i="82"/>
  <c r="DZ810" i="94"/>
  <c r="L854" i="94" s="1"/>
  <c r="DJ810" i="94"/>
  <c r="K857" i="94" s="1"/>
  <c r="CT810" i="94"/>
  <c r="J860" i="94" s="1"/>
  <c r="O860" i="94" s="1"/>
  <c r="BN810" i="94"/>
  <c r="M849" i="94" s="1"/>
  <c r="D1045" i="94"/>
  <c r="E30" i="74"/>
  <c r="D984" i="93"/>
  <c r="D53" i="82"/>
  <c r="L899" i="94"/>
  <c r="FD805" i="93"/>
  <c r="L852" i="93" s="1"/>
  <c r="GO805" i="93"/>
  <c r="N855" i="93" s="1"/>
  <c r="GU805" i="93"/>
  <c r="J845" i="93" s="1"/>
  <c r="HF805" i="93"/>
  <c r="K847" i="93" s="1"/>
  <c r="CI805" i="93"/>
  <c r="N871" i="93" s="1"/>
  <c r="N872" i="93" s="1"/>
  <c r="CM805" i="93"/>
  <c r="CL805" i="93"/>
  <c r="JH805" i="93"/>
  <c r="Z805" i="93"/>
  <c r="M813" i="93" s="1"/>
  <c r="HH805" i="93"/>
  <c r="M847" i="93" s="1"/>
  <c r="M868" i="93" s="1"/>
  <c r="EY805" i="93"/>
  <c r="AH805" i="93"/>
  <c r="IC805" i="93"/>
  <c r="N851" i="93" s="1"/>
  <c r="HA805" i="93"/>
  <c r="K846" i="93" s="1"/>
  <c r="K867" i="93" s="1"/>
  <c r="GQ805" i="93"/>
  <c r="K844" i="93" s="1"/>
  <c r="FN805" i="93"/>
  <c r="L858" i="93" s="1"/>
  <c r="EM805" i="93"/>
  <c r="J836" i="93" s="1"/>
  <c r="AG805" i="93"/>
  <c r="AC805" i="93"/>
  <c r="K814" i="93" s="1"/>
  <c r="K815" i="93" s="1"/>
  <c r="JL805" i="93"/>
  <c r="DG805" i="93"/>
  <c r="M829" i="93" s="1"/>
  <c r="IU805" i="93"/>
  <c r="CT805" i="93"/>
  <c r="BV805" i="93"/>
  <c r="K818" i="93" s="1"/>
  <c r="BY805" i="93"/>
  <c r="N818" i="93" s="1"/>
  <c r="S568" i="93"/>
  <c r="N103" i="75"/>
  <c r="O236" i="75"/>
  <c r="P236" i="75"/>
  <c r="K1209" i="94"/>
  <c r="K51" i="73"/>
  <c r="N58" i="73"/>
  <c r="M58" i="73"/>
  <c r="P235" i="75"/>
  <c r="K1210" i="94"/>
  <c r="K1146" i="93"/>
  <c r="M1150" i="93"/>
  <c r="O237" i="75"/>
  <c r="K138" i="75"/>
  <c r="O57" i="75"/>
  <c r="O82" i="75"/>
  <c r="J88" i="75"/>
  <c r="B1046" i="94"/>
  <c r="R26" i="74"/>
  <c r="R24" i="74"/>
  <c r="R30" i="74"/>
  <c r="R20" i="74"/>
  <c r="R34" i="74"/>
  <c r="R28" i="74"/>
  <c r="C14" i="86"/>
  <c r="R33" i="74"/>
  <c r="R29" i="74"/>
  <c r="R40" i="74"/>
  <c r="R37" i="74"/>
  <c r="R27" i="74"/>
  <c r="R25" i="74"/>
  <c r="R21" i="74"/>
  <c r="R39" i="74"/>
  <c r="B985" i="93"/>
  <c r="R32" i="74"/>
  <c r="R22" i="74"/>
  <c r="R35" i="74"/>
  <c r="R38" i="74"/>
  <c r="R31" i="74"/>
  <c r="R36" i="74"/>
  <c r="B1040" i="94"/>
  <c r="E8" i="87"/>
  <c r="B979" i="93"/>
  <c r="B45" i="82"/>
  <c r="C75" i="84"/>
  <c r="K1040" i="94"/>
  <c r="E17" i="87"/>
  <c r="K45" i="82"/>
  <c r="K979" i="93"/>
  <c r="L63" i="75"/>
  <c r="EC810" i="94"/>
  <c r="J828" i="94" s="1"/>
  <c r="L135" i="75"/>
  <c r="E1043" i="94"/>
  <c r="E36" i="74"/>
  <c r="E1051" i="94" s="1"/>
  <c r="E982" i="93"/>
  <c r="E990" i="93" s="1"/>
  <c r="F1041" i="94"/>
  <c r="F980" i="93"/>
  <c r="F988" i="93" s="1"/>
  <c r="F34" i="74"/>
  <c r="F1049" i="94" s="1"/>
  <c r="O58" i="75"/>
  <c r="O64" i="75"/>
  <c r="BF810" i="94"/>
  <c r="J826" i="94" s="1"/>
  <c r="O128" i="75"/>
  <c r="M137" i="75"/>
  <c r="M115" i="75"/>
  <c r="K137" i="75"/>
  <c r="O116" i="75"/>
  <c r="K115" i="75"/>
  <c r="M88" i="75"/>
  <c r="F63" i="73"/>
  <c r="C1043" i="94"/>
  <c r="R23" i="74"/>
  <c r="S23" i="74" s="1"/>
  <c r="C982" i="93"/>
  <c r="C990" i="93" s="1"/>
  <c r="C36" i="74"/>
  <c r="C1051" i="94" s="1"/>
  <c r="D1041" i="94"/>
  <c r="D980" i="93"/>
  <c r="D988" i="93" s="1"/>
  <c r="D34" i="74"/>
  <c r="D1049" i="94" s="1"/>
  <c r="F1046" i="94"/>
  <c r="G14" i="86"/>
  <c r="F985" i="93"/>
  <c r="I1046" i="94"/>
  <c r="I985" i="93"/>
  <c r="C34" i="86"/>
  <c r="F1040" i="94"/>
  <c r="F45" i="82"/>
  <c r="F979" i="93"/>
  <c r="E12" i="87"/>
  <c r="G1040" i="94"/>
  <c r="G979" i="93"/>
  <c r="G45" i="82"/>
  <c r="E13" i="87"/>
  <c r="DV810" i="94"/>
  <c r="M855" i="94" s="1"/>
  <c r="DF810" i="94"/>
  <c r="L858" i="94" s="1"/>
  <c r="CP810" i="94"/>
  <c r="K843" i="94" s="1"/>
  <c r="K850" i="94" s="1"/>
  <c r="BZ810" i="94"/>
  <c r="J846" i="94" s="1"/>
  <c r="M900" i="94"/>
  <c r="IA805" i="93"/>
  <c r="L851" i="93" s="1"/>
  <c r="L868" i="93" s="1"/>
  <c r="HB805" i="93"/>
  <c r="L846" i="93" s="1"/>
  <c r="FA805" i="93"/>
  <c r="CE805" i="93"/>
  <c r="J871" i="93" s="1"/>
  <c r="GP805" i="93"/>
  <c r="J844" i="93" s="1"/>
  <c r="FI805" i="93"/>
  <c r="L853" i="93" s="1"/>
  <c r="HS805" i="93"/>
  <c r="N849" i="93" s="1"/>
  <c r="N866" i="93" s="1"/>
  <c r="L875" i="94"/>
  <c r="HQ805" i="93"/>
  <c r="L849" i="93" s="1"/>
  <c r="L866" i="93" s="1"/>
  <c r="DC805" i="93"/>
  <c r="N875" i="93" s="1"/>
  <c r="FP805" i="93"/>
  <c r="N858" i="93" s="1"/>
  <c r="AJ805" i="93"/>
  <c r="GR805" i="93"/>
  <c r="L844" i="93" s="1"/>
  <c r="BT805" i="93"/>
  <c r="N825" i="93" s="1"/>
  <c r="N827" i="93" s="1"/>
  <c r="HJ805" i="93"/>
  <c r="J848" i="93" s="1"/>
  <c r="JI805" i="93"/>
  <c r="AO805" i="93"/>
  <c r="M816" i="93" s="1"/>
  <c r="AZ805" i="93"/>
  <c r="N822" i="93" s="1"/>
  <c r="FF805" i="93"/>
  <c r="N852" i="93" s="1"/>
  <c r="GV805" i="93"/>
  <c r="K845" i="93" s="1"/>
  <c r="JP805" i="93"/>
  <c r="FW805" i="93"/>
  <c r="K856" i="93" s="1"/>
  <c r="FB805" i="93"/>
  <c r="J852" i="93" s="1"/>
  <c r="FO805" i="93"/>
  <c r="M858" i="93" s="1"/>
  <c r="AP805" i="93"/>
  <c r="N816" i="93" s="1"/>
  <c r="JK805" i="93"/>
  <c r="JD805" i="93"/>
  <c r="CZ805" i="93"/>
  <c r="K875" i="93" s="1"/>
  <c r="CY805" i="93"/>
  <c r="J875" i="93" s="1"/>
  <c r="CU805" i="93"/>
  <c r="J138" i="75"/>
  <c r="J113" i="75"/>
  <c r="J115" i="75"/>
  <c r="O117" i="75"/>
  <c r="K59" i="73"/>
  <c r="K1217" i="94"/>
  <c r="K1153" i="93"/>
  <c r="O131" i="75"/>
  <c r="J103" i="75"/>
  <c r="K1202" i="94"/>
  <c r="N115" i="75"/>
  <c r="N1214" i="94"/>
  <c r="M1214" i="94"/>
  <c r="K113" i="75"/>
  <c r="O1927" i="94"/>
  <c r="O1826" i="93"/>
  <c r="O81" i="75"/>
  <c r="K135" i="75"/>
  <c r="O124" i="75"/>
  <c r="L137" i="75"/>
  <c r="L115" i="75"/>
  <c r="P65" i="66"/>
  <c r="P88" i="94"/>
  <c r="M135" i="75"/>
  <c r="O1977" i="94"/>
  <c r="O1870" i="93"/>
  <c r="G101" i="90"/>
  <c r="F1159" i="93"/>
  <c r="F1223" i="94"/>
  <c r="I1043" i="94"/>
  <c r="I36" i="74"/>
  <c r="I1051" i="94" s="1"/>
  <c r="I982" i="93"/>
  <c r="I990" i="93" s="1"/>
  <c r="J1041" i="94"/>
  <c r="J980" i="93"/>
  <c r="J988" i="93" s="1"/>
  <c r="J34" i="74"/>
  <c r="J1049" i="94" s="1"/>
  <c r="B1041" i="94"/>
  <c r="B34" i="74"/>
  <c r="B1049" i="94" s="1"/>
  <c r="B980" i="93"/>
  <c r="B988" i="93" s="1"/>
  <c r="O1954" i="94"/>
  <c r="O1848" i="93"/>
  <c r="E16" i="72"/>
  <c r="DW810" i="94"/>
  <c r="N855" i="94" s="1"/>
  <c r="BK810" i="94"/>
  <c r="J849" i="94" s="1"/>
  <c r="H1046" i="94"/>
  <c r="H985" i="93"/>
  <c r="I14" i="86"/>
  <c r="C1046" i="94"/>
  <c r="C985" i="93"/>
  <c r="D14" i="86"/>
  <c r="K1046" i="94"/>
  <c r="K985" i="93"/>
  <c r="E34" i="86"/>
  <c r="H1040" i="94"/>
  <c r="H45" i="82"/>
  <c r="H979" i="93"/>
  <c r="E14" i="87"/>
  <c r="I1040" i="94"/>
  <c r="I979" i="93"/>
  <c r="E15" i="87"/>
  <c r="I45" i="82"/>
  <c r="F492" i="94"/>
  <c r="O885" i="94"/>
  <c r="EW805" i="93"/>
  <c r="HE805" i="93"/>
  <c r="J847" i="93" s="1"/>
  <c r="HP805" i="93"/>
  <c r="K849" i="93" s="1"/>
  <c r="K866" i="93" s="1"/>
  <c r="FE805" i="93"/>
  <c r="M852" i="93" s="1"/>
  <c r="GD805" i="93"/>
  <c r="M857" i="93" s="1"/>
  <c r="AM805" i="93"/>
  <c r="K816" i="93" s="1"/>
  <c r="JJ805" i="93"/>
  <c r="GB805" i="93"/>
  <c r="K857" i="93" s="1"/>
  <c r="AI805" i="93"/>
  <c r="JQ805" i="93"/>
  <c r="JO805" i="93"/>
  <c r="GF805" i="93"/>
  <c r="J854" i="93" s="1"/>
  <c r="GL805" i="93"/>
  <c r="K855" i="93" s="1"/>
  <c r="DL805" i="93"/>
  <c r="M830" i="93" s="1"/>
  <c r="GG805" i="93"/>
  <c r="K854" i="93" s="1"/>
  <c r="HZ805" i="93"/>
  <c r="K851" i="93" s="1"/>
  <c r="HL805" i="93"/>
  <c r="L848" i="93" s="1"/>
  <c r="L865" i="93" s="1"/>
  <c r="GH805" i="93"/>
  <c r="L854" i="93" s="1"/>
  <c r="W805" i="93"/>
  <c r="J813" i="93" s="1"/>
  <c r="AK805" i="93"/>
  <c r="JF805" i="93"/>
  <c r="JC805" i="93"/>
  <c r="DA805" i="93"/>
  <c r="L875" i="93" s="1"/>
  <c r="CX805" i="93"/>
  <c r="CW805" i="93"/>
  <c r="I977" i="93"/>
  <c r="J969" i="93"/>
  <c r="I971" i="93"/>
  <c r="I975" i="93"/>
  <c r="I970" i="93"/>
  <c r="K33" i="84"/>
  <c r="K29" i="84"/>
  <c r="K26" i="84"/>
  <c r="C36" i="84"/>
  <c r="J140" i="75"/>
  <c r="O121" i="75"/>
  <c r="O153" i="75"/>
  <c r="J142" i="75"/>
  <c r="O119" i="75"/>
  <c r="M1152" i="93"/>
  <c r="N1152" i="93"/>
  <c r="P64" i="66" l="1"/>
  <c r="N877" i="94"/>
  <c r="N903" i="94"/>
  <c r="N900" i="94"/>
  <c r="O900" i="94" s="1"/>
  <c r="K1138" i="93"/>
  <c r="O879" i="94"/>
  <c r="K877" i="94"/>
  <c r="F1157" i="93"/>
  <c r="I1157" i="93" s="1"/>
  <c r="O836" i="93"/>
  <c r="N874" i="93"/>
  <c r="K50" i="73"/>
  <c r="M50" i="73" s="1"/>
  <c r="O844" i="94"/>
  <c r="L897" i="94"/>
  <c r="J904" i="94"/>
  <c r="O869" i="94"/>
  <c r="P999" i="94"/>
  <c r="K825" i="94"/>
  <c r="K827" i="94" s="1"/>
  <c r="K829" i="94" s="1"/>
  <c r="M872" i="93"/>
  <c r="M874" i="93" s="1"/>
  <c r="M876" i="93" s="1"/>
  <c r="O826" i="94"/>
  <c r="P915" i="94" s="1"/>
  <c r="K898" i="94"/>
  <c r="O898" i="94" s="1"/>
  <c r="N850" i="94"/>
  <c r="K862" i="93"/>
  <c r="O883" i="94"/>
  <c r="M875" i="94"/>
  <c r="O828" i="94"/>
  <c r="P917" i="94" s="1"/>
  <c r="O870" i="93"/>
  <c r="K861" i="94"/>
  <c r="O856" i="94"/>
  <c r="L825" i="94"/>
  <c r="L827" i="94" s="1"/>
  <c r="L829" i="94" s="1"/>
  <c r="J867" i="93"/>
  <c r="K827" i="93"/>
  <c r="L837" i="93"/>
  <c r="E474" i="93"/>
  <c r="G470" i="93" s="1"/>
  <c r="G978" i="93"/>
  <c r="R20" i="75"/>
  <c r="R22" i="75"/>
  <c r="R21" i="75"/>
  <c r="O888" i="94"/>
  <c r="P997" i="94"/>
  <c r="N831" i="93"/>
  <c r="J73" i="75"/>
  <c r="J835" i="94" s="1"/>
  <c r="N864" i="93"/>
  <c r="K1160" i="93"/>
  <c r="M1160" i="93" s="1"/>
  <c r="O826" i="93"/>
  <c r="O873" i="93"/>
  <c r="O824" i="94"/>
  <c r="O848" i="94"/>
  <c r="O999" i="94"/>
  <c r="K1224" i="94"/>
  <c r="M1224" i="94" s="1"/>
  <c r="F48" i="73"/>
  <c r="M864" i="93"/>
  <c r="O901" i="94"/>
  <c r="O997" i="94"/>
  <c r="L871" i="94"/>
  <c r="J868" i="94"/>
  <c r="M834" i="93"/>
  <c r="P998" i="94"/>
  <c r="M865" i="94"/>
  <c r="J834" i="93"/>
  <c r="N871" i="94"/>
  <c r="O871" i="94" s="1"/>
  <c r="M877" i="94"/>
  <c r="O998" i="94"/>
  <c r="L864" i="93"/>
  <c r="N1151" i="93"/>
  <c r="F1206" i="94"/>
  <c r="I1206" i="94" s="1"/>
  <c r="J875" i="94"/>
  <c r="K875" i="94"/>
  <c r="J877" i="94"/>
  <c r="F1203" i="94"/>
  <c r="H1203" i="94" s="1"/>
  <c r="O890" i="94"/>
  <c r="O821" i="94"/>
  <c r="L865" i="94"/>
  <c r="L874" i="93"/>
  <c r="L876" i="93" s="1"/>
  <c r="N825" i="94"/>
  <c r="N827" i="94" s="1"/>
  <c r="N829" i="94" s="1"/>
  <c r="J72" i="75"/>
  <c r="J834" i="94" s="1"/>
  <c r="J71" i="75"/>
  <c r="J833" i="94" s="1"/>
  <c r="M75" i="75"/>
  <c r="M837" i="94" s="1"/>
  <c r="M65" i="75"/>
  <c r="M67" i="75" s="1"/>
  <c r="J75" i="75"/>
  <c r="J837" i="94" s="1"/>
  <c r="J76" i="75"/>
  <c r="J838" i="94" s="1"/>
  <c r="J65" i="75"/>
  <c r="K868" i="94"/>
  <c r="N74" i="75"/>
  <c r="N836" i="94" s="1"/>
  <c r="D7" i="88"/>
  <c r="E7" i="88" s="1"/>
  <c r="D10" i="88"/>
  <c r="E10" i="88" s="1"/>
  <c r="O859" i="94"/>
  <c r="O847" i="94"/>
  <c r="J827" i="93"/>
  <c r="M850" i="94"/>
  <c r="I74" i="93"/>
  <c r="J77" i="75"/>
  <c r="J839" i="94" s="1"/>
  <c r="N72" i="75"/>
  <c r="N834" i="94" s="1"/>
  <c r="N823" i="93"/>
  <c r="O870" i="94"/>
  <c r="O866" i="94"/>
  <c r="P62" i="66"/>
  <c r="M73" i="75"/>
  <c r="M835" i="94" s="1"/>
  <c r="L862" i="93"/>
  <c r="F1135" i="93"/>
  <c r="H1135" i="93" s="1"/>
  <c r="O864" i="94"/>
  <c r="F1199" i="94"/>
  <c r="I1199" i="94" s="1"/>
  <c r="O823" i="94"/>
  <c r="O820" i="94"/>
  <c r="O893" i="94"/>
  <c r="K1137" i="93"/>
  <c r="M1137" i="93" s="1"/>
  <c r="O884" i="94"/>
  <c r="O886" i="94"/>
  <c r="K1201" i="94"/>
  <c r="N1201" i="94" s="1"/>
  <c r="O882" i="94"/>
  <c r="L877" i="94"/>
  <c r="M1215" i="94"/>
  <c r="O904" i="94"/>
  <c r="M71" i="75"/>
  <c r="M833" i="94" s="1"/>
  <c r="P67" i="66"/>
  <c r="D11" i="88"/>
  <c r="E11" i="88" s="1"/>
  <c r="M72" i="75"/>
  <c r="M834" i="94" s="1"/>
  <c r="N76" i="75"/>
  <c r="N838" i="94" s="1"/>
  <c r="M76" i="75"/>
  <c r="M838" i="94" s="1"/>
  <c r="N75" i="75"/>
  <c r="N837" i="94" s="1"/>
  <c r="I1214" i="94"/>
  <c r="O897" i="94"/>
  <c r="K1136" i="93"/>
  <c r="M1136" i="93" s="1"/>
  <c r="K1200" i="94"/>
  <c r="N1200" i="94" s="1"/>
  <c r="N863" i="93"/>
  <c r="M862" i="93"/>
  <c r="O830" i="93"/>
  <c r="N865" i="94"/>
  <c r="K861" i="93"/>
  <c r="K63" i="73"/>
  <c r="N63" i="73" s="1"/>
  <c r="O857" i="94"/>
  <c r="N65" i="75"/>
  <c r="N67" i="75" s="1"/>
  <c r="N159" i="75" s="1"/>
  <c r="N921" i="94" s="1"/>
  <c r="M77" i="75"/>
  <c r="M839" i="94" s="1"/>
  <c r="N73" i="75"/>
  <c r="N835" i="94" s="1"/>
  <c r="I67" i="66"/>
  <c r="P151" i="75"/>
  <c r="P913" i="94" s="1"/>
  <c r="H91" i="94"/>
  <c r="P63" i="66"/>
  <c r="I88" i="94"/>
  <c r="F62" i="73"/>
  <c r="H62" i="73" s="1"/>
  <c r="O871" i="93"/>
  <c r="O63" i="75"/>
  <c r="O75" i="75" s="1"/>
  <c r="O106" i="75"/>
  <c r="H79" i="94" s="1"/>
  <c r="F1156" i="93"/>
  <c r="I1156" i="93" s="1"/>
  <c r="I1161" i="93" s="1"/>
  <c r="O141" i="75"/>
  <c r="O918" i="94"/>
  <c r="M837" i="93"/>
  <c r="H94" i="94"/>
  <c r="P68" i="66"/>
  <c r="H1213" i="94"/>
  <c r="F56" i="89"/>
  <c r="D37" i="90" s="1"/>
  <c r="I66" i="66"/>
  <c r="L823" i="93"/>
  <c r="O850" i="93"/>
  <c r="O859" i="93"/>
  <c r="N867" i="93"/>
  <c r="K831" i="93"/>
  <c r="N817" i="93"/>
  <c r="N819" i="93" s="1"/>
  <c r="I64" i="66"/>
  <c r="O835" i="93"/>
  <c r="P76" i="93"/>
  <c r="H88" i="94"/>
  <c r="P71" i="66"/>
  <c r="O109" i="75"/>
  <c r="H55" i="66" s="1"/>
  <c r="O899" i="94"/>
  <c r="O851" i="93"/>
  <c r="N862" i="93"/>
  <c r="K1222" i="94"/>
  <c r="K64" i="73"/>
  <c r="K1158" i="93"/>
  <c r="N43" i="73"/>
  <c r="O832" i="93"/>
  <c r="N834" i="93"/>
  <c r="L831" i="93"/>
  <c r="O829" i="93"/>
  <c r="O868" i="94"/>
  <c r="O833" i="93"/>
  <c r="K1139" i="93"/>
  <c r="M1139" i="93" s="1"/>
  <c r="K1203" i="94"/>
  <c r="M1203" i="94" s="1"/>
  <c r="K65" i="73"/>
  <c r="N65" i="73" s="1"/>
  <c r="K1159" i="93"/>
  <c r="M1159" i="93" s="1"/>
  <c r="N66" i="73"/>
  <c r="J862" i="93"/>
  <c r="P89" i="94"/>
  <c r="P84" i="94" s="1"/>
  <c r="N861" i="94"/>
  <c r="I91" i="94"/>
  <c r="J823" i="93"/>
  <c r="O846" i="94"/>
  <c r="H68" i="66"/>
  <c r="O858" i="94"/>
  <c r="N71" i="75"/>
  <c r="N833" i="94" s="1"/>
  <c r="H71" i="66"/>
  <c r="M861" i="94"/>
  <c r="O821" i="93"/>
  <c r="H65" i="66"/>
  <c r="L834" i="93"/>
  <c r="O834" i="93" s="1"/>
  <c r="H78" i="93"/>
  <c r="K876" i="93"/>
  <c r="L850" i="94"/>
  <c r="K823" i="93"/>
  <c r="O916" i="94"/>
  <c r="O855" i="93"/>
  <c r="M861" i="93"/>
  <c r="O103" i="75"/>
  <c r="H66" i="93" s="1"/>
  <c r="N861" i="93"/>
  <c r="O914" i="94"/>
  <c r="O99" i="75"/>
  <c r="O816" i="93"/>
  <c r="K1157" i="93"/>
  <c r="M1157" i="93" s="1"/>
  <c r="I1153" i="93"/>
  <c r="L819" i="93"/>
  <c r="O853" i="93"/>
  <c r="O849" i="94"/>
  <c r="I1217" i="94"/>
  <c r="H1217" i="94"/>
  <c r="F66" i="73"/>
  <c r="F1160" i="93"/>
  <c r="F1224" i="94"/>
  <c r="I75" i="93"/>
  <c r="I59" i="73"/>
  <c r="H59" i="73"/>
  <c r="F64" i="73"/>
  <c r="F1222" i="94"/>
  <c r="F1158" i="93"/>
  <c r="M815" i="93"/>
  <c r="M817" i="93" s="1"/>
  <c r="M819" i="93" s="1"/>
  <c r="K817" i="93"/>
  <c r="K819" i="93" s="1"/>
  <c r="O856" i="93"/>
  <c r="F52" i="73"/>
  <c r="F1146" i="93"/>
  <c r="F1210" i="94"/>
  <c r="O814" i="93"/>
  <c r="F58" i="73"/>
  <c r="F1216" i="94"/>
  <c r="F1152" i="93"/>
  <c r="O139" i="75"/>
  <c r="O858" i="93"/>
  <c r="J837" i="93"/>
  <c r="O943" i="93"/>
  <c r="I45" i="73"/>
  <c r="H45" i="73"/>
  <c r="O152" i="75"/>
  <c r="P73" i="93" s="1"/>
  <c r="O903" i="94"/>
  <c r="I1139" i="93"/>
  <c r="O843" i="94"/>
  <c r="M831" i="93"/>
  <c r="H1142" i="93"/>
  <c r="I1142" i="93"/>
  <c r="I1147" i="93" s="1"/>
  <c r="O88" i="75"/>
  <c r="K1625" i="94" s="1"/>
  <c r="O866" i="93"/>
  <c r="I48" i="73"/>
  <c r="H48" i="73"/>
  <c r="I41" i="73"/>
  <c r="H41" i="73"/>
  <c r="O173" i="75"/>
  <c r="H935" i="94"/>
  <c r="O935" i="94" s="1"/>
  <c r="H879" i="93"/>
  <c r="O879" i="93" s="1"/>
  <c r="B14" i="74"/>
  <c r="B970" i="93"/>
  <c r="D1058" i="94"/>
  <c r="D997" i="93"/>
  <c r="E43" i="74"/>
  <c r="C1058" i="94"/>
  <c r="C997" i="93"/>
  <c r="C1054" i="94"/>
  <c r="C993" i="93"/>
  <c r="D10" i="86"/>
  <c r="D39" i="74"/>
  <c r="G15" i="86"/>
  <c r="F15" i="86"/>
  <c r="D15" i="86"/>
  <c r="I35" i="86"/>
  <c r="C35" i="86"/>
  <c r="O17" i="86"/>
  <c r="D35" i="86"/>
  <c r="H15" i="86"/>
  <c r="G55" i="86"/>
  <c r="H55" i="86"/>
  <c r="C15" i="86"/>
  <c r="F55" i="86"/>
  <c r="E35" i="86"/>
  <c r="O16" i="86"/>
  <c r="E15" i="86"/>
  <c r="F35" i="86"/>
  <c r="E55" i="86"/>
  <c r="D55" i="86"/>
  <c r="G35" i="86"/>
  <c r="H35" i="86"/>
  <c r="I15" i="86"/>
  <c r="E483" i="94"/>
  <c r="G479" i="94" s="1"/>
  <c r="P413" i="93"/>
  <c r="P427" i="94"/>
  <c r="P429" i="94" s="1"/>
  <c r="P414" i="93"/>
  <c r="I437" i="94"/>
  <c r="D18" i="84"/>
  <c r="J408" i="72"/>
  <c r="J1938" i="93"/>
  <c r="J1939" i="93" s="1"/>
  <c r="P52" i="68"/>
  <c r="P934" i="93"/>
  <c r="P990" i="94"/>
  <c r="H15" i="84"/>
  <c r="F18" i="85" s="1"/>
  <c r="T1825" i="94"/>
  <c r="T177" i="72"/>
  <c r="K51" i="93"/>
  <c r="J381" i="73"/>
  <c r="F1470" i="93" s="1"/>
  <c r="K63" i="94"/>
  <c r="T1731" i="93"/>
  <c r="M1223" i="94"/>
  <c r="N1223" i="94"/>
  <c r="P74" i="93"/>
  <c r="P92" i="94"/>
  <c r="P69" i="66"/>
  <c r="I85" i="94"/>
  <c r="I62" i="66"/>
  <c r="M1138" i="93"/>
  <c r="N1138" i="93"/>
  <c r="N59" i="73"/>
  <c r="M59" i="73"/>
  <c r="H1220" i="94"/>
  <c r="I1220" i="94"/>
  <c r="H86" i="94"/>
  <c r="H63" i="66"/>
  <c r="P146" i="75"/>
  <c r="P908" i="94" s="1"/>
  <c r="N51" i="73"/>
  <c r="M51" i="73"/>
  <c r="F30" i="74"/>
  <c r="E1045" i="94"/>
  <c r="E984" i="93"/>
  <c r="E986" i="93" s="1"/>
  <c r="E53" i="82"/>
  <c r="M1208" i="94"/>
  <c r="N1208" i="94"/>
  <c r="K41" i="73"/>
  <c r="K1135" i="93"/>
  <c r="K1199" i="94"/>
  <c r="O136" i="75"/>
  <c r="P943" i="93"/>
  <c r="O855" i="94"/>
  <c r="H991" i="93"/>
  <c r="H987" i="93"/>
  <c r="F44" i="73"/>
  <c r="F1138" i="93"/>
  <c r="F1202" i="94"/>
  <c r="M44" i="73"/>
  <c r="N44" i="73"/>
  <c r="K841" i="93"/>
  <c r="K864" i="93"/>
  <c r="N876" i="93"/>
  <c r="O844" i="93"/>
  <c r="J863" i="93"/>
  <c r="J843" i="93"/>
  <c r="L867" i="93"/>
  <c r="G991" i="93"/>
  <c r="G987" i="93"/>
  <c r="H1157" i="93"/>
  <c r="F49" i="73"/>
  <c r="F1143" i="93"/>
  <c r="F1207" i="94"/>
  <c r="O137" i="75"/>
  <c r="J850" i="94"/>
  <c r="I63" i="66"/>
  <c r="I86" i="94"/>
  <c r="K1207" i="94"/>
  <c r="K1143" i="93"/>
  <c r="K49" i="73"/>
  <c r="N1210" i="94"/>
  <c r="M1210" i="94"/>
  <c r="M1145" i="93"/>
  <c r="N1145" i="93"/>
  <c r="K863" i="93"/>
  <c r="K843" i="93"/>
  <c r="D987" i="93"/>
  <c r="D986" i="93"/>
  <c r="D991" i="93"/>
  <c r="G13" i="74"/>
  <c r="F23" i="74"/>
  <c r="F1038" i="94" s="1"/>
  <c r="H89" i="94"/>
  <c r="P149" i="75"/>
  <c r="P911" i="94" s="1"/>
  <c r="H66" i="66"/>
  <c r="C991" i="93"/>
  <c r="C987" i="93"/>
  <c r="C986" i="93"/>
  <c r="H85" i="94"/>
  <c r="H62" i="66"/>
  <c r="P145" i="75"/>
  <c r="P907" i="94" s="1"/>
  <c r="H75" i="93"/>
  <c r="H73" i="93" s="1"/>
  <c r="O818" i="93"/>
  <c r="L841" i="93"/>
  <c r="O822" i="93"/>
  <c r="D1070" i="94"/>
  <c r="E1060" i="94"/>
  <c r="O849" i="93"/>
  <c r="J815" i="93"/>
  <c r="O813" i="93"/>
  <c r="O875" i="93"/>
  <c r="L863" i="93"/>
  <c r="L843" i="93"/>
  <c r="J864" i="93"/>
  <c r="J841" i="93"/>
  <c r="O845" i="93"/>
  <c r="O819" i="94"/>
  <c r="J825" i="94"/>
  <c r="N1221" i="94"/>
  <c r="M1221" i="94"/>
  <c r="N843" i="93"/>
  <c r="P941" i="93"/>
  <c r="O941" i="93"/>
  <c r="J868" i="93"/>
  <c r="O847" i="93"/>
  <c r="I1223" i="94"/>
  <c r="H1223" i="94"/>
  <c r="F50" i="73"/>
  <c r="F1144" i="93"/>
  <c r="F1208" i="94"/>
  <c r="J67" i="75"/>
  <c r="K35" i="84"/>
  <c r="K37" i="84"/>
  <c r="C38" i="84"/>
  <c r="C40" i="84"/>
  <c r="I972" i="93"/>
  <c r="H1159" i="93"/>
  <c r="I1159" i="93"/>
  <c r="M1202" i="94"/>
  <c r="N1202" i="94"/>
  <c r="N1153" i="93"/>
  <c r="M1153" i="93"/>
  <c r="O113" i="75"/>
  <c r="O852" i="93"/>
  <c r="J861" i="93"/>
  <c r="O848" i="93"/>
  <c r="J865" i="93"/>
  <c r="O865" i="93" s="1"/>
  <c r="O846" i="93"/>
  <c r="F987" i="93"/>
  <c r="F991" i="93"/>
  <c r="I1221" i="94"/>
  <c r="H1221" i="94"/>
  <c r="H1836" i="93"/>
  <c r="H69" i="66"/>
  <c r="H76" i="93"/>
  <c r="P153" i="75"/>
  <c r="H92" i="94"/>
  <c r="F43" i="73"/>
  <c r="F1137" i="93"/>
  <c r="F1201" i="94"/>
  <c r="G75" i="84"/>
  <c r="G77" i="84" s="1"/>
  <c r="I75" i="84"/>
  <c r="I77" i="84" s="1"/>
  <c r="C77" i="84"/>
  <c r="E75" i="84"/>
  <c r="E77" i="84" s="1"/>
  <c r="K75" i="84"/>
  <c r="K77" i="84" s="1"/>
  <c r="R981" i="93"/>
  <c r="R986" i="93"/>
  <c r="R976" i="93"/>
  <c r="R987" i="93"/>
  <c r="R979" i="93"/>
  <c r="R983" i="93"/>
  <c r="R982" i="93"/>
  <c r="R988" i="93"/>
  <c r="R989" i="93"/>
  <c r="R992" i="93"/>
  <c r="R984" i="93"/>
  <c r="R994" i="93"/>
  <c r="R985" i="93"/>
  <c r="R975" i="93"/>
  <c r="R990" i="93"/>
  <c r="R978" i="93"/>
  <c r="R980" i="93"/>
  <c r="R977" i="93"/>
  <c r="R991" i="93"/>
  <c r="R993" i="93"/>
  <c r="M1209" i="94"/>
  <c r="N1209" i="94"/>
  <c r="O942" i="93"/>
  <c r="P942" i="93"/>
  <c r="L861" i="94"/>
  <c r="E991" i="93"/>
  <c r="E987" i="93"/>
  <c r="J861" i="94"/>
  <c r="K65" i="75"/>
  <c r="K67" i="75" s="1"/>
  <c r="K77" i="75"/>
  <c r="K839" i="94" s="1"/>
  <c r="K76" i="75"/>
  <c r="K838" i="94" s="1"/>
  <c r="K73" i="75"/>
  <c r="K835" i="94" s="1"/>
  <c r="K72" i="75"/>
  <c r="K834" i="94" s="1"/>
  <c r="K75" i="75"/>
  <c r="K837" i="94" s="1"/>
  <c r="K71" i="75"/>
  <c r="K833" i="94" s="1"/>
  <c r="K74" i="75"/>
  <c r="K836" i="94" s="1"/>
  <c r="L1954" i="93"/>
  <c r="D8" i="88"/>
  <c r="E8" i="88" s="1"/>
  <c r="M841" i="93"/>
  <c r="O857" i="93"/>
  <c r="N45" i="73"/>
  <c r="M45" i="73"/>
  <c r="M843" i="93"/>
  <c r="O825" i="93"/>
  <c r="O115" i="75"/>
  <c r="N1146" i="93"/>
  <c r="M1146" i="93"/>
  <c r="J156" i="75"/>
  <c r="O156" i="75" s="1"/>
  <c r="O154" i="75"/>
  <c r="J975" i="93"/>
  <c r="K969" i="93"/>
  <c r="J977" i="93"/>
  <c r="J970" i="93"/>
  <c r="J971" i="93"/>
  <c r="N42" i="73"/>
  <c r="M42" i="73"/>
  <c r="K62" i="73"/>
  <c r="O142" i="75"/>
  <c r="K1220" i="94"/>
  <c r="K1156" i="93"/>
  <c r="K1149" i="93"/>
  <c r="K55" i="73"/>
  <c r="O140" i="75"/>
  <c r="K1213" i="94"/>
  <c r="O854" i="93"/>
  <c r="I65" i="73"/>
  <c r="H65" i="73"/>
  <c r="F42" i="73"/>
  <c r="F1200" i="94"/>
  <c r="F1136" i="93"/>
  <c r="O135" i="75"/>
  <c r="M159" i="75"/>
  <c r="M921" i="94" s="1"/>
  <c r="H10" i="88"/>
  <c r="I10" i="88" s="1"/>
  <c r="M1217" i="94"/>
  <c r="N1217" i="94"/>
  <c r="K48" i="73"/>
  <c r="K1142" i="93"/>
  <c r="K1206" i="94"/>
  <c r="O138" i="75"/>
  <c r="N841" i="93"/>
  <c r="I63" i="73"/>
  <c r="H63" i="73"/>
  <c r="F51" i="73"/>
  <c r="F1209" i="94"/>
  <c r="F1145" i="93"/>
  <c r="H64" i="66"/>
  <c r="H87" i="94"/>
  <c r="P147" i="75"/>
  <c r="P909" i="94" s="1"/>
  <c r="L65" i="75"/>
  <c r="L67" i="75" s="1"/>
  <c r="L74" i="75"/>
  <c r="L836" i="94" s="1"/>
  <c r="L75" i="75"/>
  <c r="L837" i="94" s="1"/>
  <c r="L71" i="75"/>
  <c r="L833" i="94" s="1"/>
  <c r="L77" i="75"/>
  <c r="L839" i="94" s="1"/>
  <c r="L76" i="75"/>
  <c r="L838" i="94" s="1"/>
  <c r="L73" i="75"/>
  <c r="L835" i="94" s="1"/>
  <c r="L72" i="75"/>
  <c r="L834" i="94" s="1"/>
  <c r="D9" i="88"/>
  <c r="E9" i="88" s="1"/>
  <c r="I45" i="68"/>
  <c r="M52" i="73"/>
  <c r="N52" i="73"/>
  <c r="K868" i="93"/>
  <c r="L861" i="93"/>
  <c r="J872" i="93"/>
  <c r="O854" i="94"/>
  <c r="H90" i="94"/>
  <c r="H67" i="66"/>
  <c r="P150" i="75"/>
  <c r="P912" i="94" s="1"/>
  <c r="M1144" i="93"/>
  <c r="N1144" i="93"/>
  <c r="N868" i="93"/>
  <c r="O827" i="93"/>
  <c r="N50" i="73" l="1"/>
  <c r="N1160" i="93"/>
  <c r="R784" i="94"/>
  <c r="R779" i="93"/>
  <c r="R782" i="94"/>
  <c r="R777" i="93"/>
  <c r="O877" i="94"/>
  <c r="I978" i="93"/>
  <c r="I987" i="93" s="1"/>
  <c r="R778" i="93"/>
  <c r="R783" i="94"/>
  <c r="I976" i="93"/>
  <c r="I992" i="93" s="1"/>
  <c r="O19" i="86"/>
  <c r="O23" i="86" s="1"/>
  <c r="O25" i="86" s="1"/>
  <c r="O31" i="86" s="1"/>
  <c r="B971" i="93"/>
  <c r="B972" i="93" s="1"/>
  <c r="B976" i="93" s="1"/>
  <c r="C14" i="74"/>
  <c r="I1135" i="93"/>
  <c r="I1140" i="93" s="1"/>
  <c r="N1224" i="94"/>
  <c r="O875" i="94"/>
  <c r="O1001" i="94" s="1"/>
  <c r="I1203" i="94"/>
  <c r="M1200" i="94"/>
  <c r="H1199" i="94"/>
  <c r="H1206" i="94"/>
  <c r="M1201" i="94"/>
  <c r="O865" i="94"/>
  <c r="I73" i="93"/>
  <c r="N1137" i="93"/>
  <c r="N1159" i="93"/>
  <c r="N1136" i="93"/>
  <c r="E13" i="84"/>
  <c r="K18" i="88" s="1"/>
  <c r="O73" i="75"/>
  <c r="P73" i="75" s="1"/>
  <c r="H68" i="93"/>
  <c r="O837" i="93"/>
  <c r="O867" i="93"/>
  <c r="I62" i="73"/>
  <c r="M63" i="73"/>
  <c r="H1156" i="93"/>
  <c r="F1161" i="93"/>
  <c r="O77" i="75"/>
  <c r="P77" i="75" s="1"/>
  <c r="N466" i="73"/>
  <c r="O74" i="75"/>
  <c r="I74" i="75" s="1"/>
  <c r="I836" i="94" s="1"/>
  <c r="O72" i="75"/>
  <c r="I72" i="75" s="1"/>
  <c r="I834" i="94" s="1"/>
  <c r="N1623" i="94"/>
  <c r="L1952" i="93"/>
  <c r="L1953" i="93" s="1"/>
  <c r="M1952" i="93" s="1"/>
  <c r="O76" i="75"/>
  <c r="I76" i="75" s="1"/>
  <c r="I838" i="94" s="1"/>
  <c r="H11" i="88"/>
  <c r="I11" i="88" s="1"/>
  <c r="N1624" i="94"/>
  <c r="O71" i="75"/>
  <c r="P71" i="75" s="1"/>
  <c r="N465" i="73"/>
  <c r="H54" i="66"/>
  <c r="H56" i="66"/>
  <c r="P61" i="66"/>
  <c r="P70" i="66" s="1"/>
  <c r="P72" i="66" s="1"/>
  <c r="P75" i="66" s="1"/>
  <c r="O850" i="94"/>
  <c r="O823" i="93"/>
  <c r="M65" i="73"/>
  <c r="N1157" i="93"/>
  <c r="H78" i="94"/>
  <c r="H67" i="93"/>
  <c r="F67" i="73"/>
  <c r="N1139" i="93"/>
  <c r="O862" i="93"/>
  <c r="N1203" i="94"/>
  <c r="M1158" i="93"/>
  <c r="N1158" i="93"/>
  <c r="N64" i="73"/>
  <c r="M64" i="73"/>
  <c r="N1222" i="94"/>
  <c r="M1222" i="94"/>
  <c r="K1627" i="94"/>
  <c r="O831" i="93"/>
  <c r="F1225" i="94"/>
  <c r="H77" i="94"/>
  <c r="K469" i="73"/>
  <c r="P75" i="93"/>
  <c r="P77" i="93" s="1"/>
  <c r="P82" i="93" s="1"/>
  <c r="P93" i="94"/>
  <c r="P95" i="94" s="1"/>
  <c r="P98" i="94" s="1"/>
  <c r="K467" i="73"/>
  <c r="H1224" i="94"/>
  <c r="I1224" i="94"/>
  <c r="H1158" i="93"/>
  <c r="I1158" i="93"/>
  <c r="I1160" i="93"/>
  <c r="H1160" i="93"/>
  <c r="H1222" i="94"/>
  <c r="I1222" i="94"/>
  <c r="I1225" i="94" s="1"/>
  <c r="I66" i="73"/>
  <c r="H66" i="73"/>
  <c r="H77" i="93"/>
  <c r="H79" i="93" s="1"/>
  <c r="I64" i="73"/>
  <c r="H64" i="73"/>
  <c r="O864" i="93"/>
  <c r="I1210" i="94"/>
  <c r="H1210" i="94"/>
  <c r="H1146" i="93"/>
  <c r="I1146" i="93"/>
  <c r="I52" i="73"/>
  <c r="H52" i="73"/>
  <c r="H1152" i="93"/>
  <c r="F1154" i="93"/>
  <c r="I1152" i="93"/>
  <c r="I84" i="94"/>
  <c r="H1216" i="94"/>
  <c r="I1216" i="94"/>
  <c r="I1218" i="94" s="1"/>
  <c r="F1218" i="94"/>
  <c r="I58" i="73"/>
  <c r="I60" i="73" s="1"/>
  <c r="H58" i="73"/>
  <c r="F60" i="73"/>
  <c r="D14" i="74"/>
  <c r="B1029" i="94"/>
  <c r="C52" i="84"/>
  <c r="F14" i="74"/>
  <c r="E14" i="74"/>
  <c r="B15" i="74"/>
  <c r="C15" i="74" s="1"/>
  <c r="E1058" i="94"/>
  <c r="E997" i="93"/>
  <c r="F43" i="74"/>
  <c r="D993" i="93"/>
  <c r="D1054" i="94"/>
  <c r="E39" i="74"/>
  <c r="F10" i="86" s="1"/>
  <c r="E10" i="86"/>
  <c r="P415" i="93"/>
  <c r="M48" i="73"/>
  <c r="K53" i="73"/>
  <c r="N48" i="73"/>
  <c r="J44" i="78"/>
  <c r="J480" i="93"/>
  <c r="J489" i="94"/>
  <c r="J827" i="94"/>
  <c r="O825" i="94"/>
  <c r="I49" i="73"/>
  <c r="H49" i="73"/>
  <c r="F53" i="73"/>
  <c r="H1200" i="94"/>
  <c r="I1200" i="94"/>
  <c r="F1204" i="94"/>
  <c r="K975" i="93"/>
  <c r="K977" i="93"/>
  <c r="K971" i="93"/>
  <c r="B999" i="93"/>
  <c r="K970" i="93"/>
  <c r="O861" i="94"/>
  <c r="O861" i="93"/>
  <c r="O65" i="75"/>
  <c r="I50" i="73"/>
  <c r="H50" i="73"/>
  <c r="O868" i="93"/>
  <c r="J817" i="93"/>
  <c r="O815" i="93"/>
  <c r="G23" i="74"/>
  <c r="G1038" i="94" s="1"/>
  <c r="H13" i="74"/>
  <c r="G14" i="74"/>
  <c r="N1143" i="93"/>
  <c r="M1143" i="93"/>
  <c r="I44" i="73"/>
  <c r="H44" i="73"/>
  <c r="M41" i="73"/>
  <c r="N41" i="73"/>
  <c r="N46" i="73" s="1"/>
  <c r="K46" i="73"/>
  <c r="G30" i="74"/>
  <c r="F1045" i="94"/>
  <c r="F53" i="82"/>
  <c r="F984" i="93"/>
  <c r="F986" i="93" s="1"/>
  <c r="H1209" i="94"/>
  <c r="I1209" i="94"/>
  <c r="K159" i="75"/>
  <c r="K921" i="94" s="1"/>
  <c r="H8" i="88"/>
  <c r="I8" i="88" s="1"/>
  <c r="I43" i="73"/>
  <c r="H43" i="73"/>
  <c r="I75" i="75"/>
  <c r="I837" i="94" s="1"/>
  <c r="O837" i="94"/>
  <c r="P837" i="94" s="1"/>
  <c r="P75" i="75"/>
  <c r="N1135" i="93"/>
  <c r="N1140" i="93" s="1"/>
  <c r="M1135" i="93"/>
  <c r="K1140" i="93"/>
  <c r="E545" i="94"/>
  <c r="J545" i="94" s="1"/>
  <c r="E536" i="93"/>
  <c r="J536" i="93" s="1"/>
  <c r="E100" i="78"/>
  <c r="J100" i="78" s="1"/>
  <c r="I422" i="94"/>
  <c r="I407" i="93"/>
  <c r="L159" i="75"/>
  <c r="L921" i="94" s="1"/>
  <c r="H9" i="88"/>
  <c r="I9" i="88" s="1"/>
  <c r="N1206" i="94"/>
  <c r="K1211" i="94"/>
  <c r="M1206" i="94"/>
  <c r="I42" i="73"/>
  <c r="H42" i="73"/>
  <c r="F46" i="73"/>
  <c r="M1149" i="93"/>
  <c r="K1154" i="93"/>
  <c r="N1149" i="93"/>
  <c r="N1154" i="93" s="1"/>
  <c r="K67" i="73"/>
  <c r="N62" i="73"/>
  <c r="M62" i="73"/>
  <c r="E13" i="88"/>
  <c r="I1201" i="94"/>
  <c r="H1201" i="94"/>
  <c r="O67" i="75"/>
  <c r="P228" i="75" s="1"/>
  <c r="J159" i="75"/>
  <c r="J921" i="94" s="1"/>
  <c r="H7" i="88"/>
  <c r="N1207" i="94"/>
  <c r="M1207" i="94"/>
  <c r="H1207" i="94"/>
  <c r="F1211" i="94"/>
  <c r="I1207" i="94"/>
  <c r="O863" i="93"/>
  <c r="P1000" i="94"/>
  <c r="P1001" i="94" s="1"/>
  <c r="O1000" i="94"/>
  <c r="I1136" i="93"/>
  <c r="H1136" i="93"/>
  <c r="F1140" i="93"/>
  <c r="K1225" i="94"/>
  <c r="N1220" i="94"/>
  <c r="M1220" i="94"/>
  <c r="H1144" i="93"/>
  <c r="I1144" i="93"/>
  <c r="H84" i="94"/>
  <c r="H93" i="94" s="1"/>
  <c r="H95" i="94" s="1"/>
  <c r="M49" i="73"/>
  <c r="N49" i="73"/>
  <c r="H1138" i="93"/>
  <c r="I1138" i="93"/>
  <c r="I51" i="73"/>
  <c r="H51" i="73"/>
  <c r="M55" i="73"/>
  <c r="N55" i="73"/>
  <c r="N60" i="73" s="1"/>
  <c r="K60" i="73"/>
  <c r="O872" i="93"/>
  <c r="J874" i="93"/>
  <c r="H1145" i="93"/>
  <c r="I1145" i="93"/>
  <c r="K1147" i="93"/>
  <c r="M1142" i="93"/>
  <c r="N1142" i="93"/>
  <c r="N1147" i="93" s="1"/>
  <c r="K1218" i="94"/>
  <c r="N1213" i="94"/>
  <c r="N1218" i="94" s="1"/>
  <c r="M1213" i="94"/>
  <c r="K1161" i="93"/>
  <c r="N1156" i="93"/>
  <c r="N1161" i="93" s="1"/>
  <c r="M1156" i="93"/>
  <c r="J972" i="93"/>
  <c r="F44" i="78"/>
  <c r="F480" i="93"/>
  <c r="F489" i="94"/>
  <c r="D12" i="88"/>
  <c r="C80" i="84"/>
  <c r="C81" i="84"/>
  <c r="I1137" i="93"/>
  <c r="H1137" i="93"/>
  <c r="O432" i="72"/>
  <c r="P67" i="93"/>
  <c r="P78" i="94"/>
  <c r="O2080" i="94"/>
  <c r="O239" i="75"/>
  <c r="P55" i="66"/>
  <c r="O238" i="75"/>
  <c r="L1968" i="93"/>
  <c r="P238" i="75"/>
  <c r="P239" i="75" s="1"/>
  <c r="P230" i="75" s="1"/>
  <c r="H1208" i="94"/>
  <c r="I1208" i="94"/>
  <c r="O841" i="93"/>
  <c r="E1070" i="94"/>
  <c r="F1060" i="94"/>
  <c r="H61" i="66"/>
  <c r="H70" i="66" s="1"/>
  <c r="H72" i="66" s="1"/>
  <c r="I1143" i="93"/>
  <c r="H1143" i="93"/>
  <c r="F1147" i="93"/>
  <c r="O843" i="93"/>
  <c r="I1202" i="94"/>
  <c r="H1202" i="94"/>
  <c r="K1204" i="94"/>
  <c r="N1199" i="94"/>
  <c r="M1199" i="94"/>
  <c r="I61" i="66"/>
  <c r="O835" i="94" l="1"/>
  <c r="P835" i="94" s="1"/>
  <c r="P74" i="75"/>
  <c r="I991" i="93"/>
  <c r="J976" i="93"/>
  <c r="J992" i="93" s="1"/>
  <c r="E1029" i="94"/>
  <c r="D1029" i="94"/>
  <c r="C1029" i="94"/>
  <c r="I73" i="75"/>
  <c r="I835" i="94" s="1"/>
  <c r="H16" i="85"/>
  <c r="O839" i="94"/>
  <c r="P839" i="94" s="1"/>
  <c r="I77" i="75"/>
  <c r="I839" i="94" s="1"/>
  <c r="O833" i="94"/>
  <c r="P833" i="94" s="1"/>
  <c r="P72" i="75"/>
  <c r="P76" i="75"/>
  <c r="O836" i="94"/>
  <c r="P836" i="94" s="1"/>
  <c r="O838" i="94"/>
  <c r="P838" i="94" s="1"/>
  <c r="O834" i="94"/>
  <c r="P834" i="94" s="1"/>
  <c r="I71" i="75"/>
  <c r="I833" i="94" s="1"/>
  <c r="H7" i="84"/>
  <c r="E26" i="89" s="1"/>
  <c r="G579" i="94"/>
  <c r="G570" i="93"/>
  <c r="G134" i="78"/>
  <c r="K13" i="84"/>
  <c r="C20" i="84" s="1"/>
  <c r="P43" i="78"/>
  <c r="N1225" i="94"/>
  <c r="N1204" i="94"/>
  <c r="N67" i="73"/>
  <c r="P488" i="94"/>
  <c r="P479" i="93"/>
  <c r="I67" i="73"/>
  <c r="F1227" i="94"/>
  <c r="F69" i="73"/>
  <c r="E15" i="74"/>
  <c r="E1030" i="94" s="1"/>
  <c r="I52" i="84"/>
  <c r="G52" i="84"/>
  <c r="K52" i="84"/>
  <c r="E52" i="84"/>
  <c r="F15" i="74"/>
  <c r="F16" i="74" s="1"/>
  <c r="F1031" i="94" s="1"/>
  <c r="G15" i="74"/>
  <c r="G1030" i="94" s="1"/>
  <c r="B1030" i="94"/>
  <c r="B16" i="74"/>
  <c r="K5" i="74" s="1"/>
  <c r="C53" i="84"/>
  <c r="D15" i="74"/>
  <c r="F1029" i="94"/>
  <c r="C1030" i="94"/>
  <c r="C16" i="74"/>
  <c r="C1031" i="94" s="1"/>
  <c r="F997" i="93"/>
  <c r="F1058" i="94"/>
  <c r="G43" i="74"/>
  <c r="E1054" i="94"/>
  <c r="E993" i="93"/>
  <c r="F39" i="74"/>
  <c r="F1070" i="94"/>
  <c r="G1060" i="94"/>
  <c r="O155" i="72"/>
  <c r="H293" i="72"/>
  <c r="I49" i="75"/>
  <c r="I48" i="75"/>
  <c r="C13" i="84"/>
  <c r="O2081" i="94"/>
  <c r="O2082" i="94" s="1"/>
  <c r="N1625" i="94"/>
  <c r="M1464" i="94"/>
  <c r="L1464" i="94" s="1"/>
  <c r="F569" i="94"/>
  <c r="N467" i="73"/>
  <c r="L1951" i="93"/>
  <c r="E47" i="78"/>
  <c r="J1836" i="93"/>
  <c r="L1836" i="93" s="1"/>
  <c r="M1962" i="93"/>
  <c r="O2075" i="94"/>
  <c r="O2076" i="94" s="1"/>
  <c r="M1467" i="94"/>
  <c r="L1467" i="94" s="1"/>
  <c r="E492" i="94"/>
  <c r="N113" i="94"/>
  <c r="N90" i="66"/>
  <c r="M309" i="73"/>
  <c r="J231" i="75"/>
  <c r="N94" i="93"/>
  <c r="N97" i="93"/>
  <c r="D579" i="94"/>
  <c r="O227" i="73"/>
  <c r="F124" i="78"/>
  <c r="O427" i="72"/>
  <c r="O428" i="72" s="1"/>
  <c r="N87" i="66"/>
  <c r="O1980" i="93"/>
  <c r="O1981" i="93" s="1"/>
  <c r="E483" i="93"/>
  <c r="D134" i="78"/>
  <c r="J232" i="75"/>
  <c r="N110" i="94"/>
  <c r="F560" i="93"/>
  <c r="M306" i="73"/>
  <c r="E523" i="94"/>
  <c r="D570" i="93"/>
  <c r="J43" i="78"/>
  <c r="O433" i="72"/>
  <c r="O434" i="72" s="1"/>
  <c r="E78" i="78"/>
  <c r="O1385" i="94"/>
  <c r="J233" i="75"/>
  <c r="O1975" i="93"/>
  <c r="O1976" i="93" s="1"/>
  <c r="J488" i="94"/>
  <c r="E514" i="93"/>
  <c r="J479" i="93"/>
  <c r="N1211" i="94"/>
  <c r="N1628" i="94"/>
  <c r="O1628" i="94" s="1"/>
  <c r="J819" i="93"/>
  <c r="O819" i="93" s="1"/>
  <c r="O817" i="93"/>
  <c r="K1704" i="94"/>
  <c r="L1704" i="94"/>
  <c r="P1704" i="94" s="1"/>
  <c r="P1703" i="94" s="1"/>
  <c r="P1695" i="94" s="1"/>
  <c r="P2096" i="94" s="1"/>
  <c r="P185" i="94"/>
  <c r="F43" i="78"/>
  <c r="P167" i="93"/>
  <c r="L56" i="72"/>
  <c r="P184" i="94"/>
  <c r="P186" i="94"/>
  <c r="K56" i="72"/>
  <c r="P161" i="66"/>
  <c r="J1599" i="93"/>
  <c r="J56" i="72"/>
  <c r="P163" i="66"/>
  <c r="O168" i="93"/>
  <c r="P168" i="93"/>
  <c r="P162" i="66"/>
  <c r="F479" i="93"/>
  <c r="F488" i="94"/>
  <c r="J599" i="94"/>
  <c r="J600" i="94" s="1"/>
  <c r="J602" i="94" s="1"/>
  <c r="M154" i="78"/>
  <c r="M155" i="78" s="1"/>
  <c r="M157" i="78" s="1"/>
  <c r="P599" i="94"/>
  <c r="P600" i="94" s="1"/>
  <c r="P602" i="94" s="1"/>
  <c r="P154" i="78"/>
  <c r="P155" i="78" s="1"/>
  <c r="P157" i="78" s="1"/>
  <c r="M590" i="93"/>
  <c r="M591" i="93" s="1"/>
  <c r="M593" i="93" s="1"/>
  <c r="J590" i="93"/>
  <c r="J591" i="93" s="1"/>
  <c r="J593" i="93" s="1"/>
  <c r="J154" i="78"/>
  <c r="J155" i="78" s="1"/>
  <c r="M599" i="94"/>
  <c r="M600" i="94" s="1"/>
  <c r="M602" i="94" s="1"/>
  <c r="P590" i="93"/>
  <c r="P591" i="93" s="1"/>
  <c r="P593" i="93" s="1"/>
  <c r="I1204" i="94"/>
  <c r="I53" i="73"/>
  <c r="O874" i="93"/>
  <c r="J876" i="93"/>
  <c r="O876" i="93" s="1"/>
  <c r="I1211" i="94"/>
  <c r="G1029" i="94"/>
  <c r="P936" i="93"/>
  <c r="E172" i="90"/>
  <c r="E173" i="90" s="1"/>
  <c r="P231" i="75"/>
  <c r="C66" i="84"/>
  <c r="P992" i="94"/>
  <c r="M231" i="75"/>
  <c r="B977" i="93"/>
  <c r="B22" i="74"/>
  <c r="F54" i="89"/>
  <c r="D33" i="90" s="1"/>
  <c r="P944" i="93"/>
  <c r="P945" i="93" s="1"/>
  <c r="O944" i="93"/>
  <c r="O945" i="93"/>
  <c r="I46" i="73"/>
  <c r="K1163" i="93"/>
  <c r="N470" i="73"/>
  <c r="O470" i="73" s="1"/>
  <c r="H30" i="74"/>
  <c r="G1045" i="94"/>
  <c r="G53" i="82"/>
  <c r="G984" i="93"/>
  <c r="G986" i="93" s="1"/>
  <c r="H23" i="74"/>
  <c r="H1038" i="94" s="1"/>
  <c r="I13" i="74"/>
  <c r="H14" i="74"/>
  <c r="H15" i="74"/>
  <c r="H1030" i="94" s="1"/>
  <c r="B1005" i="93"/>
  <c r="C999" i="93"/>
  <c r="B1000" i="93"/>
  <c r="B1007" i="93"/>
  <c r="B1001" i="93"/>
  <c r="N53" i="73"/>
  <c r="K1227" i="94"/>
  <c r="F1163" i="93"/>
  <c r="I7" i="88"/>
  <c r="I13" i="88" s="1"/>
  <c r="H12" i="88"/>
  <c r="D34" i="90" s="1"/>
  <c r="K69" i="73"/>
  <c r="K972" i="93"/>
  <c r="J829" i="94"/>
  <c r="O829" i="94" s="1"/>
  <c r="O827" i="94"/>
  <c r="J978" i="93" l="1"/>
  <c r="K976" i="93"/>
  <c r="K992" i="93" s="1"/>
  <c r="B21" i="74"/>
  <c r="K7" i="74" s="1"/>
  <c r="C21" i="74"/>
  <c r="F21" i="74"/>
  <c r="G21" i="74"/>
  <c r="H20" i="84"/>
  <c r="E47" i="92"/>
  <c r="M1227" i="94"/>
  <c r="M69" i="73"/>
  <c r="M1163" i="93" s="1"/>
  <c r="H69" i="73"/>
  <c r="H1163" i="93" s="1"/>
  <c r="E16" i="74"/>
  <c r="E1031" i="94" s="1"/>
  <c r="G16" i="74"/>
  <c r="G1031" i="94" s="1"/>
  <c r="K53" i="84"/>
  <c r="K54" i="84" s="1"/>
  <c r="K56" i="84" s="1"/>
  <c r="K64" i="84" s="1"/>
  <c r="E53" i="84"/>
  <c r="E54" i="84" s="1"/>
  <c r="E56" i="84" s="1"/>
  <c r="E64" i="84" s="1"/>
  <c r="G53" i="84"/>
  <c r="G54" i="84" s="1"/>
  <c r="I53" i="84"/>
  <c r="F1030" i="94"/>
  <c r="F19" i="74"/>
  <c r="F1034" i="94" s="1"/>
  <c r="C19" i="74"/>
  <c r="C1034" i="94" s="1"/>
  <c r="D1030" i="94"/>
  <c r="D16" i="74"/>
  <c r="D1031" i="94" s="1"/>
  <c r="B1031" i="94"/>
  <c r="C54" i="84"/>
  <c r="C56" i="84" s="1"/>
  <c r="C64" i="84" s="1"/>
  <c r="B19" i="74"/>
  <c r="B1034" i="94" s="1"/>
  <c r="J4" i="91"/>
  <c r="G1058" i="94"/>
  <c r="G997" i="93"/>
  <c r="H43" i="74"/>
  <c r="F1054" i="94"/>
  <c r="F993" i="93"/>
  <c r="G39" i="74"/>
  <c r="G10" i="86"/>
  <c r="L309" i="73"/>
  <c r="M1399" i="93"/>
  <c r="L1399" i="93" s="1"/>
  <c r="H16" i="74"/>
  <c r="H1031" i="94" s="1"/>
  <c r="H1029" i="94"/>
  <c r="G15" i="82"/>
  <c r="G19" i="82" s="1"/>
  <c r="J157" i="78"/>
  <c r="J158" i="78" s="1"/>
  <c r="O56" i="72"/>
  <c r="K1606" i="93"/>
  <c r="N1627" i="94"/>
  <c r="K1628" i="94"/>
  <c r="G1070" i="94"/>
  <c r="H1060" i="94"/>
  <c r="P1654" i="94"/>
  <c r="P2099" i="94"/>
  <c r="I811" i="94"/>
  <c r="I810" i="94"/>
  <c r="J994" i="94"/>
  <c r="J993" i="94"/>
  <c r="J995" i="94"/>
  <c r="B1002" i="93"/>
  <c r="B1006" i="93" s="1"/>
  <c r="B1022" i="93" s="1"/>
  <c r="M993" i="94"/>
  <c r="P993" i="94"/>
  <c r="M937" i="93"/>
  <c r="P937" i="93"/>
  <c r="H1227" i="94"/>
  <c r="J594" i="93"/>
  <c r="K470" i="73"/>
  <c r="N469" i="73"/>
  <c r="P293" i="72"/>
  <c r="H1941" i="94"/>
  <c r="O293" i="72"/>
  <c r="H1045" i="94"/>
  <c r="I30" i="74"/>
  <c r="H984" i="93"/>
  <c r="H986" i="93" s="1"/>
  <c r="H53" i="82"/>
  <c r="D35" i="90"/>
  <c r="I64" i="92" s="1"/>
  <c r="D55" i="92"/>
  <c r="P56" i="72"/>
  <c r="L1606" i="93"/>
  <c r="D999" i="93"/>
  <c r="C1005" i="93"/>
  <c r="C1007" i="93"/>
  <c r="C1001" i="93"/>
  <c r="C1000" i="93"/>
  <c r="J13" i="74"/>
  <c r="J22" i="74" s="1"/>
  <c r="I23" i="74"/>
  <c r="I1038" i="94" s="1"/>
  <c r="I14" i="74"/>
  <c r="I15" i="74"/>
  <c r="I1030" i="94" s="1"/>
  <c r="B1037" i="94"/>
  <c r="C22" i="74"/>
  <c r="G22" i="74"/>
  <c r="E22" i="74"/>
  <c r="H22" i="74"/>
  <c r="I22" i="74"/>
  <c r="C13" i="86"/>
  <c r="F22" i="74"/>
  <c r="D22" i="74"/>
  <c r="K66" i="84"/>
  <c r="I66" i="84"/>
  <c r="G66" i="84"/>
  <c r="E66" i="84"/>
  <c r="J938" i="93"/>
  <c r="J937" i="93"/>
  <c r="J939" i="93"/>
  <c r="L306" i="73"/>
  <c r="M1395" i="93"/>
  <c r="L1395" i="93" s="1"/>
  <c r="F16" i="85"/>
  <c r="C19" i="84"/>
  <c r="H19" i="84"/>
  <c r="K19" i="88"/>
  <c r="D17" i="83"/>
  <c r="F52" i="89"/>
  <c r="A9" i="83"/>
  <c r="O153" i="72"/>
  <c r="O1803" i="94"/>
  <c r="O1709" i="93"/>
  <c r="B1008" i="93" l="1"/>
  <c r="J991" i="93"/>
  <c r="J987" i="93"/>
  <c r="K978" i="93"/>
  <c r="G1036" i="94"/>
  <c r="E21" i="74"/>
  <c r="F1036" i="94"/>
  <c r="H21" i="74"/>
  <c r="C1036" i="94"/>
  <c r="P927" i="93"/>
  <c r="P221" i="75"/>
  <c r="B1036" i="94"/>
  <c r="D21" i="74"/>
  <c r="B1021" i="93"/>
  <c r="B1017" i="93"/>
  <c r="G19" i="74"/>
  <c r="G1034" i="94" s="1"/>
  <c r="P63" i="73"/>
  <c r="J607" i="94" s="1"/>
  <c r="E19" i="74"/>
  <c r="E1034" i="94" s="1"/>
  <c r="G56" i="84"/>
  <c r="G64" i="84" s="1"/>
  <c r="I54" i="84"/>
  <c r="I56" i="84" s="1"/>
  <c r="I64" i="84" s="1"/>
  <c r="D19" i="74"/>
  <c r="D1034" i="94" s="1"/>
  <c r="H997" i="93"/>
  <c r="H1058" i="94"/>
  <c r="I43" i="74"/>
  <c r="G1054" i="94"/>
  <c r="G993" i="93"/>
  <c r="H39" i="74"/>
  <c r="I10" i="86" s="1"/>
  <c r="H10" i="86"/>
  <c r="J1037" i="94"/>
  <c r="D33" i="86"/>
  <c r="I13" i="86"/>
  <c r="H1037" i="94"/>
  <c r="I16" i="74"/>
  <c r="I1031" i="94" s="1"/>
  <c r="I1029" i="94"/>
  <c r="J30" i="74"/>
  <c r="I1045" i="94"/>
  <c r="I984" i="93"/>
  <c r="I986" i="93" s="1"/>
  <c r="I53" i="82"/>
  <c r="P1836" i="93"/>
  <c r="P277" i="72"/>
  <c r="C1037" i="94"/>
  <c r="D13" i="86"/>
  <c r="E999" i="93"/>
  <c r="D1001" i="93"/>
  <c r="D1000" i="93"/>
  <c r="D1007" i="93"/>
  <c r="D1005" i="93"/>
  <c r="I1060" i="94"/>
  <c r="H1070" i="94"/>
  <c r="H19" i="74"/>
  <c r="C33" i="86"/>
  <c r="I1037" i="94"/>
  <c r="K13" i="74"/>
  <c r="J23" i="74"/>
  <c r="J1038" i="94" s="1"/>
  <c r="J14" i="74"/>
  <c r="J15" i="74"/>
  <c r="J1030" i="94" s="1"/>
  <c r="P55" i="72"/>
  <c r="P1606" i="93"/>
  <c r="J603" i="94"/>
  <c r="D1037" i="94"/>
  <c r="E13" i="86"/>
  <c r="E1037" i="94"/>
  <c r="F13" i="86"/>
  <c r="C1002" i="93"/>
  <c r="C1006" i="93" s="1"/>
  <c r="K235" i="72"/>
  <c r="E12" i="72"/>
  <c r="O1707" i="93"/>
  <c r="O1801" i="94"/>
  <c r="I39" i="88"/>
  <c r="K38" i="88" s="1"/>
  <c r="K21" i="88"/>
  <c r="K30" i="88" s="1"/>
  <c r="K34" i="88" s="1"/>
  <c r="G13" i="86"/>
  <c r="F1037" i="94"/>
  <c r="G1037" i="94"/>
  <c r="H13" i="86"/>
  <c r="O1941" i="94"/>
  <c r="O1836" i="93"/>
  <c r="O277" i="72"/>
  <c r="L229" i="72" s="1"/>
  <c r="L1877" i="94" s="1"/>
  <c r="O1704" i="94"/>
  <c r="O55" i="72"/>
  <c r="O1606" i="93"/>
  <c r="C1022" i="93" l="1"/>
  <c r="C1008" i="93"/>
  <c r="K987" i="93"/>
  <c r="K991" i="93"/>
  <c r="P983" i="94"/>
  <c r="C68" i="84"/>
  <c r="P226" i="75"/>
  <c r="N222" i="75"/>
  <c r="N223" i="75"/>
  <c r="H1036" i="94"/>
  <c r="E1036" i="94"/>
  <c r="D1036" i="94"/>
  <c r="P932" i="93"/>
  <c r="N929" i="93"/>
  <c r="N928" i="93"/>
  <c r="I21" i="74"/>
  <c r="C1017" i="93"/>
  <c r="C1021" i="93"/>
  <c r="J598" i="93"/>
  <c r="K13" i="88"/>
  <c r="P1157" i="93"/>
  <c r="J162" i="78"/>
  <c r="J163" i="78" s="1"/>
  <c r="J599" i="93" s="1"/>
  <c r="P1221" i="94"/>
  <c r="O189" i="72"/>
  <c r="K231" i="72" s="1"/>
  <c r="K1783" i="93" s="1"/>
  <c r="I19" i="74"/>
  <c r="I1034" i="94" s="1"/>
  <c r="I1058" i="94"/>
  <c r="I997" i="93"/>
  <c r="J43" i="74"/>
  <c r="H1054" i="94"/>
  <c r="H993" i="93"/>
  <c r="I39" i="74"/>
  <c r="O47" i="72"/>
  <c r="O1703" i="94"/>
  <c r="O1605" i="93"/>
  <c r="K30" i="74"/>
  <c r="J1045" i="94"/>
  <c r="J984" i="93"/>
  <c r="J986" i="93" s="1"/>
  <c r="J53" i="82"/>
  <c r="K23" i="74"/>
  <c r="K1038" i="94" s="1"/>
  <c r="B45" i="74"/>
  <c r="K14" i="74"/>
  <c r="K15" i="74"/>
  <c r="K1030" i="94" s="1"/>
  <c r="K22" i="74"/>
  <c r="O1824" i="93"/>
  <c r="O1925" i="94"/>
  <c r="K236" i="72"/>
  <c r="J16" i="74"/>
  <c r="J1031" i="94" s="1"/>
  <c r="J1029" i="94"/>
  <c r="D1002" i="93"/>
  <c r="D1006" i="93" s="1"/>
  <c r="D1022" i="93" s="1"/>
  <c r="P47" i="72"/>
  <c r="P1605" i="93"/>
  <c r="F999" i="93"/>
  <c r="E1005" i="93"/>
  <c r="E1001" i="93"/>
  <c r="E1000" i="93"/>
  <c r="E1007" i="93"/>
  <c r="H1034" i="94"/>
  <c r="J1060" i="94"/>
  <c r="I1070" i="94"/>
  <c r="L236" i="72"/>
  <c r="P1824" i="93"/>
  <c r="P189" i="72"/>
  <c r="D1008" i="93" l="1"/>
  <c r="G162" i="78"/>
  <c r="J165" i="78"/>
  <c r="J167" i="78" s="1"/>
  <c r="B15" i="82" s="1"/>
  <c r="J608" i="94"/>
  <c r="G607" i="94" s="1"/>
  <c r="J21" i="74"/>
  <c r="F558" i="93"/>
  <c r="F121" i="78"/>
  <c r="B975" i="93"/>
  <c r="F122" i="78"/>
  <c r="F566" i="94"/>
  <c r="F567" i="94"/>
  <c r="F557" i="93"/>
  <c r="B20" i="74"/>
  <c r="O227" i="75"/>
  <c r="M226" i="75"/>
  <c r="P241" i="75"/>
  <c r="I68" i="84"/>
  <c r="I70" i="84" s="1"/>
  <c r="E68" i="84"/>
  <c r="E70" i="84" s="1"/>
  <c r="G68" i="84"/>
  <c r="G70" i="84" s="1"/>
  <c r="K68" i="84"/>
  <c r="K70" i="84" s="1"/>
  <c r="C70" i="84"/>
  <c r="M932" i="93"/>
  <c r="O933" i="93"/>
  <c r="P947" i="93"/>
  <c r="P988" i="94"/>
  <c r="N984" i="94"/>
  <c r="N985" i="94"/>
  <c r="I1036" i="94"/>
  <c r="D1017" i="93"/>
  <c r="D1021" i="93"/>
  <c r="O1837" i="94"/>
  <c r="E13" i="72"/>
  <c r="O1743" i="93"/>
  <c r="J1058" i="94"/>
  <c r="J997" i="93"/>
  <c r="K43" i="74"/>
  <c r="I1054" i="94"/>
  <c r="I993" i="93"/>
  <c r="J39" i="74"/>
  <c r="C30" i="86"/>
  <c r="K1060" i="94"/>
  <c r="J1070" i="94"/>
  <c r="F1007" i="93"/>
  <c r="G999" i="93"/>
  <c r="F1005" i="93"/>
  <c r="F1001" i="93"/>
  <c r="F1000" i="93"/>
  <c r="E1002" i="93"/>
  <c r="E1006" i="93" s="1"/>
  <c r="G598" i="93"/>
  <c r="J601" i="93"/>
  <c r="J603" i="93" s="1"/>
  <c r="J605" i="93" s="1"/>
  <c r="J607" i="93" s="1"/>
  <c r="P1597" i="93"/>
  <c r="P448" i="72"/>
  <c r="K1029" i="94"/>
  <c r="K16" i="74"/>
  <c r="K1031" i="94" s="1"/>
  <c r="O448" i="72"/>
  <c r="O1695" i="94"/>
  <c r="R1695" i="94" s="1"/>
  <c r="O1597" i="93"/>
  <c r="R47" i="72"/>
  <c r="K1037" i="94"/>
  <c r="E33" i="86"/>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984" i="93"/>
  <c r="K986" i="93" s="1"/>
  <c r="K53" i="82"/>
  <c r="L231" i="72"/>
  <c r="L1783" i="93" s="1"/>
  <c r="P1743" i="93"/>
  <c r="J19" i="74"/>
  <c r="C45" i="74"/>
  <c r="B55" i="74"/>
  <c r="B52" i="74"/>
  <c r="B46" i="74"/>
  <c r="B47" i="74"/>
  <c r="B1062" i="94" s="1"/>
  <c r="B54" i="74"/>
  <c r="E1022" i="93" l="1"/>
  <c r="E1008" i="93"/>
  <c r="J610" i="94"/>
  <c r="J612" i="94" s="1"/>
  <c r="J614" i="94" s="1"/>
  <c r="J616" i="94" s="1"/>
  <c r="J620" i="94" s="1"/>
  <c r="E544" i="94" s="1"/>
  <c r="J544" i="94" s="1"/>
  <c r="J169" i="78"/>
  <c r="J171" i="78" s="1"/>
  <c r="M173" i="78" s="1"/>
  <c r="M988" i="94"/>
  <c r="P1003" i="94"/>
  <c r="O989" i="94"/>
  <c r="I72" i="84"/>
  <c r="I76" i="84"/>
  <c r="I73" i="84" s="1"/>
  <c r="K72" i="84"/>
  <c r="K76" i="84"/>
  <c r="K73" i="84" s="1"/>
  <c r="K21" i="74"/>
  <c r="B1035" i="94"/>
  <c r="B1039" i="94" s="1"/>
  <c r="E20" i="74"/>
  <c r="C20" i="74"/>
  <c r="F20" i="74"/>
  <c r="G20" i="74"/>
  <c r="D20" i="74"/>
  <c r="H20" i="74"/>
  <c r="I20" i="74"/>
  <c r="B38" i="74"/>
  <c r="B1053" i="94" s="1"/>
  <c r="B24" i="74"/>
  <c r="J20" i="74"/>
  <c r="J1035" i="94" s="1"/>
  <c r="K20" i="74"/>
  <c r="K1035" i="94" s="1"/>
  <c r="J1036" i="94"/>
  <c r="E76" i="84"/>
  <c r="E73" i="84" s="1"/>
  <c r="E72" i="84"/>
  <c r="C76" i="84"/>
  <c r="C73" i="84" s="1"/>
  <c r="C72" i="84"/>
  <c r="G72" i="84"/>
  <c r="G76" i="84"/>
  <c r="G73" i="84" s="1"/>
  <c r="B992" i="93"/>
  <c r="B978" i="93"/>
  <c r="B1067" i="94"/>
  <c r="E1017" i="93"/>
  <c r="E1021" i="93"/>
  <c r="M609" i="93"/>
  <c r="J611" i="93"/>
  <c r="E535" i="93" s="1"/>
  <c r="J535" i="93" s="1"/>
  <c r="K19" i="74"/>
  <c r="K1058" i="94"/>
  <c r="K997" i="93"/>
  <c r="B75" i="74"/>
  <c r="J993" i="93"/>
  <c r="J1054" i="94"/>
  <c r="K39" i="74"/>
  <c r="D30" i="86"/>
  <c r="F33" i="86"/>
  <c r="B1069" i="94"/>
  <c r="R1995" i="93"/>
  <c r="O2096" i="94"/>
  <c r="O1654" i="94" s="1"/>
  <c r="O6" i="72"/>
  <c r="F1002" i="93"/>
  <c r="D45" i="74"/>
  <c r="C52" i="74"/>
  <c r="C55" i="74"/>
  <c r="C46" i="74"/>
  <c r="C47" i="74"/>
  <c r="C1062" i="94" s="1"/>
  <c r="C54" i="74"/>
  <c r="B48" i="74"/>
  <c r="B1063" i="94" s="1"/>
  <c r="B1061" i="94"/>
  <c r="J1034" i="94"/>
  <c r="R1597" i="93"/>
  <c r="O1995" i="93"/>
  <c r="O1560" i="93" s="1"/>
  <c r="P451" i="72"/>
  <c r="P6" i="72"/>
  <c r="B1092" i="94"/>
  <c r="K1070" i="94"/>
  <c r="B1014" i="93"/>
  <c r="B1016" i="93" s="1"/>
  <c r="B73" i="82"/>
  <c r="C62" i="74"/>
  <c r="P1995" i="93"/>
  <c r="H999" i="93"/>
  <c r="G1007" i="93"/>
  <c r="G1005" i="93"/>
  <c r="G1000" i="93"/>
  <c r="G1001" i="93"/>
  <c r="J24" i="74" l="1"/>
  <c r="J37" i="74" s="1"/>
  <c r="J1052" i="94" s="1"/>
  <c r="F1006" i="93"/>
  <c r="F1022" i="93" s="1"/>
  <c r="M618" i="94"/>
  <c r="J175" i="78"/>
  <c r="L413" i="93" s="1"/>
  <c r="N413" i="93" s="1"/>
  <c r="K24" i="74"/>
  <c r="K32" i="74" s="1"/>
  <c r="B53" i="74"/>
  <c r="B1068" i="94" s="1"/>
  <c r="H1035" i="94"/>
  <c r="H1039" i="94" s="1"/>
  <c r="H24" i="74"/>
  <c r="H38" i="74"/>
  <c r="H1053" i="94" s="1"/>
  <c r="C1035" i="94"/>
  <c r="C1039" i="94" s="1"/>
  <c r="C38" i="74"/>
  <c r="C1053" i="94" s="1"/>
  <c r="C24" i="74"/>
  <c r="B986" i="93"/>
  <c r="B991" i="93"/>
  <c r="B987" i="93"/>
  <c r="J1039" i="94"/>
  <c r="J38" i="74"/>
  <c r="J1053" i="94" s="1"/>
  <c r="B33" i="74"/>
  <c r="B1048" i="94" s="1"/>
  <c r="B37" i="74"/>
  <c r="B1052" i="94" s="1"/>
  <c r="B44" i="82"/>
  <c r="B32" i="74"/>
  <c r="D1035" i="94"/>
  <c r="D1039" i="94" s="1"/>
  <c r="D38" i="74"/>
  <c r="D1053" i="94" s="1"/>
  <c r="D24" i="74"/>
  <c r="E1035" i="94"/>
  <c r="E1039" i="94" s="1"/>
  <c r="E38" i="74"/>
  <c r="E1053" i="94" s="1"/>
  <c r="E24" i="74"/>
  <c r="G1035" i="94"/>
  <c r="G1039" i="94" s="1"/>
  <c r="G38" i="74"/>
  <c r="G1053" i="94" s="1"/>
  <c r="G24" i="74"/>
  <c r="I1035" i="94"/>
  <c r="I1039" i="94" s="1"/>
  <c r="I38" i="74"/>
  <c r="I1053" i="94" s="1"/>
  <c r="I24" i="74"/>
  <c r="F1035" i="94"/>
  <c r="F1039" i="94" s="1"/>
  <c r="F24" i="74"/>
  <c r="F38" i="74"/>
  <c r="F1053" i="94" s="1"/>
  <c r="K1036" i="94"/>
  <c r="K38" i="74"/>
  <c r="K1053" i="94" s="1"/>
  <c r="C1067" i="94"/>
  <c r="B51" i="74"/>
  <c r="B1066" i="94" s="1"/>
  <c r="B1071" i="94" s="1"/>
  <c r="K1034" i="94"/>
  <c r="J33" i="74"/>
  <c r="J1048" i="94" s="1"/>
  <c r="K37" i="74"/>
  <c r="K1052" i="94" s="1"/>
  <c r="B1090" i="94"/>
  <c r="B1027" i="93"/>
  <c r="C75" i="74"/>
  <c r="K1054" i="94"/>
  <c r="K993" i="93"/>
  <c r="B71" i="74"/>
  <c r="E30" i="86"/>
  <c r="C1014" i="93"/>
  <c r="C1016" i="93" s="1"/>
  <c r="D62" i="74"/>
  <c r="C73" i="82"/>
  <c r="J44" i="82"/>
  <c r="P1998" i="93"/>
  <c r="P1560" i="93"/>
  <c r="C1092" i="94"/>
  <c r="B1102" i="94"/>
  <c r="G33" i="86"/>
  <c r="C1069" i="94"/>
  <c r="C1061" i="94"/>
  <c r="C48" i="74"/>
  <c r="C1063" i="94" s="1"/>
  <c r="H1005" i="93"/>
  <c r="H1007" i="93"/>
  <c r="I999" i="93"/>
  <c r="H1000" i="93"/>
  <c r="H1001" i="93"/>
  <c r="G1002" i="93"/>
  <c r="G1006" i="93" s="1"/>
  <c r="G1022" i="93" s="1"/>
  <c r="D55" i="74"/>
  <c r="D52" i="74"/>
  <c r="E45" i="74"/>
  <c r="D46" i="74"/>
  <c r="D47" i="74"/>
  <c r="D1062" i="94" s="1"/>
  <c r="D54" i="74"/>
  <c r="K44" i="82" l="1"/>
  <c r="J32" i="74"/>
  <c r="K33" i="74"/>
  <c r="K1048" i="94" s="1"/>
  <c r="G1008" i="93"/>
  <c r="K1039" i="94"/>
  <c r="B70" i="74"/>
  <c r="B1085" i="94" s="1"/>
  <c r="F1008" i="93"/>
  <c r="M61" i="85"/>
  <c r="P61" i="85" s="1"/>
  <c r="C21" i="86"/>
  <c r="C22" i="86" s="1"/>
  <c r="C42" i="86" s="1"/>
  <c r="D42" i="86" s="1"/>
  <c r="E42" i="86" s="1"/>
  <c r="L49" i="68"/>
  <c r="N49" i="68" s="1"/>
  <c r="I20" i="93"/>
  <c r="L427" i="94"/>
  <c r="N427" i="94" s="1"/>
  <c r="E99" i="78"/>
  <c r="J99" i="78" s="1"/>
  <c r="I9" i="66"/>
  <c r="I32" i="94" s="1"/>
  <c r="L426" i="94"/>
  <c r="N426" i="94" s="1"/>
  <c r="L412" i="93"/>
  <c r="N412" i="93" s="1"/>
  <c r="L50" i="68"/>
  <c r="N50" i="68" s="1"/>
  <c r="F33" i="74"/>
  <c r="F1048" i="94" s="1"/>
  <c r="F44" i="82"/>
  <c r="F37" i="74"/>
  <c r="F1052" i="94" s="1"/>
  <c r="F32" i="74"/>
  <c r="S20" i="74"/>
  <c r="C9" i="86"/>
  <c r="C17" i="86" s="1"/>
  <c r="C18" i="86" s="1"/>
  <c r="C20" i="86" s="1"/>
  <c r="C24" i="86" s="1"/>
  <c r="K6" i="86" s="1"/>
  <c r="G66" i="86" s="1"/>
  <c r="N85" i="85" s="1"/>
  <c r="B1047" i="94"/>
  <c r="S975" i="93"/>
  <c r="S979" i="93"/>
  <c r="S981" i="93"/>
  <c r="S977" i="93"/>
  <c r="S978" i="93"/>
  <c r="S976" i="93"/>
  <c r="S980" i="93"/>
  <c r="S982" i="93"/>
  <c r="S983" i="93"/>
  <c r="S986" i="93"/>
  <c r="S984" i="93"/>
  <c r="C53" i="74"/>
  <c r="I33" i="74"/>
  <c r="I1048" i="94" s="1"/>
  <c r="I44" i="82"/>
  <c r="I32" i="74"/>
  <c r="I37" i="74"/>
  <c r="I1052" i="94" s="1"/>
  <c r="G33" i="74"/>
  <c r="G1048" i="94" s="1"/>
  <c r="G32" i="74"/>
  <c r="G44" i="82"/>
  <c r="G37" i="74"/>
  <c r="G1052" i="94" s="1"/>
  <c r="S985" i="93"/>
  <c r="D37" i="74"/>
  <c r="D1052" i="94" s="1"/>
  <c r="D33" i="74"/>
  <c r="D1048" i="94" s="1"/>
  <c r="D32" i="74"/>
  <c r="D44" i="82"/>
  <c r="B51" i="82"/>
  <c r="B46" i="82"/>
  <c r="C32" i="74"/>
  <c r="S21" i="74" s="1"/>
  <c r="C33" i="74"/>
  <c r="C1048" i="94" s="1"/>
  <c r="C44" i="82"/>
  <c r="C37" i="74"/>
  <c r="C1052" i="94" s="1"/>
  <c r="H37" i="74"/>
  <c r="H1052" i="94" s="1"/>
  <c r="H32" i="74"/>
  <c r="H33" i="74"/>
  <c r="H1048" i="94" s="1"/>
  <c r="H44" i="82"/>
  <c r="E32" i="74"/>
  <c r="E44" i="82"/>
  <c r="E37" i="74"/>
  <c r="E1052" i="94" s="1"/>
  <c r="E33" i="74"/>
  <c r="E1048" i="94" s="1"/>
  <c r="D1067" i="94"/>
  <c r="G1017" i="93"/>
  <c r="G1021" i="93"/>
  <c r="C51" i="74"/>
  <c r="C56" i="74" s="1"/>
  <c r="B56" i="74"/>
  <c r="B65" i="74" s="1"/>
  <c r="B1080" i="94" s="1"/>
  <c r="C1090" i="94"/>
  <c r="C1027" i="93"/>
  <c r="D75" i="74"/>
  <c r="B1023" i="93"/>
  <c r="B1086" i="94"/>
  <c r="C71" i="74"/>
  <c r="F30" i="86"/>
  <c r="K46" i="82"/>
  <c r="K51" i="82"/>
  <c r="J51" i="82"/>
  <c r="J46" i="82"/>
  <c r="H1002" i="93"/>
  <c r="D1092" i="94"/>
  <c r="C1102" i="94"/>
  <c r="J1047" i="94"/>
  <c r="D29" i="86"/>
  <c r="D1061" i="94"/>
  <c r="D48" i="74"/>
  <c r="D1063" i="94" s="1"/>
  <c r="J999" i="93"/>
  <c r="I1005" i="93"/>
  <c r="I1001" i="93"/>
  <c r="I1000" i="93"/>
  <c r="I1007" i="93"/>
  <c r="D1069" i="94"/>
  <c r="H33" i="86"/>
  <c r="E29" i="86"/>
  <c r="K1047" i="94"/>
  <c r="E55" i="74"/>
  <c r="F45" i="74"/>
  <c r="E52" i="74"/>
  <c r="E46" i="74"/>
  <c r="E47" i="74"/>
  <c r="E1062" i="94" s="1"/>
  <c r="E54" i="74"/>
  <c r="D73" i="82"/>
  <c r="D1014" i="93"/>
  <c r="D1016" i="93" s="1"/>
  <c r="S987" i="93" s="1"/>
  <c r="E62" i="74"/>
  <c r="H1006" i="93" l="1"/>
  <c r="H1022" i="93" s="1"/>
  <c r="F1021" i="93"/>
  <c r="F1017" i="93"/>
  <c r="C41" i="86"/>
  <c r="D41" i="86" s="1"/>
  <c r="E41" i="86" s="1"/>
  <c r="D21" i="86"/>
  <c r="E21" i="86" s="1"/>
  <c r="B14" i="82"/>
  <c r="G20" i="82" s="1"/>
  <c r="S22" i="74"/>
  <c r="E46" i="82"/>
  <c r="E51" i="82"/>
  <c r="C51" i="82"/>
  <c r="C46" i="82"/>
  <c r="G1047" i="94"/>
  <c r="H9" i="86"/>
  <c r="H17" i="86" s="1"/>
  <c r="H18" i="86" s="1"/>
  <c r="H20" i="86" s="1"/>
  <c r="H24" i="86" s="1"/>
  <c r="K11" i="86" s="1"/>
  <c r="I46" i="82"/>
  <c r="I51" i="82"/>
  <c r="S27" i="74"/>
  <c r="F46" i="82"/>
  <c r="F51" i="82"/>
  <c r="H1047" i="94"/>
  <c r="I9" i="86"/>
  <c r="I17" i="86" s="1"/>
  <c r="I18" i="86" s="1"/>
  <c r="I20" i="86" s="1"/>
  <c r="I24" i="86" s="1"/>
  <c r="K12" i="86" s="1"/>
  <c r="D51" i="82"/>
  <c r="D46" i="82"/>
  <c r="F9" i="86"/>
  <c r="F17" i="86" s="1"/>
  <c r="F18" i="86" s="1"/>
  <c r="F20" i="86" s="1"/>
  <c r="F24" i="86" s="1"/>
  <c r="K9" i="86" s="1"/>
  <c r="E1047" i="94"/>
  <c r="D9" i="86"/>
  <c r="D17" i="86" s="1"/>
  <c r="D18" i="86" s="1"/>
  <c r="D20" i="86" s="1"/>
  <c r="D24" i="86" s="1"/>
  <c r="K7" i="86" s="1"/>
  <c r="C1047" i="94"/>
  <c r="S28" i="74"/>
  <c r="D1047" i="94"/>
  <c r="E9" i="86"/>
  <c r="E17" i="86" s="1"/>
  <c r="E18" i="86" s="1"/>
  <c r="E20" i="86" s="1"/>
  <c r="E24" i="86" s="1"/>
  <c r="K8" i="86" s="1"/>
  <c r="C1068" i="94"/>
  <c r="C70" i="74"/>
  <c r="C1085" i="94" s="1"/>
  <c r="S24" i="74"/>
  <c r="S25" i="74"/>
  <c r="S29" i="74"/>
  <c r="S30" i="74"/>
  <c r="H46" i="82"/>
  <c r="H51" i="82"/>
  <c r="G51" i="82"/>
  <c r="G46" i="82"/>
  <c r="I1047" i="94"/>
  <c r="C29" i="86"/>
  <c r="C37" i="86" s="1"/>
  <c r="C38" i="86" s="1"/>
  <c r="C40" i="86" s="1"/>
  <c r="C44" i="86" s="1"/>
  <c r="K13" i="86" s="1"/>
  <c r="S26" i="74"/>
  <c r="G9" i="86"/>
  <c r="G17" i="86" s="1"/>
  <c r="G18" i="86" s="1"/>
  <c r="G20" i="86" s="1"/>
  <c r="G24" i="86" s="1"/>
  <c r="K10" i="86" s="1"/>
  <c r="F1047" i="94"/>
  <c r="D53" i="74"/>
  <c r="E1067" i="94"/>
  <c r="B69" i="74"/>
  <c r="B1084" i="94" s="1"/>
  <c r="B64" i="82"/>
  <c r="B71" i="82" s="1"/>
  <c r="B64" i="74"/>
  <c r="S31" i="74" s="1"/>
  <c r="C1066" i="94"/>
  <c r="C65" i="74"/>
  <c r="C1080" i="94" s="1"/>
  <c r="C69" i="74"/>
  <c r="C1084" i="94" s="1"/>
  <c r="D51" i="74"/>
  <c r="D1090" i="94"/>
  <c r="D1027" i="93"/>
  <c r="E75" i="74"/>
  <c r="C1086" i="94"/>
  <c r="C1023" i="93"/>
  <c r="D71" i="74"/>
  <c r="G30" i="86"/>
  <c r="E1061" i="94"/>
  <c r="E48" i="74"/>
  <c r="E1063" i="94" s="1"/>
  <c r="C64" i="74"/>
  <c r="C64" i="82"/>
  <c r="K999" i="93"/>
  <c r="J1007" i="93"/>
  <c r="J1005" i="93"/>
  <c r="J1001" i="93"/>
  <c r="J1000" i="93"/>
  <c r="D37" i="86"/>
  <c r="D38" i="86" s="1"/>
  <c r="D40" i="86" s="1"/>
  <c r="D44" i="86" s="1"/>
  <c r="K14" i="86" s="1"/>
  <c r="D1102" i="94"/>
  <c r="E1092" i="94"/>
  <c r="F62" i="74"/>
  <c r="E73" i="82"/>
  <c r="E1014" i="93"/>
  <c r="E1016" i="93" s="1"/>
  <c r="I33" i="86"/>
  <c r="E1069" i="94"/>
  <c r="F55" i="74"/>
  <c r="G45" i="74"/>
  <c r="F52" i="74"/>
  <c r="F46" i="74"/>
  <c r="F47" i="74"/>
  <c r="F1062" i="94" s="1"/>
  <c r="F54" i="74"/>
  <c r="E37" i="86"/>
  <c r="E38" i="86" s="1"/>
  <c r="E40" i="86" s="1"/>
  <c r="E44" i="86" s="1"/>
  <c r="K15" i="86" s="1"/>
  <c r="I1002" i="93"/>
  <c r="B25" i="82" l="1"/>
  <c r="I72" i="82" s="1"/>
  <c r="C1071" i="94"/>
  <c r="H1008" i="93"/>
  <c r="I1006" i="93"/>
  <c r="I1022" i="93" s="1"/>
  <c r="B20" i="82"/>
  <c r="B21" i="82" s="1"/>
  <c r="D22" i="86"/>
  <c r="D56" i="74"/>
  <c r="D64" i="74" s="1"/>
  <c r="E53" i="74"/>
  <c r="D1068" i="94"/>
  <c r="D70" i="74"/>
  <c r="D1085" i="94" s="1"/>
  <c r="F1067" i="94"/>
  <c r="F21" i="86"/>
  <c r="E22" i="86"/>
  <c r="B1079" i="94"/>
  <c r="F29" i="86"/>
  <c r="F37" i="86" s="1"/>
  <c r="F38" i="86" s="1"/>
  <c r="F40" i="86" s="1"/>
  <c r="F44" i="86" s="1"/>
  <c r="K16" i="86" s="1"/>
  <c r="B66" i="82"/>
  <c r="D1066" i="94"/>
  <c r="B26" i="82"/>
  <c r="B28" i="82" s="1"/>
  <c r="C72" i="82"/>
  <c r="E72" i="82"/>
  <c r="B52" i="82"/>
  <c r="B54" i="82" s="1"/>
  <c r="B55" i="82" s="1"/>
  <c r="B56" i="82" s="1"/>
  <c r="F52" i="82"/>
  <c r="F54" i="82" s="1"/>
  <c r="F55" i="82" s="1"/>
  <c r="F56" i="82" s="1"/>
  <c r="E1090" i="94"/>
  <c r="E1027" i="93"/>
  <c r="F75" i="74"/>
  <c r="D1086" i="94"/>
  <c r="D1023" i="93"/>
  <c r="E71" i="74"/>
  <c r="H30" i="86"/>
  <c r="C66" i="82"/>
  <c r="C71" i="82"/>
  <c r="G55" i="74"/>
  <c r="H45" i="74"/>
  <c r="G52" i="74"/>
  <c r="G46" i="74"/>
  <c r="G47" i="74"/>
  <c r="G1062" i="94" s="1"/>
  <c r="G54" i="74"/>
  <c r="S988" i="93"/>
  <c r="J1002" i="93"/>
  <c r="J1006" i="93" s="1"/>
  <c r="J1022" i="93" s="1"/>
  <c r="K1005" i="93"/>
  <c r="K1001" i="93"/>
  <c r="K1007" i="93"/>
  <c r="B1029" i="93"/>
  <c r="K1000" i="93"/>
  <c r="C1079" i="94"/>
  <c r="G29" i="86"/>
  <c r="S32" i="74"/>
  <c r="E1102" i="94"/>
  <c r="F1092" i="94"/>
  <c r="C53" i="86"/>
  <c r="F1069" i="94"/>
  <c r="F1061" i="94"/>
  <c r="F48" i="74"/>
  <c r="F1063" i="94" s="1"/>
  <c r="G62" i="74"/>
  <c r="F73" i="82"/>
  <c r="F1014" i="93"/>
  <c r="F1016" i="93" s="1"/>
  <c r="S989" i="93" s="1"/>
  <c r="E51" i="74"/>
  <c r="B72" i="82" l="1"/>
  <c r="B74" i="82" s="1"/>
  <c r="G52" i="82"/>
  <c r="G54" i="82" s="1"/>
  <c r="G55" i="82" s="1"/>
  <c r="G56" i="82" s="1"/>
  <c r="G72" i="82"/>
  <c r="J52" i="82"/>
  <c r="J54" i="82" s="1"/>
  <c r="J55" i="82" s="1"/>
  <c r="J56" i="82" s="1"/>
  <c r="E52" i="82"/>
  <c r="E54" i="82" s="1"/>
  <c r="E55" i="82" s="1"/>
  <c r="E56" i="82" s="1"/>
  <c r="C52" i="82"/>
  <c r="C54" i="82" s="1"/>
  <c r="C55" i="82" s="1"/>
  <c r="C56" i="82" s="1"/>
  <c r="H52" i="82"/>
  <c r="H54" i="82" s="1"/>
  <c r="H55" i="82" s="1"/>
  <c r="H56" i="82" s="1"/>
  <c r="F72" i="82"/>
  <c r="J72" i="82"/>
  <c r="K52" i="82"/>
  <c r="K54" i="82" s="1"/>
  <c r="K55" i="82" s="1"/>
  <c r="K56" i="82" s="1"/>
  <c r="K72" i="82"/>
  <c r="H72" i="82"/>
  <c r="D52" i="82"/>
  <c r="D54" i="82" s="1"/>
  <c r="D55" i="82" s="1"/>
  <c r="D56" i="82" s="1"/>
  <c r="I52" i="82"/>
  <c r="I54" i="82" s="1"/>
  <c r="I55" i="82" s="1"/>
  <c r="I56" i="82" s="1"/>
  <c r="D72" i="82"/>
  <c r="D65" i="74"/>
  <c r="D1080" i="94" s="1"/>
  <c r="D64" i="82"/>
  <c r="D66" i="82" s="1"/>
  <c r="D69" i="74"/>
  <c r="D1084" i="94" s="1"/>
  <c r="I1008" i="93"/>
  <c r="H1021" i="93"/>
  <c r="H1017" i="93"/>
  <c r="J1008" i="93"/>
  <c r="J1017" i="93" s="1"/>
  <c r="D1071" i="94"/>
  <c r="F53" i="74"/>
  <c r="E1068" i="94"/>
  <c r="E70" i="74"/>
  <c r="E1085" i="94" s="1"/>
  <c r="G1067" i="94"/>
  <c r="J1021" i="93"/>
  <c r="F22" i="86"/>
  <c r="G21" i="86"/>
  <c r="B5" i="82"/>
  <c r="B6" i="82" s="1"/>
  <c r="B7" i="82" s="1"/>
  <c r="B9" i="82"/>
  <c r="B10" i="82" s="1"/>
  <c r="B11" i="82" s="1"/>
  <c r="B58" i="82"/>
  <c r="C58" i="82" s="1"/>
  <c r="D58" i="82" s="1"/>
  <c r="E58" i="82" s="1"/>
  <c r="F58" i="82" s="1"/>
  <c r="G58" i="82" s="1"/>
  <c r="H58" i="82" s="1"/>
  <c r="I58" i="82" s="1"/>
  <c r="C74" i="82"/>
  <c r="C75" i="82" s="1"/>
  <c r="C76" i="82" s="1"/>
  <c r="F1027" i="93"/>
  <c r="G75" i="74"/>
  <c r="F1090" i="94"/>
  <c r="E1086" i="94"/>
  <c r="E1023" i="93"/>
  <c r="F71" i="74"/>
  <c r="I30" i="86"/>
  <c r="G1092" i="94"/>
  <c r="F1102" i="94"/>
  <c r="G37" i="86"/>
  <c r="G38" i="86" s="1"/>
  <c r="G40" i="86" s="1"/>
  <c r="G44" i="86" s="1"/>
  <c r="K17" i="86" s="1"/>
  <c r="E56" i="74"/>
  <c r="E1066" i="94"/>
  <c r="G73" i="82"/>
  <c r="G1014" i="93"/>
  <c r="G1016" i="93" s="1"/>
  <c r="S990" i="93" s="1"/>
  <c r="H62" i="74"/>
  <c r="G48" i="74"/>
  <c r="G1063" i="94" s="1"/>
  <c r="G1061" i="94"/>
  <c r="D71" i="82"/>
  <c r="D74" i="82" s="1"/>
  <c r="B75" i="82"/>
  <c r="B76" i="82" s="1"/>
  <c r="K1002" i="93"/>
  <c r="K1006" i="93" s="1"/>
  <c r="K1022" i="93" s="1"/>
  <c r="D1079" i="94"/>
  <c r="H29" i="86"/>
  <c r="S33" i="74"/>
  <c r="B29" i="82"/>
  <c r="G21" i="82"/>
  <c r="F51" i="74"/>
  <c r="B1030" i="93"/>
  <c r="B1035" i="93"/>
  <c r="B1037" i="93"/>
  <c r="B1031" i="93"/>
  <c r="C1029" i="93"/>
  <c r="G1069" i="94"/>
  <c r="D53" i="86"/>
  <c r="I45" i="74"/>
  <c r="H55" i="74"/>
  <c r="H52" i="74"/>
  <c r="H46" i="74"/>
  <c r="H47" i="74"/>
  <c r="H1062" i="94" s="1"/>
  <c r="H54" i="74"/>
  <c r="J58" i="82" l="1"/>
  <c r="K58" i="82" s="1"/>
  <c r="B78" i="82" s="1"/>
  <c r="C78" i="82" s="1"/>
  <c r="D78" i="82" s="1"/>
  <c r="E78" i="82" s="1"/>
  <c r="F78" i="82" s="1"/>
  <c r="G78" i="82" s="1"/>
  <c r="H78" i="82" s="1"/>
  <c r="I78" i="82" s="1"/>
  <c r="J78" i="82" s="1"/>
  <c r="K78" i="82" s="1"/>
  <c r="K1008" i="93"/>
  <c r="I1017" i="93"/>
  <c r="I1021" i="93"/>
  <c r="E1071" i="94"/>
  <c r="G53" i="74"/>
  <c r="F1068" i="94"/>
  <c r="F70" i="74"/>
  <c r="F1085" i="94" s="1"/>
  <c r="H1067" i="94"/>
  <c r="K1021" i="93"/>
  <c r="K1017" i="93"/>
  <c r="G22" i="86"/>
  <c r="H21" i="86"/>
  <c r="G51" i="74"/>
  <c r="G1066" i="94" s="1"/>
  <c r="E65" i="74"/>
  <c r="E1080" i="94" s="1"/>
  <c r="E69" i="74"/>
  <c r="E1084" i="94" s="1"/>
  <c r="G1090" i="94"/>
  <c r="G1027" i="93"/>
  <c r="F1023" i="93"/>
  <c r="F1086" i="94"/>
  <c r="G71" i="74"/>
  <c r="C50" i="86"/>
  <c r="H37" i="86"/>
  <c r="H38" i="86" s="1"/>
  <c r="H40" i="86" s="1"/>
  <c r="H44" i="86" s="1"/>
  <c r="K18" i="86" s="1"/>
  <c r="D75" i="82"/>
  <c r="D76" i="82" s="1"/>
  <c r="I55" i="74"/>
  <c r="I52" i="74"/>
  <c r="J45" i="74"/>
  <c r="I46" i="74"/>
  <c r="I47" i="74"/>
  <c r="I1062" i="94" s="1"/>
  <c r="I54" i="74"/>
  <c r="H73" i="82"/>
  <c r="I62" i="74"/>
  <c r="H1014" i="93"/>
  <c r="H1016" i="93" s="1"/>
  <c r="S991" i="93" s="1"/>
  <c r="E64" i="82"/>
  <c r="E64" i="74"/>
  <c r="G1102" i="94"/>
  <c r="H1092" i="94"/>
  <c r="F56" i="74"/>
  <c r="F1066" i="94"/>
  <c r="F1071" i="94" s="1"/>
  <c r="H48" i="74"/>
  <c r="H1063" i="94" s="1"/>
  <c r="H1061" i="94"/>
  <c r="E53" i="86"/>
  <c r="H1069" i="94"/>
  <c r="C1031" i="93"/>
  <c r="C1037" i="93"/>
  <c r="C1035" i="93"/>
  <c r="D1029" i="93"/>
  <c r="C1030" i="93"/>
  <c r="B1032" i="93"/>
  <c r="B1036" i="93" s="1"/>
  <c r="B1051" i="93" l="1"/>
  <c r="B1038" i="93"/>
  <c r="G1068" i="94"/>
  <c r="G1071" i="94" s="1"/>
  <c r="G70" i="74"/>
  <c r="G1085" i="94" s="1"/>
  <c r="H53" i="74"/>
  <c r="I1067" i="94"/>
  <c r="B1046" i="93"/>
  <c r="B1050" i="93"/>
  <c r="I21" i="86"/>
  <c r="I22" i="86" s="1"/>
  <c r="H22" i="86"/>
  <c r="G56" i="74"/>
  <c r="G64" i="82" s="1"/>
  <c r="F65" i="74"/>
  <c r="F1080" i="94" s="1"/>
  <c r="F69" i="74"/>
  <c r="F1084" i="94" s="1"/>
  <c r="G1086" i="94"/>
  <c r="G1023" i="93"/>
  <c r="H71" i="74"/>
  <c r="D50" i="86"/>
  <c r="D57" i="86" s="1"/>
  <c r="D58" i="86" s="1"/>
  <c r="D60" i="86" s="1"/>
  <c r="D64" i="86" s="1"/>
  <c r="K21" i="86" s="1"/>
  <c r="C1032" i="93"/>
  <c r="E1029" i="93"/>
  <c r="D1030" i="93"/>
  <c r="D1037" i="93"/>
  <c r="D1035" i="93"/>
  <c r="D1031" i="93"/>
  <c r="E71" i="82"/>
  <c r="E74" i="82" s="1"/>
  <c r="E66" i="82"/>
  <c r="F53" i="86"/>
  <c r="I1069" i="94"/>
  <c r="F64" i="74"/>
  <c r="F64" i="82"/>
  <c r="I1092" i="94"/>
  <c r="H1102" i="94"/>
  <c r="E1079" i="94"/>
  <c r="I29" i="86"/>
  <c r="S34" i="74"/>
  <c r="J55" i="74"/>
  <c r="K45" i="74"/>
  <c r="J52" i="74"/>
  <c r="J46" i="74"/>
  <c r="J47" i="74"/>
  <c r="J1062" i="94" s="1"/>
  <c r="J54" i="74"/>
  <c r="H51" i="74"/>
  <c r="J62" i="74"/>
  <c r="I1014" i="93"/>
  <c r="I1016" i="93" s="1"/>
  <c r="S992" i="93" s="1"/>
  <c r="I73" i="82"/>
  <c r="I1061" i="94"/>
  <c r="I48" i="74"/>
  <c r="I1063" i="94" s="1"/>
  <c r="C1036" i="93" l="1"/>
  <c r="C1051" i="93" s="1"/>
  <c r="I53" i="74"/>
  <c r="H1068" i="94"/>
  <c r="H70" i="74"/>
  <c r="H1085" i="94" s="1"/>
  <c r="J1067" i="94"/>
  <c r="G64" i="74"/>
  <c r="G1079" i="94" s="1"/>
  <c r="G65" i="74"/>
  <c r="G1080" i="94" s="1"/>
  <c r="G69" i="74"/>
  <c r="G1084" i="94" s="1"/>
  <c r="I51" i="74"/>
  <c r="I1066" i="94" s="1"/>
  <c r="H1023" i="93"/>
  <c r="H1086" i="94"/>
  <c r="I71" i="74"/>
  <c r="E50" i="86"/>
  <c r="E57" i="86" s="1"/>
  <c r="E58" i="86" s="1"/>
  <c r="E60" i="86" s="1"/>
  <c r="E64" i="86" s="1"/>
  <c r="K22" i="86" s="1"/>
  <c r="J73" i="82"/>
  <c r="K62" i="74"/>
  <c r="J1014" i="93"/>
  <c r="J1016" i="93" s="1"/>
  <c r="S993" i="93" s="1"/>
  <c r="C49" i="86"/>
  <c r="F1079" i="94"/>
  <c r="S35" i="74"/>
  <c r="F45" i="68" s="1"/>
  <c r="E75" i="82"/>
  <c r="E76" i="82" s="1"/>
  <c r="D1032" i="93"/>
  <c r="D1036" i="93" s="1"/>
  <c r="D1051" i="93" s="1"/>
  <c r="G71" i="82"/>
  <c r="G74" i="82" s="1"/>
  <c r="G66" i="82"/>
  <c r="J1069" i="94"/>
  <c r="G53" i="86"/>
  <c r="B77" i="74"/>
  <c r="K55" i="74"/>
  <c r="K52" i="74"/>
  <c r="K46" i="74"/>
  <c r="K47" i="74"/>
  <c r="K1062" i="94" s="1"/>
  <c r="K54" i="74"/>
  <c r="E1035" i="93"/>
  <c r="E1030" i="93"/>
  <c r="E1037" i="93"/>
  <c r="E1031" i="93"/>
  <c r="F1029" i="93"/>
  <c r="I1102" i="94"/>
  <c r="J1092" i="94"/>
  <c r="H56" i="74"/>
  <c r="H1066" i="94"/>
  <c r="H1071" i="94" s="1"/>
  <c r="J1061" i="94"/>
  <c r="J48" i="74"/>
  <c r="J1063" i="94" s="1"/>
  <c r="I37" i="86"/>
  <c r="I38" i="86" s="1"/>
  <c r="I40" i="86" s="1"/>
  <c r="I44" i="86" s="1"/>
  <c r="K19" i="86" s="1"/>
  <c r="F66" i="82"/>
  <c r="F71" i="82"/>
  <c r="F74" i="82" s="1"/>
  <c r="D1038" i="93" l="1"/>
  <c r="C1038" i="93"/>
  <c r="J53" i="74"/>
  <c r="I1068" i="94"/>
  <c r="I1071" i="94" s="1"/>
  <c r="I70" i="74"/>
  <c r="I1085" i="94" s="1"/>
  <c r="K1067" i="94"/>
  <c r="D1050" i="93"/>
  <c r="D1046" i="93"/>
  <c r="S36" i="74"/>
  <c r="H69" i="74"/>
  <c r="H1084" i="94" s="1"/>
  <c r="H65" i="74"/>
  <c r="H1080" i="94" s="1"/>
  <c r="I56" i="74"/>
  <c r="I64" i="82" s="1"/>
  <c r="I1086" i="94"/>
  <c r="I1023" i="93"/>
  <c r="J71" i="74"/>
  <c r="F50" i="86"/>
  <c r="F57" i="86" s="1"/>
  <c r="F58" i="86" s="1"/>
  <c r="F60" i="86" s="1"/>
  <c r="F64" i="86" s="1"/>
  <c r="K23" i="86" s="1"/>
  <c r="J51" i="74"/>
  <c r="K1092" i="94"/>
  <c r="J1102" i="94"/>
  <c r="H53" i="86"/>
  <c r="K1069" i="94"/>
  <c r="C57" i="86"/>
  <c r="C58" i="86" s="1"/>
  <c r="C60" i="86" s="1"/>
  <c r="C64" i="86" s="1"/>
  <c r="K20" i="86" s="1"/>
  <c r="F1037" i="93"/>
  <c r="F1035" i="93"/>
  <c r="G1029" i="93"/>
  <c r="F1030" i="93"/>
  <c r="F1031" i="93"/>
  <c r="K48" i="74"/>
  <c r="K1063" i="94" s="1"/>
  <c r="K1061" i="94"/>
  <c r="H64" i="74"/>
  <c r="H64" i="82"/>
  <c r="E1032" i="93"/>
  <c r="E1036" i="93" s="1"/>
  <c r="E1051" i="93" s="1"/>
  <c r="C77" i="74"/>
  <c r="B84" i="74"/>
  <c r="B87" i="74"/>
  <c r="B78" i="74"/>
  <c r="B79" i="74"/>
  <c r="B1094" i="94" s="1"/>
  <c r="B86" i="74"/>
  <c r="B1101" i="94" s="1"/>
  <c r="G75" i="82"/>
  <c r="G76" i="82" s="1"/>
  <c r="F75" i="82"/>
  <c r="F76" i="82" s="1"/>
  <c r="L45" i="68"/>
  <c r="F422" i="94"/>
  <c r="F407" i="93"/>
  <c r="K1014" i="93"/>
  <c r="K1016" i="93" s="1"/>
  <c r="S994" i="93" s="1"/>
  <c r="K73" i="82"/>
  <c r="B94" i="74"/>
  <c r="C1046" i="93" l="1"/>
  <c r="C1050" i="93"/>
  <c r="E1038" i="93"/>
  <c r="E1046" i="93" s="1"/>
  <c r="J1068" i="94"/>
  <c r="J70" i="74"/>
  <c r="J1085" i="94" s="1"/>
  <c r="K53" i="74"/>
  <c r="B1099" i="94"/>
  <c r="E1050" i="93"/>
  <c r="I64" i="74"/>
  <c r="I1079" i="94" s="1"/>
  <c r="I65" i="74"/>
  <c r="I1080" i="94" s="1"/>
  <c r="I69" i="74"/>
  <c r="I1084" i="94" s="1"/>
  <c r="J1086" i="94"/>
  <c r="J1023" i="93"/>
  <c r="K71" i="74"/>
  <c r="H50" i="86" s="1"/>
  <c r="H57" i="86" s="1"/>
  <c r="H58" i="86" s="1"/>
  <c r="H60" i="86" s="1"/>
  <c r="H64" i="86" s="1"/>
  <c r="K25" i="86" s="1"/>
  <c r="G50" i="86"/>
  <c r="G57" i="86" s="1"/>
  <c r="G58" i="86" s="1"/>
  <c r="G60" i="86" s="1"/>
  <c r="G64" i="86" s="1"/>
  <c r="K24" i="86" s="1"/>
  <c r="H71" i="82"/>
  <c r="H74" i="82" s="1"/>
  <c r="H66" i="82"/>
  <c r="C87" i="74"/>
  <c r="D77" i="74"/>
  <c r="C84" i="74"/>
  <c r="C78" i="74"/>
  <c r="C79" i="74"/>
  <c r="C1094" i="94" s="1"/>
  <c r="C86" i="74"/>
  <c r="C1101" i="94" s="1"/>
  <c r="H1079" i="94"/>
  <c r="S37" i="74"/>
  <c r="B1122" i="94"/>
  <c r="K1102" i="94"/>
  <c r="B1093" i="94"/>
  <c r="B80" i="74"/>
  <c r="B1095" i="94" s="1"/>
  <c r="K51" i="74"/>
  <c r="F1032" i="93"/>
  <c r="F1036" i="93" s="1"/>
  <c r="J56" i="74"/>
  <c r="J1066" i="94"/>
  <c r="J1071" i="94" s="1"/>
  <c r="B1044" i="93"/>
  <c r="B1045" i="93" s="1"/>
  <c r="C94" i="74"/>
  <c r="I408" i="93"/>
  <c r="L422" i="94"/>
  <c r="F85" i="92"/>
  <c r="F89" i="92" s="1"/>
  <c r="F105" i="92" s="1"/>
  <c r="G1035" i="93"/>
  <c r="G1030" i="93"/>
  <c r="G1037" i="93"/>
  <c r="G1031" i="93"/>
  <c r="H1029" i="93"/>
  <c r="I66" i="82"/>
  <c r="I71" i="82"/>
  <c r="I74" i="82" s="1"/>
  <c r="F1051" i="93" l="1"/>
  <c r="F1038" i="93"/>
  <c r="F1050" i="93" s="1"/>
  <c r="K1068" i="94"/>
  <c r="K70" i="74"/>
  <c r="K1085" i="94" s="1"/>
  <c r="B85" i="74"/>
  <c r="C1099" i="94"/>
  <c r="S38" i="74"/>
  <c r="B83" i="74"/>
  <c r="J69" i="74"/>
  <c r="J1084" i="94" s="1"/>
  <c r="J65" i="74"/>
  <c r="J1080" i="94" s="1"/>
  <c r="K1086" i="94"/>
  <c r="L93" i="85"/>
  <c r="O8" i="86"/>
  <c r="O14" i="86" s="1"/>
  <c r="O33" i="86" s="1"/>
  <c r="H63" i="86" s="1"/>
  <c r="K1023" i="93"/>
  <c r="L63" i="85"/>
  <c r="C85" i="90"/>
  <c r="B102" i="74"/>
  <c r="H1035" i="93"/>
  <c r="H1031" i="93"/>
  <c r="H1030" i="93"/>
  <c r="I1029" i="93"/>
  <c r="H1037" i="93"/>
  <c r="D94" i="74"/>
  <c r="C1044" i="93"/>
  <c r="C1045" i="93" s="1"/>
  <c r="C1122" i="94"/>
  <c r="B1132" i="94"/>
  <c r="D87" i="74"/>
  <c r="E77" i="74"/>
  <c r="D84" i="74"/>
  <c r="D78" i="74"/>
  <c r="D79" i="74"/>
  <c r="D1094" i="94" s="1"/>
  <c r="D86" i="74"/>
  <c r="D1101" i="94" s="1"/>
  <c r="K56" i="74"/>
  <c r="K1066" i="94"/>
  <c r="C1093" i="94"/>
  <c r="C80" i="74"/>
  <c r="C1095" i="94" s="1"/>
  <c r="I75" i="82"/>
  <c r="I76" i="82" s="1"/>
  <c r="G1032" i="93"/>
  <c r="G1036" i="93" s="1"/>
  <c r="J64" i="82"/>
  <c r="J64" i="74"/>
  <c r="H75" i="82"/>
  <c r="H76" i="82" s="1"/>
  <c r="K1071" i="94" l="1"/>
  <c r="G1051" i="93"/>
  <c r="G1038" i="93"/>
  <c r="F1046" i="93"/>
  <c r="C85" i="74"/>
  <c r="B1100" i="94"/>
  <c r="B101" i="74"/>
  <c r="B1116" i="94" s="1"/>
  <c r="B88" i="74"/>
  <c r="B96" i="74" s="1"/>
  <c r="B1111" i="94" s="1"/>
  <c r="D1099" i="94"/>
  <c r="G1046" i="93"/>
  <c r="G1050" i="93"/>
  <c r="C83" i="74"/>
  <c r="C1098" i="94" s="1"/>
  <c r="K65" i="74"/>
  <c r="K1080" i="94" s="1"/>
  <c r="K69" i="74"/>
  <c r="K1084" i="94" s="1"/>
  <c r="B1098" i="94"/>
  <c r="B1103" i="94" s="1"/>
  <c r="B1117" i="94"/>
  <c r="B1052" i="93"/>
  <c r="C102" i="74"/>
  <c r="J71" i="82"/>
  <c r="J74" i="82" s="1"/>
  <c r="J66" i="82"/>
  <c r="D1122" i="94"/>
  <c r="C1132" i="94"/>
  <c r="I1037" i="93"/>
  <c r="J1029" i="93"/>
  <c r="I1031" i="93"/>
  <c r="I1035" i="93"/>
  <c r="I1030" i="93"/>
  <c r="K64" i="82"/>
  <c r="K64" i="74"/>
  <c r="E87" i="74"/>
  <c r="F77" i="74"/>
  <c r="E84" i="74"/>
  <c r="E78" i="74"/>
  <c r="E79" i="74"/>
  <c r="E1094" i="94" s="1"/>
  <c r="E86" i="74"/>
  <c r="E1101" i="94" s="1"/>
  <c r="H1032" i="93"/>
  <c r="H1036" i="93" s="1"/>
  <c r="D1044" i="93"/>
  <c r="D1045" i="93" s="1"/>
  <c r="E94" i="74"/>
  <c r="J1079" i="94"/>
  <c r="S39" i="74"/>
  <c r="D1093" i="94"/>
  <c r="D80" i="74"/>
  <c r="D1095" i="94" s="1"/>
  <c r="B95" i="74" l="1"/>
  <c r="B1110" i="94" s="1"/>
  <c r="H1051" i="93"/>
  <c r="H1038" i="93"/>
  <c r="B100" i="74"/>
  <c r="B1115" i="94" s="1"/>
  <c r="C1100" i="94"/>
  <c r="C1103" i="94" s="1"/>
  <c r="C101" i="74"/>
  <c r="C1116" i="94" s="1"/>
  <c r="D85" i="74"/>
  <c r="E1099" i="94"/>
  <c r="H1046" i="93"/>
  <c r="H1050" i="93"/>
  <c r="C88" i="74"/>
  <c r="C95" i="74" s="1"/>
  <c r="C1110" i="94" s="1"/>
  <c r="C1117" i="94"/>
  <c r="C1052" i="93"/>
  <c r="D102" i="74"/>
  <c r="E1044" i="93"/>
  <c r="E1045" i="93" s="1"/>
  <c r="F94" i="74"/>
  <c r="E1093" i="94"/>
  <c r="E80" i="74"/>
  <c r="E1095" i="94" s="1"/>
  <c r="K1079" i="94"/>
  <c r="S40" i="74"/>
  <c r="K71" i="82"/>
  <c r="K74" i="82" s="1"/>
  <c r="K66" i="82"/>
  <c r="E1122" i="94"/>
  <c r="D1132" i="94"/>
  <c r="F87" i="74"/>
  <c r="G77" i="74"/>
  <c r="F84" i="74"/>
  <c r="F78" i="74"/>
  <c r="F79" i="74"/>
  <c r="F1094" i="94" s="1"/>
  <c r="F86" i="74"/>
  <c r="F1101" i="94" s="1"/>
  <c r="J1031" i="93"/>
  <c r="J1037" i="93"/>
  <c r="K1029" i="93"/>
  <c r="J1030" i="93"/>
  <c r="J1035" i="93"/>
  <c r="D83" i="74"/>
  <c r="I1032" i="93"/>
  <c r="I1036" i="93" s="1"/>
  <c r="J75" i="82"/>
  <c r="J76" i="82" s="1"/>
  <c r="I1051" i="93" l="1"/>
  <c r="I1038" i="93"/>
  <c r="I1046" i="93" s="1"/>
  <c r="E85" i="74"/>
  <c r="D1100" i="94"/>
  <c r="D101" i="74"/>
  <c r="D1116" i="94" s="1"/>
  <c r="F1099" i="94"/>
  <c r="I1050" i="93"/>
  <c r="C100" i="74"/>
  <c r="C1115" i="94" s="1"/>
  <c r="C96" i="74"/>
  <c r="C1111" i="94" s="1"/>
  <c r="D1052" i="93"/>
  <c r="D1117" i="94"/>
  <c r="E102" i="74"/>
  <c r="F80" i="74"/>
  <c r="F1095" i="94" s="1"/>
  <c r="F1093" i="94"/>
  <c r="E1132" i="94"/>
  <c r="F1122" i="94"/>
  <c r="F1132" i="94" s="1"/>
  <c r="G94" i="74"/>
  <c r="F1044" i="93"/>
  <c r="F1045" i="93" s="1"/>
  <c r="D1098" i="94"/>
  <c r="D88" i="74"/>
  <c r="J1032" i="93"/>
  <c r="J1036" i="93" s="1"/>
  <c r="J1051" i="93" s="1"/>
  <c r="H77" i="74"/>
  <c r="G87" i="74"/>
  <c r="G84" i="74"/>
  <c r="G78" i="74"/>
  <c r="G79" i="74"/>
  <c r="G1094" i="94" s="1"/>
  <c r="G86" i="74"/>
  <c r="G1101" i="94" s="1"/>
  <c r="K1035" i="93"/>
  <c r="K1030" i="93"/>
  <c r="K1037" i="93"/>
  <c r="K1031" i="93"/>
  <c r="B1057" i="93"/>
  <c r="K75" i="82"/>
  <c r="K76" i="82" s="1"/>
  <c r="E83" i="74"/>
  <c r="D1103" i="94" l="1"/>
  <c r="J1038" i="93"/>
  <c r="F85" i="74"/>
  <c r="E1100" i="94"/>
  <c r="E101" i="74"/>
  <c r="E1116" i="94" s="1"/>
  <c r="G1099" i="94"/>
  <c r="J1050" i="93"/>
  <c r="J1046" i="93"/>
  <c r="F83" i="74"/>
  <c r="F1098" i="94" s="1"/>
  <c r="D95" i="74"/>
  <c r="D1110" i="94" s="1"/>
  <c r="D96" i="74"/>
  <c r="D1111" i="94" s="1"/>
  <c r="D100" i="74"/>
  <c r="D1115" i="94" s="1"/>
  <c r="E1117" i="94"/>
  <c r="E1052" i="93"/>
  <c r="F102" i="74"/>
  <c r="K1032" i="93"/>
  <c r="K1036" i="93" s="1"/>
  <c r="K1051" i="93" s="1"/>
  <c r="I77" i="74"/>
  <c r="H87" i="74"/>
  <c r="H84" i="74"/>
  <c r="H78" i="74"/>
  <c r="H79" i="74"/>
  <c r="H1094" i="94" s="1"/>
  <c r="H86" i="74"/>
  <c r="H1101" i="94" s="1"/>
  <c r="C1057" i="93"/>
  <c r="B1063" i="93"/>
  <c r="B1059" i="93"/>
  <c r="B1065" i="93"/>
  <c r="B1058" i="93"/>
  <c r="G1093" i="94"/>
  <c r="G80" i="74"/>
  <c r="G1095" i="94" s="1"/>
  <c r="E1098" i="94"/>
  <c r="E88" i="74"/>
  <c r="G1044" i="93"/>
  <c r="G1045" i="93" s="1"/>
  <c r="H94" i="74"/>
  <c r="E1103" i="94" l="1"/>
  <c r="K1038" i="93"/>
  <c r="K1046" i="93" s="1"/>
  <c r="F1100" i="94"/>
  <c r="F1103" i="94" s="1"/>
  <c r="F101" i="74"/>
  <c r="F1116" i="94" s="1"/>
  <c r="G85" i="74"/>
  <c r="H1099" i="94"/>
  <c r="K1050" i="93"/>
  <c r="F88" i="74"/>
  <c r="F96" i="74" s="1"/>
  <c r="F1111" i="94" s="1"/>
  <c r="E95" i="74"/>
  <c r="E1110" i="94" s="1"/>
  <c r="E96" i="74"/>
  <c r="E1111" i="94" s="1"/>
  <c r="E100" i="74"/>
  <c r="E1115" i="94" s="1"/>
  <c r="G83" i="74"/>
  <c r="F1052" i="93"/>
  <c r="F1117" i="94"/>
  <c r="G102" i="74"/>
  <c r="J77" i="74"/>
  <c r="I87" i="74"/>
  <c r="I84" i="74"/>
  <c r="I78" i="74"/>
  <c r="I79" i="74"/>
  <c r="I1094" i="94" s="1"/>
  <c r="I86" i="74"/>
  <c r="I1101" i="94" s="1"/>
  <c r="H80" i="74"/>
  <c r="H1095" i="94" s="1"/>
  <c r="H1093" i="94"/>
  <c r="H1044" i="93"/>
  <c r="H1045" i="93" s="1"/>
  <c r="I94" i="74"/>
  <c r="B1060" i="93"/>
  <c r="B1064" i="93" s="1"/>
  <c r="C1063" i="93"/>
  <c r="C1058" i="93"/>
  <c r="D1057" i="93"/>
  <c r="C1059" i="93"/>
  <c r="C1065" i="93"/>
  <c r="B1079" i="93" l="1"/>
  <c r="B1066" i="93"/>
  <c r="G88" i="74"/>
  <c r="G95" i="74" s="1"/>
  <c r="G1110" i="94" s="1"/>
  <c r="H85" i="74"/>
  <c r="G1100" i="94"/>
  <c r="G101" i="74"/>
  <c r="G1116" i="94" s="1"/>
  <c r="I1099" i="94"/>
  <c r="B1078" i="93"/>
  <c r="B1074" i="93"/>
  <c r="F100" i="74"/>
  <c r="F1115" i="94" s="1"/>
  <c r="F95" i="74"/>
  <c r="F1110" i="94" s="1"/>
  <c r="G1098" i="94"/>
  <c r="G1103" i="94" s="1"/>
  <c r="G1117" i="94"/>
  <c r="G1052" i="93"/>
  <c r="H102" i="74"/>
  <c r="J94" i="74"/>
  <c r="I1044" i="93"/>
  <c r="I1045" i="93" s="1"/>
  <c r="H83" i="74"/>
  <c r="I80" i="74"/>
  <c r="I1095" i="94" s="1"/>
  <c r="I1093" i="94"/>
  <c r="D1063" i="93"/>
  <c r="D1059" i="93"/>
  <c r="D1065" i="93"/>
  <c r="D1058" i="93"/>
  <c r="E1057" i="93"/>
  <c r="C1060" i="93"/>
  <c r="C1064" i="93" s="1"/>
  <c r="C1079" i="93" s="1"/>
  <c r="K77" i="74"/>
  <c r="J87" i="74"/>
  <c r="J84" i="74"/>
  <c r="J78" i="74"/>
  <c r="J79" i="74"/>
  <c r="J1094" i="94" s="1"/>
  <c r="J86" i="74"/>
  <c r="J1101" i="94" s="1"/>
  <c r="G100" i="74" l="1"/>
  <c r="G1115" i="94" s="1"/>
  <c r="G96" i="74"/>
  <c r="G1111" i="94" s="1"/>
  <c r="C1066" i="93"/>
  <c r="I85" i="74"/>
  <c r="H1100" i="94"/>
  <c r="H101" i="74"/>
  <c r="H1116" i="94" s="1"/>
  <c r="J1099" i="94"/>
  <c r="C1078" i="93"/>
  <c r="C1074" i="93"/>
  <c r="I83" i="74"/>
  <c r="I1098" i="94" s="1"/>
  <c r="H1117" i="94"/>
  <c r="H1052" i="93"/>
  <c r="I102" i="74"/>
  <c r="H1098" i="94"/>
  <c r="H1103" i="94" s="1"/>
  <c r="H88" i="74"/>
  <c r="J80" i="74"/>
  <c r="J1095" i="94" s="1"/>
  <c r="J1093" i="94"/>
  <c r="B107" i="74"/>
  <c r="K84" i="74"/>
  <c r="K87" i="74"/>
  <c r="K78" i="74"/>
  <c r="K79" i="74"/>
  <c r="K1094" i="94" s="1"/>
  <c r="K86" i="74"/>
  <c r="K1101" i="94" s="1"/>
  <c r="E1059" i="93"/>
  <c r="E1065" i="93"/>
  <c r="E1058" i="93"/>
  <c r="E1063" i="93"/>
  <c r="F1057" i="93"/>
  <c r="D1060" i="93"/>
  <c r="K94" i="74"/>
  <c r="J1044" i="93"/>
  <c r="J1045" i="93" s="1"/>
  <c r="D1064" i="93" l="1"/>
  <c r="D1079" i="93" s="1"/>
  <c r="I1100" i="94"/>
  <c r="I1103" i="94" s="1"/>
  <c r="I101" i="74"/>
  <c r="I1116" i="94" s="1"/>
  <c r="J85" i="74"/>
  <c r="K1099" i="94"/>
  <c r="I88" i="74"/>
  <c r="I95" i="74" s="1"/>
  <c r="I1110" i="94" s="1"/>
  <c r="J83" i="74"/>
  <c r="H95" i="74"/>
  <c r="H1110" i="94" s="1"/>
  <c r="H100" i="74"/>
  <c r="H1115" i="94" s="1"/>
  <c r="H96" i="74"/>
  <c r="H1111" i="94" s="1"/>
  <c r="I1117" i="94"/>
  <c r="I1052" i="93"/>
  <c r="J102" i="74"/>
  <c r="K1093" i="94"/>
  <c r="K80" i="74"/>
  <c r="K1095" i="94" s="1"/>
  <c r="F1065" i="93"/>
  <c r="F1058" i="93"/>
  <c r="F1063" i="93"/>
  <c r="F1059" i="93"/>
  <c r="K1044" i="93"/>
  <c r="K1045" i="93" s="1"/>
  <c r="B124" i="74"/>
  <c r="E1060" i="93"/>
  <c r="B117" i="74"/>
  <c r="C107" i="74"/>
  <c r="B114" i="74"/>
  <c r="B108" i="74"/>
  <c r="B109" i="74"/>
  <c r="B1124" i="94" s="1"/>
  <c r="B116" i="74"/>
  <c r="B1131" i="94" s="1"/>
  <c r="E1064" i="93" l="1"/>
  <c r="E1079" i="93" s="1"/>
  <c r="D1066" i="93"/>
  <c r="J88" i="74"/>
  <c r="J95" i="74" s="1"/>
  <c r="J1110" i="94" s="1"/>
  <c r="K85" i="74"/>
  <c r="J1100" i="94"/>
  <c r="J101" i="74"/>
  <c r="J1116" i="94" s="1"/>
  <c r="B1129" i="94"/>
  <c r="J1098" i="94"/>
  <c r="I100" i="74"/>
  <c r="I1115" i="94" s="1"/>
  <c r="I96" i="74"/>
  <c r="I1111" i="94" s="1"/>
  <c r="J100" i="74"/>
  <c r="J1115" i="94" s="1"/>
  <c r="J1117" i="94"/>
  <c r="J1052" i="93"/>
  <c r="K102" i="74"/>
  <c r="D107" i="74"/>
  <c r="C114" i="74"/>
  <c r="C117" i="74"/>
  <c r="C108" i="74"/>
  <c r="C109" i="74"/>
  <c r="C1124" i="94" s="1"/>
  <c r="C116" i="74"/>
  <c r="C1131" i="94" s="1"/>
  <c r="B1072" i="93"/>
  <c r="B1073" i="93" s="1"/>
  <c r="C124" i="74"/>
  <c r="F1060" i="93"/>
  <c r="B110" i="74"/>
  <c r="B1125" i="94" s="1"/>
  <c r="B1123" i="94"/>
  <c r="K83" i="74"/>
  <c r="J96" i="74" l="1"/>
  <c r="J1111" i="94" s="1"/>
  <c r="J1103" i="94"/>
  <c r="D1078" i="93"/>
  <c r="D1074" i="93"/>
  <c r="F1064" i="93"/>
  <c r="F1079" i="93" s="1"/>
  <c r="E1066" i="93"/>
  <c r="B115" i="74"/>
  <c r="K1100" i="94"/>
  <c r="K101" i="74"/>
  <c r="K1116" i="94" s="1"/>
  <c r="C1129" i="94"/>
  <c r="K1117" i="94"/>
  <c r="K1052" i="93"/>
  <c r="B132" i="74"/>
  <c r="K88" i="74"/>
  <c r="K1098" i="94"/>
  <c r="D114" i="74"/>
  <c r="E107" i="74"/>
  <c r="D117" i="74"/>
  <c r="D108" i="74"/>
  <c r="D109" i="74"/>
  <c r="D1124" i="94" s="1"/>
  <c r="D116" i="74"/>
  <c r="D1131" i="94" s="1"/>
  <c r="B113" i="74"/>
  <c r="D124" i="74"/>
  <c r="C1072" i="93"/>
  <c r="C1073" i="93" s="1"/>
  <c r="C110" i="74"/>
  <c r="C1125" i="94" s="1"/>
  <c r="C1123" i="94"/>
  <c r="E1078" i="93" l="1"/>
  <c r="E1074" i="93"/>
  <c r="F1066" i="93"/>
  <c r="C115" i="74"/>
  <c r="K1103" i="94"/>
  <c r="B1130" i="94"/>
  <c r="B131" i="74"/>
  <c r="B1146" i="94" s="1"/>
  <c r="D1129" i="94"/>
  <c r="K95" i="74"/>
  <c r="K1110" i="94" s="1"/>
  <c r="K100" i="74"/>
  <c r="K1115" i="94" s="1"/>
  <c r="K96" i="74"/>
  <c r="K1111" i="94" s="1"/>
  <c r="B1080" i="93"/>
  <c r="B1147" i="94"/>
  <c r="C132" i="74"/>
  <c r="D110" i="74"/>
  <c r="D1125" i="94" s="1"/>
  <c r="D1123" i="94"/>
  <c r="E124" i="74"/>
  <c r="D1072" i="93"/>
  <c r="D1073" i="93" s="1"/>
  <c r="B1128" i="94"/>
  <c r="B1133" i="94" s="1"/>
  <c r="B118" i="74"/>
  <c r="C113" i="74"/>
  <c r="F107" i="74"/>
  <c r="E114" i="74"/>
  <c r="E117" i="74"/>
  <c r="E108" i="74"/>
  <c r="E109" i="74"/>
  <c r="E1124" i="94" s="1"/>
  <c r="E116" i="74"/>
  <c r="E1131" i="94" s="1"/>
  <c r="F1078" i="93" l="1"/>
  <c r="F1074" i="93"/>
  <c r="D115" i="74"/>
  <c r="C1130" i="94"/>
  <c r="C131" i="74"/>
  <c r="C1146" i="94" s="1"/>
  <c r="E1129" i="94"/>
  <c r="B125" i="74"/>
  <c r="B1140" i="94" s="1"/>
  <c r="B126" i="74"/>
  <c r="B1141" i="94" s="1"/>
  <c r="B130" i="74"/>
  <c r="B1145" i="94" s="1"/>
  <c r="C1147" i="94"/>
  <c r="C1080" i="93"/>
  <c r="D132" i="74"/>
  <c r="F117" i="74"/>
  <c r="F114" i="74"/>
  <c r="F108" i="74"/>
  <c r="F109" i="74"/>
  <c r="F1124" i="94" s="1"/>
  <c r="F116" i="74"/>
  <c r="F1131" i="94" s="1"/>
  <c r="E1123" i="94"/>
  <c r="E110" i="74"/>
  <c r="E1125" i="94" s="1"/>
  <c r="C1128" i="94"/>
  <c r="C1133" i="94" s="1"/>
  <c r="C118" i="74"/>
  <c r="E1072" i="93"/>
  <c r="E1073" i="93" s="1"/>
  <c r="F124" i="74"/>
  <c r="F1072" i="93" s="1"/>
  <c r="F1073" i="93" s="1"/>
  <c r="D113" i="74"/>
  <c r="D1130" i="94" l="1"/>
  <c r="D131" i="74"/>
  <c r="D1146" i="94" s="1"/>
  <c r="E115" i="74"/>
  <c r="F1129" i="94"/>
  <c r="C125" i="74"/>
  <c r="C1140" i="94" s="1"/>
  <c r="C126" i="74"/>
  <c r="C1141" i="94" s="1"/>
  <c r="C130" i="74"/>
  <c r="C1145" i="94" s="1"/>
  <c r="D1080" i="93"/>
  <c r="D1147" i="94"/>
  <c r="E132" i="74"/>
  <c r="F1123" i="94"/>
  <c r="F110" i="74"/>
  <c r="F1125" i="94" s="1"/>
  <c r="E113" i="74"/>
  <c r="D1128" i="94"/>
  <c r="D1133" i="94" s="1"/>
  <c r="D118" i="74"/>
  <c r="E1130" i="94" l="1"/>
  <c r="E131" i="74"/>
  <c r="E1146" i="94" s="1"/>
  <c r="F115" i="74"/>
  <c r="D125" i="74"/>
  <c r="D1140" i="94" s="1"/>
  <c r="D126" i="74"/>
  <c r="D1141" i="94" s="1"/>
  <c r="D130" i="74"/>
  <c r="D1145" i="94" s="1"/>
  <c r="E1147" i="94"/>
  <c r="E1080" i="93"/>
  <c r="F132" i="74"/>
  <c r="E118" i="74"/>
  <c r="E1128" i="94"/>
  <c r="E1133" i="94" s="1"/>
  <c r="F113" i="74"/>
  <c r="F1130" i="94" l="1"/>
  <c r="F131" i="74"/>
  <c r="F1146" i="94" s="1"/>
  <c r="E125" i="74"/>
  <c r="E1140" i="94" s="1"/>
  <c r="E126" i="74"/>
  <c r="E1141" i="94" s="1"/>
  <c r="E130" i="74"/>
  <c r="E1145" i="94" s="1"/>
  <c r="F1080" i="93"/>
  <c r="F1147" i="94"/>
  <c r="F118" i="74"/>
  <c r="F1128" i="94"/>
  <c r="F1133" i="94" s="1"/>
  <c r="F125" i="74" l="1"/>
  <c r="F1140" i="94" s="1"/>
  <c r="F130" i="74"/>
  <c r="F1145" i="94" s="1"/>
  <c r="F126" i="74"/>
  <c r="F114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<sst xmlns="http://schemas.openxmlformats.org/spreadsheetml/2006/main" count="17135" uniqueCount="5339">
  <si>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</si>
  <si>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</si>
  <si>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</si>
  <si>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</si>
  <si>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</si>
  <si>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</si>
  <si>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</si>
  <si>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</si>
  <si>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</si>
  <si>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</si>
  <si>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</si>
  <si>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</si>
  <si>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</si>
  <si>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</si>
  <si>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</si>
  <si>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</si>
  <si>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</si>
  <si>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</si>
  <si>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</si>
  <si>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</si>
  <si>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</si>
  <si>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</si>
  <si>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</si>
  <si>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</si>
  <si>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</si>
  <si>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</si>
  <si>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</si>
  <si>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</si>
  <si>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</si>
  <si>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</si>
  <si>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</si>
  <si>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</si>
  <si>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</si>
  <si>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</si>
  <si>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</si>
  <si>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</si>
  <si>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</si>
  <si>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</si>
  <si>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</si>
  <si>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</si>
  <si>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</si>
  <si>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</si>
  <si>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</si>
  <si>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</si>
  <si>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</si>
  <si>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</si>
  <si>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</si>
  <si>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</si>
  <si>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</si>
  <si>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</si>
  <si>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</si>
  <si>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</si>
  <si>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</si>
  <si>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</si>
  <si>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</si>
  <si>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</si>
  <si>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</si>
  <si>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</si>
  <si>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</si>
  <si>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</si>
  <si>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</si>
  <si>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</si>
  <si>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</si>
  <si>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</si>
  <si>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</si>
  <si>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</si>
  <si>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</si>
  <si>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</si>
  <si>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</si>
  <si>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</si>
  <si>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</si>
  <si>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</si>
  <si>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</si>
  <si>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</si>
  <si>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</si>
  <si>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</si>
  <si>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</si>
  <si>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</si>
  <si>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</si>
  <si>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</si>
  <si>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</si>
  <si>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</si>
  <si>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</si>
  <si>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</si>
  <si>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</si>
  <si>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</si>
  <si>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</si>
  <si>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</si>
  <si>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</si>
  <si>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</si>
  <si>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</si>
  <si>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</si>
  <si>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</si>
  <si>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</si>
  <si>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</si>
  <si>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</si>
  <si>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</si>
  <si>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</si>
  <si>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</si>
  <si>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</si>
  <si>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</si>
  <si>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</si>
  <si>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</si>
  <si>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</si>
  <si>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</si>
  <si>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</si>
  <si>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</si>
  <si>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</si>
  <si>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</si>
  <si>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</si>
  <si>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</si>
  <si>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</si>
  <si>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</si>
  <si>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</si>
  <si>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</si>
  <si>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</si>
  <si>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</si>
  <si>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</si>
  <si>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</si>
  <si>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</si>
  <si>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</si>
  <si>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</si>
  <si>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</si>
  <si>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</si>
  <si>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</si>
  <si>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</si>
  <si>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</si>
  <si>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</si>
  <si>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</si>
  <si>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</si>
  <si>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</si>
  <si>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</si>
  <si>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</si>
  <si>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</si>
  <si>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</si>
  <si>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</si>
  <si>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</si>
  <si>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</si>
  <si>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</si>
  <si>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</si>
  <si>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</si>
  <si>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</si>
  <si>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</si>
  <si>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</si>
  <si>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</si>
  <si>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</si>
  <si>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</si>
  <si>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</si>
  <si>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</si>
  <si>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</si>
  <si>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</si>
  <si>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</si>
  <si>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</si>
  <si>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</si>
  <si>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</si>
  <si>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</si>
  <si>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</si>
  <si>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</si>
  <si>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</si>
  <si>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</si>
  <si>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</si>
  <si>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</si>
  <si>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</si>
  <si>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</si>
  <si>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</si>
  <si>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</si>
  <si>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</si>
  <si>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</si>
  <si>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</si>
  <si>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</si>
  <si>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</si>
  <si>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</si>
  <si>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</si>
  <si>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</si>
  <si>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</si>
  <si>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</si>
  <si>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</si>
  <si>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</si>
  <si>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</si>
  <si>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</si>
  <si>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</si>
  <si>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</si>
  <si>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</si>
  <si>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</si>
  <si>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</si>
  <si>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</si>
  <si>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</si>
  <si>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</si>
  <si>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</si>
  <si>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</si>
  <si>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</si>
  <si>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</si>
  <si>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</si>
  <si>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</si>
  <si>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</si>
  <si>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</si>
  <si>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</si>
  <si>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</si>
  <si>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</si>
  <si>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</si>
  <si>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</si>
  <si>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</si>
  <si>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</si>
  <si>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</si>
  <si>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</si>
  <si>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</si>
  <si>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</si>
  <si>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</si>
  <si>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</si>
  <si>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</si>
  <si>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</si>
  <si>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</si>
  <si>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</si>
  <si>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</si>
  <si>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</si>
  <si>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</si>
  <si>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</si>
  <si>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</si>
  <si>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</si>
  <si>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</si>
  <si>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</si>
  <si>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</si>
  <si>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</si>
  <si>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</si>
  <si>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</si>
  <si>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</si>
  <si>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</si>
  <si>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</si>
  <si>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</si>
  <si>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</si>
  <si>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</si>
  <si>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</si>
  <si>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</si>
  <si>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</si>
  <si>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</si>
  <si>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</si>
  <si>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</si>
  <si>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</si>
  <si>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</si>
  <si>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</si>
  <si>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</si>
  <si>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</si>
  <si>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</si>
  <si>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</si>
  <si>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</si>
  <si>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</si>
  <si>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</si>
  <si>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</si>
  <si>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</si>
  <si>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</si>
  <si>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</si>
  <si>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</si>
  <si>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</si>
  <si>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</si>
  <si>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</si>
  <si>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</si>
  <si>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</si>
  <si>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</si>
  <si>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</si>
  <si>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</si>
  <si>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</si>
  <si>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</si>
  <si>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</si>
  <si>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</si>
  <si>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</si>
  <si>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</si>
  <si>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</si>
  <si>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</si>
  <si>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</si>
  <si>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</si>
  <si>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</si>
  <si>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</si>
  <si>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</si>
  <si>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</si>
  <si>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</si>
  <si>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</si>
  <si>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</si>
  <si>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</si>
  <si>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</si>
  <si>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</si>
  <si>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</si>
  <si>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</si>
  <si>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</si>
  <si>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</si>
  <si>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</si>
  <si>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</si>
  <si>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</si>
  <si>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</si>
  <si>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</si>
  <si>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</si>
  <si>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</si>
  <si>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</si>
  <si>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</si>
  <si>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</si>
  <si>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</si>
  <si>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</si>
  <si>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</si>
  <si>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</si>
  <si>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</si>
  <si>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</si>
  <si>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</si>
  <si>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</si>
  <si>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</si>
  <si>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</si>
  <si>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</si>
  <si>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</si>
  <si>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</si>
  <si>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</si>
  <si>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</si>
  <si>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</si>
  <si>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</si>
  <si>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</si>
  <si>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</si>
  <si>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</si>
  <si>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</si>
  <si>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</si>
  <si>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</si>
  <si>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</si>
  <si>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</si>
  <si>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</si>
  <si>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</si>
  <si>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</si>
  <si>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</si>
  <si>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</si>
  <si>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</si>
  <si>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</si>
  <si>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</si>
  <si>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</si>
  <si>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</si>
  <si>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</si>
  <si>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</si>
  <si>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</si>
  <si>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</si>
  <si>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</si>
  <si>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</si>
  <si>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</si>
  <si>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</si>
  <si>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</si>
  <si>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</si>
  <si>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</si>
  <si>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</si>
  <si>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</si>
  <si>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</si>
  <si>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</si>
  <si>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</si>
  <si>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</si>
  <si>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</si>
  <si>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</si>
  <si>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</si>
  <si>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</si>
  <si>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</si>
  <si>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</si>
  <si>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</si>
  <si>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</si>
  <si>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</si>
  <si>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</si>
  <si>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</si>
  <si>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</si>
  <si>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</si>
  <si>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</si>
  <si>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</si>
  <si>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</si>
  <si>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</si>
  <si>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</si>
  <si>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</si>
  <si>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</si>
  <si>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</si>
  <si>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</si>
  <si>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</si>
  <si>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</si>
  <si>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</si>
  <si>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</si>
  <si>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</si>
  <si>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</si>
  <si>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</si>
  <si>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</si>
  <si>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</si>
  <si>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</si>
  <si>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</si>
  <si>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</si>
  <si>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</si>
  <si>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</si>
  <si>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</si>
  <si>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</si>
  <si>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</si>
  <si>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</si>
  <si>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</si>
  <si>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</si>
  <si>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</si>
  <si>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</si>
  <si>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</si>
  <si>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</si>
  <si>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</si>
  <si>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</si>
  <si>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</si>
  <si>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</si>
  <si>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</si>
  <si>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</si>
  <si>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</si>
  <si>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</si>
  <si>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</si>
  <si>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</si>
  <si>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</si>
  <si>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</si>
  <si>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</si>
  <si>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</si>
  <si>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</si>
  <si>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</si>
  <si>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</si>
  <si>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</si>
  <si>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</si>
  <si>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</si>
  <si>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</si>
  <si>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</si>
  <si>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</si>
  <si>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</si>
  <si>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</si>
  <si>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</si>
  <si>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</si>
  <si>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</si>
  <si>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</si>
  <si>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</si>
  <si>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</si>
  <si>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</si>
  <si>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</si>
  <si>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</si>
  <si>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</si>
  <si>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</si>
  <si>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</si>
  <si>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</si>
  <si>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</si>
  <si>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</si>
  <si>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</si>
  <si>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</si>
  <si>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</si>
  <si>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</si>
  <si>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</si>
  <si>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</si>
  <si>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</si>
  <si>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</si>
  <si>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</si>
  <si>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</si>
  <si>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</si>
  <si>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</si>
  <si>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</si>
  <si>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</si>
  <si>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</si>
  <si>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</si>
  <si>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</si>
  <si>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</si>
  <si>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</si>
  <si>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</si>
  <si>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</si>
  <si>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</si>
  <si>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</si>
  <si>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</si>
  <si>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</si>
  <si>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</si>
  <si>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</si>
  <si>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</si>
  <si>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</si>
  <si>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</si>
  <si>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</si>
  <si>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</si>
  <si>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</si>
  <si>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</si>
  <si>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</si>
  <si>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</si>
  <si>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</si>
  <si>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</si>
  <si>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</si>
  <si>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</si>
  <si>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</si>
  <si>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</si>
  <si>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</si>
  <si>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</si>
  <si>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</si>
  <si>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</si>
  <si>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</si>
  <si>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</si>
  <si>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</si>
  <si>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</si>
  <si>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</si>
  <si>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</si>
  <si>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</si>
  <si>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</si>
  <si>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</si>
  <si>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</si>
  <si>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</si>
  <si>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</si>
  <si>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</si>
  <si>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</si>
  <si>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</si>
  <si>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</si>
  <si>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</si>
  <si>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</si>
  <si>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</si>
  <si>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</si>
  <si>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</si>
  <si>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</si>
  <si>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</si>
  <si>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</si>
  <si>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</si>
  <si>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</si>
  <si>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</si>
  <si>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</si>
  <si>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</si>
  <si>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</si>
  <si>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</si>
  <si>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</si>
  <si>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</si>
  <si>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</si>
  <si>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</si>
  <si>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</si>
  <si>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</si>
  <si>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</si>
  <si>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</si>
  <si>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</si>
  <si>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</si>
  <si>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</si>
  <si>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</si>
  <si>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</si>
  <si>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</si>
  <si>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</si>
  <si>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</si>
  <si>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</si>
  <si>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</si>
  <si>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</si>
  <si>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</si>
  <si>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</si>
  <si>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</si>
  <si>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</si>
  <si>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</si>
  <si>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</si>
  <si>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</si>
  <si>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</si>
  <si>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</si>
  <si>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</si>
  <si>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</si>
  <si>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</si>
  <si>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</si>
  <si>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</si>
  <si>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</si>
  <si>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</si>
  <si>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</si>
  <si>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</si>
  <si>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</si>
  <si>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</si>
  <si>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</si>
  <si>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</si>
  <si>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</si>
  <si>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</si>
  <si>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</si>
  <si>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</si>
  <si>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</si>
  <si>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</si>
  <si>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</si>
  <si>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</si>
  <si>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</si>
  <si>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</si>
  <si>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</si>
  <si>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</si>
  <si>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</si>
  <si>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</si>
  <si>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</si>
  <si>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</si>
  <si>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</si>
  <si>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</si>
  <si>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</si>
  <si>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</si>
  <si>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</si>
  <si>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</si>
  <si>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</si>
  <si>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</si>
  <si>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</si>
  <si>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</si>
  <si>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</si>
  <si>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</si>
  <si>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</si>
  <si>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</si>
  <si>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</si>
  <si>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</si>
  <si>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</si>
  <si>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</si>
  <si>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</si>
  <si>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</si>
  <si>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</si>
  <si>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</si>
  <si>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</si>
  <si>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</si>
  <si>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</si>
  <si>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</si>
  <si>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</si>
  <si>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</si>
  <si>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</si>
  <si>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</si>
  <si>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</si>
  <si>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</si>
  <si>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</si>
  <si>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</si>
  <si>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</si>
  <si>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</si>
  <si>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</si>
  <si>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</si>
  <si>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</si>
  <si>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</si>
  <si>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</si>
  <si>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</si>
  <si>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</si>
  <si>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</si>
  <si>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</si>
  <si>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</si>
  <si>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</si>
  <si>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</si>
  <si>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</si>
  <si>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</si>
  <si>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</si>
  <si>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</si>
  <si>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</si>
  <si>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</si>
  <si>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</si>
  <si>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</si>
  <si>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</si>
  <si>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</si>
  <si>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</si>
  <si>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</si>
  <si>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</si>
  <si>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</si>
  <si>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</si>
  <si>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</si>
  <si>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</si>
  <si>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</si>
  <si>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</si>
  <si>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</si>
  <si>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</si>
  <si>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</si>
  <si>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</si>
  <si>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</si>
  <si>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</si>
  <si>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</si>
  <si>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</si>
  <si>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</si>
  <si>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</si>
  <si>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</si>
  <si>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</si>
  <si>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</si>
  <si>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</si>
  <si>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</si>
  <si>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</si>
  <si>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</si>
  <si>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</si>
  <si>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</si>
  <si>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</si>
  <si>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</si>
  <si>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</si>
  <si>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</si>
  <si>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</si>
  <si>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</si>
  <si>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</si>
  <si>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</si>
  <si>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</si>
  <si>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</si>
  <si>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</si>
  <si>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</si>
  <si>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</si>
  <si>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</si>
  <si>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</si>
  <si>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</si>
  <si>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</si>
  <si>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</si>
  <si>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</si>
  <si>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</si>
  <si>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</si>
  <si>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</si>
  <si>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</si>
  <si>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</si>
  <si>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</si>
  <si>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</si>
  <si>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</si>
  <si>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</si>
  <si>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</si>
  <si>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</si>
  <si>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</si>
  <si>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</si>
  <si>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</si>
  <si>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</si>
  <si>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</si>
  <si>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</si>
  <si>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</si>
  <si>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</si>
  <si>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</si>
  <si>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</si>
  <si>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</si>
  <si>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</si>
  <si>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</si>
  <si>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</si>
  <si>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</si>
  <si>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</si>
  <si>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</si>
  <si>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</si>
  <si>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</si>
  <si>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</si>
  <si>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</si>
  <si>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</si>
  <si>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</si>
  <si>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</si>
  <si>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</si>
  <si>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</si>
  <si>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</si>
  <si>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</si>
  <si>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</si>
  <si>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</si>
  <si>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</si>
  <si>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</si>
  <si>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</si>
  <si>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</si>
  <si>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</si>
  <si>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</si>
  <si>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</si>
  <si>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</si>
  <si>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</si>
  <si>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</si>
  <si>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</si>
  <si>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</si>
  <si>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</si>
  <si>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</si>
  <si>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</si>
  <si>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</si>
  <si>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</si>
  <si>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</si>
  <si>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</si>
  <si>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</si>
  <si>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</si>
  <si>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</si>
  <si>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</si>
  <si>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</si>
  <si>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</si>
  <si>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</si>
  <si>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</si>
  <si>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</si>
  <si>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</si>
  <si>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</si>
  <si>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</si>
  <si>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</si>
  <si>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</si>
  <si>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</si>
  <si>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</si>
  <si>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</si>
  <si>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</si>
  <si>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</si>
  <si>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</si>
  <si>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</si>
  <si>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</si>
  <si>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</si>
  <si>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</si>
  <si>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</si>
  <si>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</si>
  <si>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</si>
  <si>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</si>
  <si>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</si>
  <si>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</si>
  <si>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</si>
  <si>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</si>
  <si>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</si>
  <si>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</si>
  <si>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</si>
  <si>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</si>
  <si>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</si>
  <si>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</si>
  <si>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</si>
  <si>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</si>
  <si>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</si>
  <si>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</si>
  <si>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</si>
  <si>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</si>
  <si>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</si>
  <si>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</si>
  <si>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</si>
  <si>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</si>
  <si>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</si>
  <si>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</si>
  <si>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</si>
  <si>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</si>
  <si>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</si>
  <si>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</si>
  <si>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</si>
  <si>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</si>
  <si>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</si>
  <si>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</si>
  <si>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</si>
  <si>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</si>
  <si>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</si>
  <si>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</si>
  <si>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</si>
  <si>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</si>
  <si>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</si>
  <si>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</si>
  <si>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</si>
  <si>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</si>
  <si>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</si>
  <si>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</si>
  <si>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</si>
  <si>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</si>
  <si>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</si>
  <si>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</si>
  <si>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</si>
  <si>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</si>
  <si>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</si>
  <si>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</si>
  <si>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</si>
  <si>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</si>
  <si>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</si>
  <si>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</si>
  <si>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</si>
  <si>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</si>
  <si>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</si>
  <si>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</si>
  <si>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</si>
  <si>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</si>
  <si>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</si>
  <si>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</si>
  <si>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</si>
  <si>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</si>
  <si>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</si>
  <si>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</si>
  <si>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</si>
  <si>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</si>
  <si>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</si>
  <si>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</si>
  <si>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</si>
  <si>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</si>
  <si>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</si>
  <si>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</si>
  <si>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</si>
  <si>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</si>
  <si>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</si>
  <si>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</si>
  <si>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</si>
  <si>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</si>
  <si>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</si>
  <si>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</si>
  <si>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</si>
  <si>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</si>
  <si>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</si>
  <si>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</si>
  <si>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</si>
  <si>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</si>
  <si>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</si>
  <si>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</si>
  <si>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</si>
  <si>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</si>
  <si>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</si>
  <si>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</si>
  <si>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</si>
  <si>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</si>
  <si>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</si>
  <si>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</si>
  <si>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</si>
  <si>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</si>
  <si>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</si>
  <si>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</si>
  <si>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</si>
  <si>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</si>
  <si>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</si>
  <si>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</si>
  <si>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</si>
  <si>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</si>
  <si>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</si>
  <si>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</si>
  <si>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</si>
  <si>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</si>
  <si>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</si>
  <si>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</si>
  <si>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</si>
  <si>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</si>
  <si>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</si>
  <si>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</si>
  <si>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</si>
  <si>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</si>
  <si>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</si>
  <si>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</si>
  <si>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</si>
  <si>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</si>
  <si>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</si>
  <si>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</si>
  <si>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</si>
  <si>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</si>
  <si>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</si>
  <si>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</si>
  <si>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</si>
  <si>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</si>
  <si>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</si>
  <si>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</si>
  <si>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</si>
  <si>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</si>
  <si>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</si>
  <si>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</si>
  <si>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</si>
  <si>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</si>
  <si>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</si>
  <si>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</si>
  <si>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</si>
  <si>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</si>
  <si>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</si>
  <si>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</si>
  <si>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</si>
  <si>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</si>
  <si>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</si>
  <si>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</si>
  <si>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</si>
  <si>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</si>
  <si>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</si>
  <si>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</si>
  <si>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</si>
  <si>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</si>
  <si>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</si>
  <si>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</si>
  <si>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</si>
  <si>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</si>
  <si>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</si>
  <si>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</si>
  <si>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</si>
  <si>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</si>
  <si>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</si>
  <si>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</si>
  <si>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</si>
  <si>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</si>
  <si>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</si>
  <si>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</si>
  <si>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</si>
  <si>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</si>
  <si>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</si>
  <si>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</si>
  <si>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</si>
  <si>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</si>
  <si>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</si>
  <si>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</si>
  <si>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</si>
  <si>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</si>
  <si>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</si>
  <si>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</si>
  <si>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</si>
  <si>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</si>
  <si>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</si>
  <si>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</si>
  <si>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</si>
  <si>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</si>
  <si>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</si>
  <si>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</si>
  <si>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</si>
  <si>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</si>
  <si>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</si>
  <si>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</si>
  <si>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</si>
  <si>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</si>
  <si>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</si>
  <si>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</si>
  <si>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</si>
  <si>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</si>
  <si>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</si>
  <si>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</si>
  <si>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</si>
  <si>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</si>
  <si>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</si>
  <si>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</si>
  <si>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</si>
  <si>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</si>
  <si>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</si>
  <si>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</si>
  <si>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</si>
  <si>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</si>
  <si>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</si>
  <si>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</si>
  <si>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</si>
  <si>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</si>
  <si>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</si>
  <si>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</si>
  <si>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</si>
  <si>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</si>
  <si>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</si>
  <si>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</si>
  <si>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</si>
  <si>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</si>
  <si>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</si>
  <si>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</si>
  <si>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</si>
  <si>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</si>
  <si>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</si>
  <si>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</si>
  <si>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</si>
  <si>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</si>
  <si>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</si>
  <si>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</si>
  <si>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</si>
  <si>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</si>
  <si>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</si>
  <si>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</si>
  <si>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</si>
  <si>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</si>
  <si>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</si>
  <si>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</si>
  <si>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</si>
  <si>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</si>
  <si>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</si>
  <si>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</si>
  <si>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</si>
  <si>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</si>
  <si>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</si>
  <si>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</si>
  <si>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</si>
  <si>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</si>
  <si>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</si>
  <si>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</si>
  <si>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</si>
  <si>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</si>
  <si>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</si>
  <si>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</si>
  <si>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</si>
  <si>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</si>
  <si>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</si>
  <si>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</si>
  <si>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</si>
  <si>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</si>
  <si>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</si>
  <si>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</si>
  <si>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</si>
  <si>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</si>
  <si>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</si>
  <si>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</si>
  <si>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</si>
  <si>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</si>
  <si>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</si>
  <si>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</si>
  <si>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</si>
  <si>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</si>
  <si>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</si>
  <si>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</si>
  <si>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</si>
  <si>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</si>
  <si>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</si>
  <si>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</si>
  <si>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</si>
  <si>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</si>
  <si>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</si>
  <si>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</si>
  <si>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</si>
  <si>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</si>
  <si>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</si>
  <si>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</si>
  <si>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</si>
  <si>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</si>
  <si>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</si>
  <si>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</si>
  <si>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</si>
  <si>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</si>
  <si>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</si>
  <si>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</si>
  <si>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</si>
  <si>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</si>
  <si>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</si>
  <si>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</si>
  <si>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</si>
  <si>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</si>
  <si>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</si>
  <si>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</si>
  <si>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</si>
  <si>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</si>
  <si>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</si>
  <si>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</si>
  <si>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</si>
  <si>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</si>
  <si>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</si>
  <si>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</si>
  <si>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</si>
  <si>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</si>
  <si>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</si>
  <si>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</si>
  <si>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</si>
  <si>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</si>
  <si>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</si>
  <si>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</si>
  <si>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</si>
  <si>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</si>
  <si>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</si>
  <si>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</si>
  <si>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</si>
  <si>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</si>
  <si>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</si>
  <si>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</si>
  <si>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</si>
  <si>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</si>
  <si>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</si>
  <si>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</si>
  <si>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</si>
  <si>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</si>
  <si>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</si>
  <si>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</si>
  <si>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</si>
  <si>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</si>
  <si>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</si>
  <si>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</si>
  <si>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</si>
  <si>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</si>
  <si>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</si>
  <si>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</si>
  <si>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</si>
  <si>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</si>
  <si>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</si>
  <si>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</si>
  <si>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</si>
  <si>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</si>
  <si>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</si>
  <si>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</si>
  <si>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</si>
  <si>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</si>
  <si>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</si>
  <si>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</si>
  <si>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</si>
  <si>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</si>
  <si>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</si>
  <si>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</si>
  <si>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</si>
  <si>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</si>
  <si>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</si>
  <si>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</si>
  <si>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</si>
  <si>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</si>
  <si>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</si>
  <si>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</si>
  <si>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</si>
  <si>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</si>
  <si>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</si>
  <si>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</si>
  <si>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</si>
  <si>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</si>
  <si>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</si>
  <si>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</si>
  <si>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</si>
  <si>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</si>
  <si>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</si>
  <si>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</si>
  <si>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</si>
  <si>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</si>
  <si>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</si>
  <si>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</si>
  <si>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</si>
  <si>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</si>
  <si>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</si>
  <si>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</si>
  <si>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</si>
  <si>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</si>
  <si>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</si>
  <si>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</si>
  <si>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</si>
  <si>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</si>
  <si>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</si>
  <si>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</si>
  <si>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</si>
  <si>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</si>
  <si>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</si>
  <si>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</si>
  <si>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</si>
  <si>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</si>
  <si>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</si>
  <si>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</si>
  <si>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</si>
  <si>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</si>
  <si>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</si>
  <si>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</si>
  <si>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</si>
  <si>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</si>
  <si>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</si>
  <si>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</si>
  <si>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</si>
  <si>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</si>
  <si>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</si>
  <si>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</si>
  <si>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</si>
  <si>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</si>
  <si>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</si>
  <si>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</si>
  <si>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</si>
  <si>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</si>
  <si>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</si>
  <si>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</si>
  <si>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</si>
  <si>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</si>
  <si>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</si>
  <si>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</si>
  <si>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</si>
  <si>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</si>
  <si>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</si>
  <si>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</si>
  <si>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</si>
  <si>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</si>
  <si>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</si>
  <si>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</si>
  <si>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</si>
  <si>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</si>
  <si>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</si>
  <si>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</si>
  <si>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</si>
  <si>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</si>
  <si>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</si>
  <si>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</si>
  <si>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</si>
  <si>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</si>
  <si>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</si>
  <si>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</si>
  <si>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</si>
  <si>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</si>
  <si>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</si>
  <si>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</si>
  <si>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</si>
  <si>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</si>
  <si>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</si>
  <si>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</si>
  <si>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</si>
  <si>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</si>
  <si>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</si>
  <si>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</si>
  <si>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</si>
  <si>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</si>
  <si>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</si>
  <si>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</si>
  <si>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</si>
  <si>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</si>
  <si>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</si>
  <si>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</si>
  <si>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</si>
  <si>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</si>
  <si>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</si>
  <si>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</si>
  <si>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</si>
  <si>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</si>
  <si>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</si>
  <si>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</si>
  <si>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</si>
  <si>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</si>
  <si>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</si>
  <si>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</si>
  <si>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</si>
  <si>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</si>
  <si>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</si>
  <si>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</si>
  <si>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</si>
  <si>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</si>
  <si>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</si>
  <si>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</si>
  <si>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</si>
  <si>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</si>
  <si>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</si>
  <si>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</si>
  <si>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</si>
  <si>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</si>
  <si>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</si>
  <si>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</si>
  <si>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</si>
  <si>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</si>
  <si>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</si>
  <si>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</si>
  <si>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</si>
  <si>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</si>
  <si>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</si>
  <si>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</si>
  <si>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</si>
  <si>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</si>
  <si>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</si>
  <si>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</si>
  <si>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</si>
  <si>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</si>
  <si>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</si>
  <si>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</si>
  <si>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</si>
  <si>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</si>
  <si>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</si>
  <si>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</si>
  <si>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</si>
  <si>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</si>
  <si>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</si>
  <si>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</si>
  <si>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</si>
  <si>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</si>
  <si>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</si>
  <si>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</si>
  <si>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</si>
  <si>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</si>
  <si>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</si>
  <si>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</si>
  <si>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</si>
  <si>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</si>
  <si>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</si>
  <si>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</si>
  <si>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</si>
  <si>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</si>
  <si>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</si>
  <si>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</si>
  <si>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</si>
  <si>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</si>
  <si>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</si>
  <si>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</si>
  <si>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</si>
  <si>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</si>
  <si>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</si>
  <si>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</si>
  <si>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</si>
  <si>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</si>
  <si>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</si>
  <si>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</si>
  <si>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</si>
  <si>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</si>
  <si>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</si>
  <si>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</si>
  <si>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</si>
  <si>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</si>
  <si>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</si>
  <si>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</si>
  <si>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</si>
  <si>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</si>
  <si>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</si>
  <si>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</si>
  <si>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</si>
  <si>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</si>
  <si>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</si>
  <si>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</si>
  <si>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</si>
  <si>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</si>
  <si>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</si>
  <si>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</si>
  <si>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</si>
  <si>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</si>
  <si>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</si>
  <si>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</si>
  <si>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</si>
  <si>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</si>
  <si>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</si>
  <si>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</si>
  <si>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</si>
  <si>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</si>
  <si>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</si>
  <si>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</si>
  <si>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</si>
  <si>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</si>
  <si>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</si>
  <si>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</si>
  <si>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</si>
  <si>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</si>
  <si>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</si>
  <si>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</si>
  <si>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</si>
  <si>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</si>
  <si>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</si>
  <si>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</si>
  <si>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</si>
  <si>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</si>
  <si>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</si>
  <si>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</si>
  <si>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</si>
  <si>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</si>
  <si>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</si>
  <si>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</si>
  <si>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</si>
  <si>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</si>
  <si>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</si>
  <si>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</si>
  <si>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</si>
  <si>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</si>
  <si>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</si>
  <si>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</si>
  <si>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</si>
  <si>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</si>
  <si>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</si>
  <si>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</si>
  <si>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</si>
  <si>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</si>
  <si>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</si>
  <si>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</si>
  <si>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</si>
  <si>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</si>
  <si>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</si>
  <si>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</si>
  <si>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</si>
  <si>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</si>
  <si>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</si>
  <si>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</si>
  <si>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</si>
  <si>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</si>
  <si>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</si>
  <si>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</si>
  <si>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</si>
  <si>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</si>
  <si>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</si>
  <si>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</si>
  <si>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</si>
  <si>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</si>
  <si>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</si>
  <si>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</si>
  <si>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</si>
  <si>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</si>
  <si>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</si>
  <si>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</si>
  <si>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</si>
  <si>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</si>
  <si>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</si>
  <si>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</si>
  <si>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</si>
  <si>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</si>
  <si>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</si>
  <si>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</si>
  <si>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</si>
  <si>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</si>
  <si>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</si>
  <si>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</si>
  <si>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</si>
  <si>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</si>
  <si>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</si>
  <si>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</si>
  <si>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</si>
  <si>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</si>
  <si>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</si>
  <si>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</si>
  <si>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</si>
  <si>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</si>
  <si>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</si>
  <si>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</si>
  <si>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</si>
  <si>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</si>
  <si>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</si>
  <si>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</si>
  <si>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</si>
  <si>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</si>
  <si>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</si>
  <si>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</si>
  <si>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</si>
  <si>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</si>
  <si>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</si>
  <si>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</si>
  <si>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</si>
  <si>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</si>
  <si>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</si>
  <si>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</si>
  <si>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</si>
  <si>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</si>
  <si>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</si>
  <si>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</si>
  <si>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</si>
  <si>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</si>
  <si>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</si>
  <si>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</si>
  <si>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</si>
  <si>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</si>
  <si>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</si>
  <si>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</si>
  <si>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</si>
  <si>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</si>
  <si>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</si>
  <si>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</si>
  <si>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</si>
  <si>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</si>
  <si>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</si>
  <si>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</si>
  <si>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</si>
  <si>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</si>
  <si>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</si>
  <si>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</si>
  <si>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</si>
  <si>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</si>
  <si>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</si>
  <si>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</si>
  <si>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</si>
  <si>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</si>
  <si>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</si>
  <si>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</si>
  <si>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</si>
  <si>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</si>
  <si>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</si>
  <si>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</si>
  <si>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</si>
  <si>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</si>
  <si>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</si>
  <si>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</si>
  <si>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</si>
  <si>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</si>
  <si>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</si>
  <si>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</si>
  <si>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</si>
  <si>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</si>
  <si>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</si>
  <si>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</si>
  <si>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</si>
  <si>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</si>
  <si>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</si>
  <si>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</si>
  <si>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</si>
  <si>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</si>
  <si>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</si>
  <si>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</si>
  <si>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</si>
  <si>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</si>
  <si>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</si>
  <si>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</si>
  <si>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</si>
  <si>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</si>
  <si>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</si>
  <si>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</si>
  <si>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</si>
  <si>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</si>
  <si>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</si>
  <si>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</si>
  <si>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</si>
  <si>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</si>
  <si>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</si>
  <si>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</si>
  <si>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</si>
  <si>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</si>
  <si>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</si>
  <si>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</si>
  <si>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</si>
  <si>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</si>
  <si>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</si>
  <si>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</si>
  <si>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</si>
  <si>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</si>
  <si>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</si>
  <si>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</si>
  <si>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</si>
  <si>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</si>
  <si>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</si>
  <si>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</si>
  <si>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</si>
  <si>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</si>
  <si>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</si>
  <si>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</si>
  <si>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</si>
  <si>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</si>
  <si>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</si>
  <si>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</si>
  <si>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</si>
  <si>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</si>
  <si>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</si>
  <si>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</si>
  <si>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</si>
  <si>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</si>
  <si>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</si>
  <si>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</si>
  <si>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</si>
  <si>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</si>
  <si>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</si>
  <si>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</si>
  <si>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</si>
  <si>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</si>
  <si>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</si>
  <si>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</si>
  <si>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</si>
  <si>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</si>
  <si>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</si>
  <si>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</si>
  <si>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</si>
  <si>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</si>
  <si>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</si>
  <si>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</si>
  <si>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</si>
  <si>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</si>
  <si>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</si>
  <si>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</si>
  <si>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</si>
  <si>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</si>
  <si>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</si>
  <si>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</si>
  <si>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</si>
  <si>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</si>
  <si>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</si>
  <si>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</si>
  <si>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</si>
  <si>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</si>
  <si>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</si>
  <si>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</si>
  <si>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</si>
  <si>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</si>
  <si>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</si>
  <si>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</si>
  <si>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</si>
  <si>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</si>
  <si>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</si>
  <si>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</si>
  <si>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</si>
  <si>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</si>
  <si>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</si>
  <si>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</si>
  <si>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</si>
  <si>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</si>
  <si>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</si>
  <si>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</si>
  <si>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</si>
  <si>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</si>
  <si>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</si>
  <si>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</si>
  <si>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</si>
  <si>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</si>
  <si>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</si>
  <si>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</si>
  <si>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</si>
  <si>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</si>
  <si>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</si>
  <si>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</si>
  <si>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</si>
  <si>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</si>
  <si>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</si>
  <si>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</si>
  <si>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</si>
  <si>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</si>
  <si>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</si>
  <si>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</si>
  <si>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</si>
  <si>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</si>
  <si>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</si>
  <si>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</si>
  <si>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</si>
  <si>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</si>
  <si>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</si>
  <si>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</si>
  <si>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</si>
  <si>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</si>
  <si>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</si>
  <si>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</si>
  <si>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</si>
  <si>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</si>
  <si>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</si>
  <si>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</si>
  <si>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</si>
  <si>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</si>
  <si>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</si>
  <si>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</si>
  <si>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</si>
  <si>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</si>
  <si>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</si>
  <si>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</si>
  <si>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</si>
  <si>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</si>
  <si>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</si>
  <si>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</si>
  <si>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</si>
  <si>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</si>
  <si>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</si>
  <si>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</si>
  <si>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</si>
  <si>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</si>
  <si>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</si>
  <si>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</si>
  <si>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</si>
  <si>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</si>
  <si>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</si>
  <si>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</si>
  <si>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</si>
  <si>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</si>
  <si>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</si>
  <si>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</si>
  <si>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</si>
  <si>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</si>
  <si>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</si>
  <si>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</si>
  <si>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</si>
  <si>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</si>
  <si>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</si>
  <si>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</si>
  <si>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</si>
  <si>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</si>
  <si>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</si>
  <si>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</si>
  <si>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</si>
  <si>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</si>
  <si>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</si>
  <si>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</si>
  <si>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</si>
  <si>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</si>
  <si>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</si>
  <si>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</si>
  <si>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</si>
  <si>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</si>
  <si>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</si>
  <si>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</si>
  <si>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</si>
  <si>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</si>
  <si>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</si>
  <si>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</si>
  <si>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</si>
  <si>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</si>
  <si>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</si>
  <si>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</si>
  <si>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</si>
  <si>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</si>
  <si>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</si>
  <si>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</si>
  <si>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</si>
  <si>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</si>
  <si>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</si>
  <si>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</si>
  <si>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</si>
  <si>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</si>
  <si>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</si>
  <si>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</si>
  <si>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</si>
  <si>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</si>
  <si>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</si>
  <si>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</si>
  <si>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</si>
  <si>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</si>
  <si>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</si>
  <si>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</si>
  <si>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</si>
  <si>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</si>
  <si>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</si>
  <si>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</si>
  <si>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</si>
  <si>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</si>
  <si>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</si>
  <si>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</si>
  <si>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</si>
  <si>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</si>
  <si>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</si>
  <si>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</si>
  <si>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</si>
  <si>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</si>
  <si>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</si>
  <si>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</si>
  <si>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</si>
  <si>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</si>
  <si>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</si>
  <si>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</si>
  <si>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</si>
  <si>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</si>
  <si>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</si>
  <si>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</si>
  <si>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</si>
  <si>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</si>
  <si>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</si>
  <si>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</si>
  <si>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</si>
  <si>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</si>
  <si>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</si>
  <si>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</si>
  <si>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</si>
  <si>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</si>
  <si>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</si>
  <si>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</si>
  <si>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</si>
  <si>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</si>
  <si>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</si>
  <si>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</si>
  <si>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</si>
  <si>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</si>
  <si>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</si>
  <si>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</si>
  <si>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</si>
  <si>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</si>
  <si>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</si>
  <si>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</si>
  <si>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</si>
  <si>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</si>
  <si>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</si>
  <si>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</si>
  <si>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</si>
  <si>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</si>
  <si>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</si>
  <si>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</si>
  <si>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</si>
  <si>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</si>
  <si>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</si>
  <si>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</si>
  <si>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</si>
  <si>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</si>
  <si>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</si>
  <si>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</si>
  <si>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</si>
  <si>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</si>
  <si>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</si>
  <si>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</si>
  <si>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</si>
  <si>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</si>
  <si>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</si>
  <si>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</si>
  <si>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</si>
  <si>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</si>
  <si>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</si>
  <si>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</si>
  <si>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</si>
  <si>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</si>
  <si>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</si>
  <si>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</si>
  <si>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</si>
  <si>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</si>
  <si>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</si>
  <si>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</si>
  <si>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</si>
  <si>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</si>
  <si>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</si>
  <si>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</si>
  <si>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</si>
  <si>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</si>
  <si>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</si>
  <si>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</si>
  <si>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</si>
  <si>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</si>
  <si>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</si>
  <si>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</si>
  <si>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</si>
  <si>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</si>
  <si>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</si>
  <si>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</si>
  <si>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</si>
  <si>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</si>
  <si>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</si>
  <si>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</si>
  <si>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</si>
  <si>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</si>
  <si>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</si>
  <si>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</si>
  <si>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</si>
  <si>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</si>
  <si>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</si>
  <si>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</si>
  <si>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</si>
  <si>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</si>
  <si>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</si>
  <si>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</si>
  <si>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</si>
  <si>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</si>
  <si>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</si>
  <si>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</si>
  <si>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</si>
  <si>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</si>
  <si>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</si>
  <si>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</si>
  <si>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</si>
  <si>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</si>
  <si>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</si>
  <si>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</si>
  <si>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</si>
  <si>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</si>
  <si>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</si>
  <si>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</si>
  <si>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</si>
  <si>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</si>
  <si>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</si>
  <si>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</si>
  <si>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</si>
  <si>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</si>
  <si>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</si>
  <si>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</si>
  <si>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</si>
  <si>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</si>
  <si>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</si>
  <si>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</si>
  <si>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</si>
  <si>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</si>
  <si>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</si>
  <si>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</si>
  <si>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</si>
  <si>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</si>
  <si>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</si>
  <si>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</si>
  <si>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</si>
  <si>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</si>
  <si>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</si>
  <si>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</si>
  <si>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</si>
  <si>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</si>
  <si>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</si>
  <si>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</si>
  <si>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</si>
  <si>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</si>
  <si>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</si>
  <si>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</si>
  <si>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</si>
  <si>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</si>
  <si>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</si>
  <si>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</si>
  <si>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</si>
  <si>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</si>
  <si>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</si>
  <si>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</si>
  <si>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</si>
  <si>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</si>
  <si>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</si>
  <si>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</si>
  <si>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</si>
  <si>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</si>
  <si>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</si>
  <si>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</si>
  <si>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</si>
  <si>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</si>
  <si>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</si>
  <si>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</si>
  <si>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</si>
  <si>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</si>
  <si>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</si>
  <si>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</si>
  <si>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</si>
  <si>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</si>
  <si>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</si>
  <si>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</si>
  <si>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</si>
  <si>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</si>
  <si>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</si>
  <si>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</si>
  <si>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</si>
  <si>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</si>
  <si>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</si>
  <si>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</si>
  <si>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</si>
  <si>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</si>
  <si>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</si>
  <si>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</si>
  <si>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</si>
  <si>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</si>
  <si>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</si>
  <si>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</si>
  <si>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</si>
  <si>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</si>
  <si>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</si>
  <si>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</si>
  <si>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</si>
  <si>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</si>
  <si>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</si>
  <si>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</si>
  <si>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</si>
  <si>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</si>
  <si>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</si>
  <si>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</si>
  <si>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</si>
  <si>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</si>
  <si>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</si>
  <si>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</si>
  <si>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</si>
  <si>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</si>
  <si>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</si>
  <si>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</si>
  <si>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</si>
  <si>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</si>
  <si>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</si>
  <si>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</si>
  <si>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</si>
  <si>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</si>
  <si>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</si>
  <si>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</si>
  <si>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</si>
  <si>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</si>
  <si>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</si>
  <si>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</si>
  <si>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</si>
  <si>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</si>
  <si>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</si>
  <si>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</si>
  <si>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</si>
  <si>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</si>
  <si>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</si>
  <si>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</si>
  <si>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</si>
  <si>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</si>
  <si>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</si>
  <si>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</si>
  <si>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</si>
  <si>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</si>
  <si>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</si>
  <si>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</si>
  <si>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</si>
  <si>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</si>
  <si>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</si>
  <si>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</si>
  <si>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</si>
  <si>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</si>
  <si>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</si>
  <si>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</si>
  <si>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</si>
  <si>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</si>
  <si>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</si>
  <si>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</si>
  <si>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</si>
  <si>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</si>
  <si>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</si>
  <si>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</si>
  <si>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</si>
  <si>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</si>
  <si>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</si>
  <si>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</si>
  <si>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</si>
  <si>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</si>
  <si>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</si>
  <si>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</si>
  <si>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</si>
  <si>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</si>
  <si>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</si>
  <si>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</si>
  <si>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</si>
  <si>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</si>
  <si>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</si>
  <si>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</si>
  <si>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</si>
  <si>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</si>
  <si>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</si>
  <si>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</si>
  <si>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</si>
  <si>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</si>
  <si>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</si>
  <si>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</si>
  <si>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</si>
  <si>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</si>
  <si>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</si>
  <si>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</si>
  <si>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</si>
  <si>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</si>
  <si>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</si>
  <si>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</si>
  <si>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</si>
  <si>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</si>
  <si>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</si>
  <si>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</si>
  <si>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</si>
  <si>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</si>
  <si>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</si>
  <si>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</si>
  <si>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</si>
  <si>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</si>
  <si>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</si>
  <si>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</si>
  <si>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</si>
  <si>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</si>
  <si>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</si>
  <si>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</si>
  <si>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</si>
  <si>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</si>
  <si>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</si>
  <si>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</si>
  <si>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</si>
  <si>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</si>
  <si>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</si>
  <si>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</si>
  <si>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</si>
  <si>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</si>
  <si>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</si>
  <si>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</si>
  <si>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</si>
  <si>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</si>
  <si>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</si>
  <si>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</si>
  <si>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</si>
  <si>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</si>
  <si>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</si>
  <si>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</si>
  <si>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</si>
  <si>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</si>
  <si>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</si>
  <si>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</si>
  <si>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</si>
  <si>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</si>
  <si>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</si>
  <si>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</si>
  <si>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</si>
  <si>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</si>
  <si>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</si>
  <si>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</si>
  <si>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</si>
  <si>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</si>
  <si>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</si>
  <si>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</si>
  <si>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</si>
  <si>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</si>
  <si>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</si>
  <si>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</si>
  <si>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</si>
  <si>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</si>
  <si>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</si>
  <si>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</si>
  <si>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</si>
  <si>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</si>
  <si>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</si>
  <si>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</si>
  <si>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</si>
  <si>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</si>
  <si>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</si>
  <si>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</si>
  <si>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</si>
  <si>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</si>
  <si>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</si>
  <si>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</si>
  <si>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</si>
  <si>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</si>
  <si>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</si>
  <si>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</si>
  <si>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</si>
  <si>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</si>
  <si>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</si>
  <si>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</si>
  <si>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</si>
  <si>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</si>
  <si>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</si>
  <si>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</si>
  <si>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</si>
  <si>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</si>
  <si>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</si>
  <si>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</si>
  <si>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</si>
  <si>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</si>
  <si>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</si>
  <si>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</si>
  <si>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</si>
  <si>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</si>
  <si>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</si>
  <si>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</si>
  <si>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</si>
  <si>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</si>
  <si>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</si>
  <si>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</si>
  <si>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</si>
  <si>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</si>
  <si>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</si>
  <si>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</si>
  <si>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</si>
  <si>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</si>
  <si>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</si>
  <si>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</si>
  <si>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</si>
  <si>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</si>
  <si>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</si>
  <si>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</si>
  <si>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</si>
  <si>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</si>
  <si>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</si>
  <si>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</si>
  <si>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</si>
  <si>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</si>
  <si>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</si>
  <si>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</si>
  <si>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</si>
  <si>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</si>
  <si>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</si>
  <si>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</si>
  <si>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</si>
  <si>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</si>
  <si>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</si>
  <si>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</si>
  <si>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</si>
  <si>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</si>
  <si>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</si>
  <si>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</si>
  <si>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</si>
  <si>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</si>
  <si>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</si>
  <si>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</si>
  <si>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</si>
  <si>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</si>
  <si>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</si>
  <si>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</si>
  <si>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</si>
  <si>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</si>
  <si>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</si>
  <si>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</si>
  <si>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</si>
  <si>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</si>
  <si>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</si>
  <si>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</si>
  <si>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</si>
  <si>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</si>
  <si>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</si>
  <si>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</si>
  <si>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</si>
  <si>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</si>
  <si>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</si>
  <si>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</si>
  <si>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</si>
  <si>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</si>
  <si>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</si>
  <si>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</si>
  <si>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</si>
  <si>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</si>
  <si>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</si>
  <si>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</si>
  <si>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</si>
  <si>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</si>
  <si>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</si>
  <si>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</si>
  <si>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</si>
  <si>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</si>
  <si>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</si>
  <si>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</si>
  <si>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</si>
  <si>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</si>
  <si>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</si>
  <si>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</si>
  <si>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</si>
  <si>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</si>
  <si>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</si>
  <si>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</si>
  <si>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</si>
  <si>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</si>
  <si>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</si>
  <si>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</si>
  <si>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</si>
  <si>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</si>
  <si>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</si>
  <si>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</si>
  <si>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</si>
  <si>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</si>
  <si>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</si>
  <si>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</si>
  <si>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</si>
  <si>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</si>
  <si>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</si>
  <si>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</si>
  <si>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</si>
  <si>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</si>
  <si>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</si>
  <si>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</si>
  <si>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</si>
  <si>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</si>
  <si>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</si>
  <si>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</si>
  <si>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</si>
  <si>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</si>
  <si>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</si>
  <si>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</si>
  <si>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</si>
  <si>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</si>
  <si>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</si>
  <si>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</si>
  <si>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</si>
  <si>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</si>
  <si>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</si>
  <si>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</si>
  <si>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</si>
  <si>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</si>
  <si>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</si>
  <si>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</si>
  <si>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</si>
  <si>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</si>
  <si>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</si>
  <si>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</si>
  <si>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</si>
  <si>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</si>
  <si>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</si>
  <si>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</si>
  <si>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</si>
  <si>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</si>
  <si>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</si>
  <si>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</si>
  <si>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</si>
  <si>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</si>
  <si>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</si>
  <si>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</si>
  <si>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</si>
  <si>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</si>
  <si>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</si>
  <si>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</si>
  <si>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</si>
  <si>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</si>
  <si>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</si>
  <si>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</si>
  <si>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</si>
  <si>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</si>
  <si>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</si>
  <si>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</si>
  <si>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</si>
  <si>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</si>
  <si>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</si>
  <si>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</si>
  <si>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</si>
  <si>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</si>
  <si>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</si>
  <si>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</si>
  <si>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</si>
  <si>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</si>
  <si>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</si>
  <si>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</si>
  <si>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</si>
  <si>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</si>
  <si>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</si>
  <si>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</si>
  <si>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</si>
  <si>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</si>
  <si>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</si>
  <si>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</si>
  <si>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</si>
  <si>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</si>
  <si>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</si>
  <si>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</si>
  <si>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</si>
  <si>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</si>
  <si>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</si>
  <si>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</si>
  <si>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</si>
  <si>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</si>
  <si>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</si>
  <si>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</si>
  <si>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</si>
  <si>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</si>
  <si>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</si>
  <si>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</si>
  <si>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</si>
  <si>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</si>
  <si>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</si>
  <si>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</si>
  <si>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</si>
  <si>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</si>
  <si>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</si>
  <si>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</si>
  <si>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</si>
  <si>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</si>
  <si>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</si>
  <si>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</si>
  <si>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</si>
  <si>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</si>
  <si>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</si>
  <si>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</si>
  <si>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</si>
  <si>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</si>
  <si>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</si>
  <si>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</si>
  <si>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</si>
  <si>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</si>
  <si>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</si>
  <si>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</si>
  <si>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</si>
  <si>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</si>
  <si>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</si>
  <si>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</si>
  <si>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</si>
  <si>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</si>
  <si>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</si>
  <si>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</si>
  <si>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</si>
  <si>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</si>
  <si>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</si>
  <si>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</si>
  <si>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</si>
  <si>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</si>
  <si>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</si>
  <si>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</si>
  <si>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</si>
  <si>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</si>
  <si>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</si>
  <si>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</si>
  <si>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</si>
  <si>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</si>
  <si>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</si>
  <si>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</si>
  <si>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</si>
  <si>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</si>
  <si>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</si>
  <si>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</si>
  <si>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</si>
  <si>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</si>
  <si>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</si>
  <si>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</si>
  <si>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</si>
  <si>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</si>
  <si>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</si>
  <si>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</si>
  <si>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</si>
  <si>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</si>
  <si>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</si>
  <si>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</si>
  <si>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</si>
  <si>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</si>
  <si>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</si>
  <si>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</si>
  <si>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</si>
  <si>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</si>
  <si>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</si>
  <si>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</si>
  <si>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</si>
  <si>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</si>
  <si>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</si>
  <si>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</si>
  <si>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</si>
  <si>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</si>
  <si>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</si>
  <si>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</si>
  <si>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</si>
  <si>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</si>
  <si>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</si>
  <si>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</si>
  <si>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</si>
  <si>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</si>
  <si>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</si>
  <si>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</si>
  <si>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</si>
  <si>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</si>
  <si>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</si>
  <si>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</si>
  <si>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</si>
  <si>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</si>
  <si>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</si>
  <si>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</si>
  <si>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</si>
  <si>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</si>
  <si>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</si>
  <si>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</si>
  <si>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</si>
  <si>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</si>
  <si>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</si>
  <si>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</si>
  <si>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</si>
  <si>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</si>
  <si>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</si>
  <si>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</si>
  <si>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</si>
  <si>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</si>
  <si>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</si>
  <si>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</si>
  <si>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</si>
  <si>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</si>
  <si>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</si>
  <si>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</si>
  <si>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</si>
  <si>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</si>
  <si>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</si>
  <si>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</si>
  <si>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</si>
  <si>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</si>
  <si>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</si>
  <si>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</si>
  <si>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</si>
  <si>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</si>
  <si>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</si>
  <si>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</si>
  <si>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</si>
  <si>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</si>
  <si>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</si>
  <si>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</si>
  <si>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</si>
  <si>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</si>
  <si>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</si>
  <si>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</si>
  <si>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</si>
  <si>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</si>
  <si>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</si>
  <si>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</si>
  <si>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</si>
  <si>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</si>
  <si>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</si>
  <si>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</si>
  <si>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</si>
  <si>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</si>
  <si>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</si>
  <si>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</si>
  <si>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</si>
  <si>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</si>
  <si>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</si>
  <si>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</si>
  <si>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</si>
  <si>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</si>
  <si>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</si>
  <si>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</si>
  <si>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</si>
  <si>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</si>
  <si>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</si>
  <si>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</si>
  <si>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</si>
  <si>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</si>
  <si>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</si>
  <si>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</si>
  <si>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</si>
  <si>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</si>
  <si>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</si>
  <si>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</si>
  <si>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</si>
  <si>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</si>
  <si>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</si>
  <si>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</si>
  <si>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</si>
  <si>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</si>
  <si>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</si>
  <si>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</si>
  <si>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</si>
  <si>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</si>
  <si>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</si>
  <si>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</si>
  <si>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</si>
  <si>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</si>
  <si>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</si>
  <si>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</si>
  <si>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</si>
  <si>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</si>
  <si>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</si>
  <si>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</si>
  <si>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</si>
  <si>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</si>
  <si>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</si>
  <si>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</si>
  <si>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</si>
  <si>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</si>
  <si>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</si>
  <si>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</si>
  <si>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</si>
  <si>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</si>
  <si>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</si>
  <si>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</si>
  <si>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</si>
  <si>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</si>
  <si>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</si>
  <si>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</si>
  <si>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</si>
  <si>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</si>
  <si>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</si>
  <si>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</si>
  <si>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</si>
  <si>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</si>
  <si>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</si>
  <si>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</si>
  <si>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</si>
  <si>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</si>
  <si>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</si>
  <si>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</si>
  <si>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</si>
  <si>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</si>
  <si>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</si>
  <si>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</si>
  <si>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</si>
  <si>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</si>
  <si>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</si>
  <si>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</si>
  <si>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</si>
  <si>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</si>
  <si>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</si>
  <si>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</si>
  <si>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</si>
  <si>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</si>
  <si>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</si>
  <si>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</si>
  <si>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</si>
  <si>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</si>
  <si>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</si>
  <si>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</si>
  <si>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</si>
  <si>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</si>
  <si>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</si>
  <si>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</si>
  <si>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</si>
  <si>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</si>
  <si>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</si>
  <si>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</si>
  <si>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</si>
  <si>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</si>
  <si>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</si>
  <si>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</si>
  <si>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</si>
  <si>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</si>
  <si>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</si>
  <si>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</si>
  <si>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</si>
  <si>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</si>
  <si>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</si>
  <si>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</si>
  <si>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</si>
  <si>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</si>
  <si>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</si>
  <si>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</si>
  <si>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</si>
  <si>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</si>
  <si>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</si>
  <si>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</si>
  <si>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</si>
  <si>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</si>
  <si>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</si>
  <si>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</si>
  <si>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</si>
  <si>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</si>
  <si>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</si>
  <si>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</si>
  <si>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</si>
  <si>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</si>
  <si>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</si>
  <si>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</si>
  <si>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</si>
  <si>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</si>
  <si>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</si>
  <si>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</si>
  <si>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</si>
  <si>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</si>
  <si>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</si>
  <si>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</si>
  <si>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</si>
  <si>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</si>
  <si>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</si>
  <si>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</si>
  <si>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</si>
  <si>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</si>
  <si>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</si>
  <si>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</si>
  <si>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</si>
  <si>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</si>
  <si>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</si>
  <si>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</si>
  <si>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</si>
  <si>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</si>
  <si>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</si>
  <si>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</si>
  <si>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</si>
  <si>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</si>
  <si>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</si>
  <si>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</si>
  <si>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</si>
  <si>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</si>
  <si>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</si>
  <si>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</si>
  <si>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</si>
  <si>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</si>
  <si>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</si>
  <si>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</si>
  <si>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</si>
  <si>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</si>
  <si>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</si>
  <si>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</si>
  <si>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</si>
  <si>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</si>
  <si>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</si>
  <si>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</si>
  <si>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</si>
  <si>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</si>
  <si>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</si>
  <si>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</si>
  <si>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</si>
  <si>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</si>
  <si>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</si>
  <si>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</si>
  <si>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</si>
  <si>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</si>
  <si>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</si>
  <si>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</si>
  <si>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</si>
  <si>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</si>
  <si>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</si>
  <si>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</si>
  <si>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</si>
  <si>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</si>
  <si>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</si>
  <si>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</si>
  <si>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</si>
  <si>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</si>
  <si>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</si>
  <si>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</si>
  <si>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</si>
  <si>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</si>
  <si>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</si>
  <si>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</si>
  <si>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</si>
  <si>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</si>
  <si>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</si>
  <si>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</si>
  <si>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</si>
  <si>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</si>
  <si>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</si>
  <si>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</si>
  <si>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</si>
  <si>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</si>
  <si>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</si>
  <si>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</si>
  <si>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</si>
  <si>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</si>
  <si>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</si>
  <si>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</si>
  <si>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</si>
  <si>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</si>
  <si>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</si>
  <si>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</si>
  <si>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</si>
  <si>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</si>
  <si>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</si>
  <si>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</si>
  <si>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</si>
  <si>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</si>
  <si>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</si>
  <si>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</si>
  <si>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</si>
  <si>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</si>
  <si>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</si>
  <si>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</si>
  <si>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</si>
  <si>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</si>
  <si>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</si>
  <si>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</si>
  <si>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</si>
  <si>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</si>
  <si>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</si>
  <si>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</si>
  <si>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</si>
  <si>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</si>
  <si>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</si>
  <si>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</si>
  <si>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</si>
  <si>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</si>
  <si>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</si>
  <si>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</si>
  <si>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</si>
  <si>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</si>
  <si>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</si>
  <si>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</si>
  <si>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</si>
  <si>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</si>
  <si>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</si>
  <si>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</si>
  <si>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</si>
  <si>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</si>
  <si>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</si>
  <si>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</si>
  <si>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</si>
  <si>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</si>
  <si>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</si>
  <si>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</si>
  <si>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</si>
  <si>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</si>
  <si>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</si>
  <si>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</si>
  <si>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</si>
  <si>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</si>
  <si>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</si>
  <si>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</si>
  <si>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</si>
  <si>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</si>
  <si>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</si>
  <si>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</si>
  <si>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</si>
  <si>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</si>
  <si>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</si>
  <si>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</si>
  <si>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</si>
  <si>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</si>
  <si>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</si>
  <si>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</si>
  <si>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</si>
  <si>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</si>
  <si>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</si>
  <si>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</si>
  <si>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</si>
  <si>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</si>
  <si>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</si>
  <si>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</si>
  <si>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</si>
  <si>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</si>
  <si>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</si>
  <si>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</si>
  <si>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</si>
  <si>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</si>
  <si>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</si>
  <si>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</si>
  <si>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</si>
  <si>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</si>
  <si>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</si>
  <si>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</si>
  <si>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</si>
  <si>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</si>
  <si>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</si>
  <si>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</si>
  <si>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</si>
  <si>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</si>
  <si>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</si>
  <si>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</si>
  <si>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</si>
  <si>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</si>
  <si>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</si>
  <si>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</si>
  <si>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</si>
  <si>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</si>
  <si>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</si>
  <si>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</si>
  <si>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</si>
  <si>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</si>
  <si>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</si>
  <si>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</si>
  <si>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</si>
  <si>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</si>
  <si>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</si>
  <si>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</si>
  <si>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</si>
  <si>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</si>
  <si>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</si>
  <si>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</si>
  <si>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</si>
  <si>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</si>
  <si>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</si>
  <si>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</si>
  <si>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</si>
  <si>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</si>
  <si>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</si>
  <si>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</si>
  <si>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</si>
  <si>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</si>
  <si>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</si>
  <si>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</si>
  <si>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</si>
  <si>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</si>
  <si>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</si>
  <si>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</si>
  <si>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</si>
  <si>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</si>
  <si>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</si>
  <si>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</si>
  <si>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</si>
  <si>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</si>
  <si>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</si>
  <si>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</si>
  <si>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</si>
  <si>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</si>
  <si>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</si>
  <si>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</si>
  <si>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</si>
  <si>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</si>
  <si>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</si>
  <si>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</si>
  <si>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</si>
  <si>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</si>
  <si>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</si>
  <si>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</si>
  <si>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</si>
  <si>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</si>
  <si>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</si>
  <si>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</si>
  <si>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</si>
  <si>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</si>
  <si>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</si>
  <si>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</si>
  <si>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</si>
  <si>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</si>
  <si>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</si>
  <si>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</si>
  <si>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</si>
  <si>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</si>
  <si>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</si>
  <si>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</si>
  <si>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</si>
  <si>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</si>
  <si>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</si>
  <si>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</si>
  <si>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</si>
  <si>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</si>
  <si>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</si>
  <si>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</si>
  <si>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</si>
  <si>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</si>
  <si>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</si>
  <si>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</si>
  <si>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</si>
  <si>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</si>
  <si>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</si>
  <si>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</si>
  <si>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</si>
  <si>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</si>
  <si>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</si>
  <si>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</si>
  <si>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</si>
  <si>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</si>
  <si>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</si>
  <si>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</si>
  <si>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</si>
  <si>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</si>
  <si>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</si>
  <si>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</si>
  <si>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</si>
  <si>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</si>
  <si>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</si>
  <si>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</si>
  <si>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</si>
  <si>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</si>
  <si>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</si>
  <si>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</si>
  <si>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</si>
  <si>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</si>
  <si>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</si>
  <si>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</si>
  <si>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</si>
  <si>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</si>
  <si>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</si>
  <si>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</si>
  <si>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</si>
  <si>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</si>
  <si>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</si>
  <si>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</si>
  <si>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</si>
  <si>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</si>
  <si>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</si>
  <si>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</si>
  <si>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</si>
  <si>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</si>
  <si>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</si>
  <si>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</si>
  <si>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</si>
  <si>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</si>
  <si>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</si>
  <si>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</si>
  <si>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</si>
  <si>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</si>
  <si>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</si>
  <si>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</si>
  <si>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</si>
  <si>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</si>
  <si>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</si>
  <si>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</si>
  <si>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</si>
  <si>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</si>
  <si>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</si>
  <si>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</si>
  <si>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</si>
  <si>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</si>
  <si>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</si>
  <si>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</si>
  <si>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</si>
  <si>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</si>
  <si>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</si>
  <si>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</si>
  <si>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</si>
  <si>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</si>
  <si>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</si>
  <si>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</si>
  <si>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</si>
  <si>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</si>
  <si>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</si>
  <si>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</si>
  <si>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</si>
  <si>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</si>
  <si>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</si>
  <si>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</si>
  <si>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</si>
  <si>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</si>
  <si>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</si>
  <si>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</si>
  <si>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</si>
  <si>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</si>
  <si>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</si>
  <si>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</si>
  <si>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</si>
  <si>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</si>
  <si>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</si>
  <si>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</si>
  <si>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</si>
  <si>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</si>
  <si>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</si>
  <si>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</si>
  <si>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</si>
  <si>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</si>
  <si>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</si>
  <si>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</si>
  <si>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</si>
  <si>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</si>
  <si>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</si>
  <si>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</si>
  <si>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</si>
  <si>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</si>
  <si>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</si>
  <si>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</si>
  <si>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</si>
  <si>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</si>
  <si>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</si>
  <si>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</si>
  <si>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</si>
  <si>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</si>
  <si>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</si>
  <si>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</si>
  <si>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</si>
  <si>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</si>
  <si>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</si>
  <si>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</si>
  <si>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</si>
  <si>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</si>
  <si>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</si>
  <si>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</si>
  <si>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</si>
  <si>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</si>
  <si>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</si>
  <si>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</si>
  <si>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</si>
  <si>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</si>
  <si>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</si>
  <si>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</si>
  <si>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</si>
  <si>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</si>
  <si>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</si>
  <si>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</si>
  <si>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</si>
  <si>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</si>
  <si>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</si>
  <si>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</si>
  <si>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</si>
  <si>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</si>
  <si>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</si>
  <si>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</si>
  <si>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</si>
  <si>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</si>
  <si>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</si>
  <si>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</si>
  <si>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</si>
  <si>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</si>
  <si>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</si>
  <si>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</si>
  <si>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</si>
  <si>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</si>
  <si>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</si>
  <si>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</si>
  <si>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</si>
  <si>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</si>
  <si>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</si>
  <si>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</si>
  <si>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</si>
  <si>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</si>
  <si>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</si>
  <si>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</si>
  <si>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</si>
  <si>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</si>
  <si>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</si>
  <si>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</si>
  <si>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</si>
  <si>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</si>
  <si>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</si>
  <si>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</si>
  <si>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</si>
  <si>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</si>
  <si>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</si>
  <si>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</si>
  <si>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</si>
  <si>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</si>
  <si>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</si>
  <si>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</si>
  <si>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</si>
  <si>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</si>
  <si>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</si>
  <si>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</si>
  <si>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</si>
  <si>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</si>
  <si>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</si>
  <si>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</si>
  <si>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</si>
  <si>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</si>
  <si>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</si>
  <si>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</si>
  <si>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</si>
  <si>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</si>
  <si>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</si>
  <si>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</si>
  <si>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</si>
  <si>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</si>
  <si>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</si>
  <si>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</si>
  <si>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</si>
  <si>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</si>
  <si>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</si>
  <si>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</si>
  <si>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</si>
  <si>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</si>
  <si>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</si>
  <si>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</si>
  <si>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</si>
  <si>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</si>
  <si>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</si>
  <si>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</si>
  <si>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</si>
  <si>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</si>
  <si>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</si>
  <si>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</si>
  <si>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</si>
  <si>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</si>
  <si>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</si>
  <si>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</si>
  <si>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</si>
  <si>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</si>
  <si>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</si>
  <si>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</si>
  <si>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</si>
  <si>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</si>
  <si>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</si>
  <si>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</si>
  <si>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</si>
  <si>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</si>
  <si>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</si>
  <si>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</si>
  <si>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</si>
  <si>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</si>
  <si>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</si>
  <si>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</si>
  <si>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</si>
  <si>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</si>
  <si>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</si>
  <si>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</si>
  <si>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</si>
  <si>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</si>
  <si>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</si>
  <si>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</si>
  <si>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</si>
  <si>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</si>
  <si>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</si>
  <si>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</si>
  <si>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</si>
  <si>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</si>
  <si>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</si>
  <si>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</si>
  <si>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</si>
  <si>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</si>
  <si>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</si>
  <si>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</si>
  <si>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</si>
  <si>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</si>
  <si>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</si>
  <si>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</si>
  <si>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</si>
  <si>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</si>
  <si>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</si>
  <si>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</si>
  <si>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</si>
  <si>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</si>
  <si>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</si>
  <si>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</si>
  <si>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</si>
  <si>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</si>
  <si>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</si>
  <si>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</si>
  <si>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</si>
  <si>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</si>
  <si>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</si>
  <si>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</si>
  <si>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</si>
  <si>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</si>
  <si>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</si>
  <si>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</si>
  <si>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</si>
  <si>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</si>
  <si>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</si>
  <si>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</si>
  <si>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</si>
  <si>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</si>
  <si>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</si>
  <si>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</si>
  <si>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</si>
  <si>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</si>
  <si>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</si>
  <si>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</si>
  <si>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</si>
  <si>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</si>
  <si>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</si>
  <si>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</si>
  <si>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</si>
  <si>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</si>
  <si>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</si>
  <si>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</si>
  <si>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</si>
  <si>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</si>
  <si>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</si>
  <si>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</si>
  <si>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</si>
  <si>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</si>
  <si>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</si>
  <si>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</si>
  <si>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</si>
  <si>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</si>
  <si>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</si>
  <si>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</si>
  <si>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</si>
  <si>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</si>
  <si>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</si>
  <si>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</si>
  <si>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</si>
  <si>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</si>
  <si>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</si>
  <si>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</si>
  <si>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</si>
  <si>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</si>
  <si>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</si>
  <si>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</si>
  <si>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</si>
  <si>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</si>
  <si>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</si>
  <si>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</si>
  <si>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</si>
  <si>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</si>
  <si>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</si>
  <si>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</si>
  <si>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</si>
  <si>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</si>
  <si>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</si>
  <si>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</si>
  <si>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</si>
  <si>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</si>
  <si>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</si>
  <si>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</si>
  <si>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</si>
  <si>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</si>
  <si>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</si>
  <si>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</si>
  <si>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</si>
  <si>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</si>
  <si>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</si>
  <si>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</si>
  <si>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</si>
  <si>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</si>
  <si>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</si>
  <si>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</si>
  <si>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</si>
  <si>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</si>
  <si>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</si>
  <si>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</si>
  <si>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</si>
  <si>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</si>
  <si>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</si>
  <si>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</si>
  <si>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</si>
  <si>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</si>
  <si>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</si>
  <si>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</si>
  <si>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</si>
  <si>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</si>
  <si>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</si>
  <si>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</si>
  <si>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</si>
  <si>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</si>
  <si>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</si>
  <si>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</si>
  <si>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</si>
  <si>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</si>
  <si>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</si>
  <si>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</si>
  <si>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</si>
  <si>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</si>
  <si>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</si>
  <si>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</si>
  <si>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</si>
  <si>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</si>
  <si>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</si>
  <si>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</si>
  <si>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</si>
  <si>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</si>
  <si>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</si>
  <si>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</si>
  <si>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</si>
  <si>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</si>
  <si>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</si>
  <si>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</si>
  <si>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</si>
  <si>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</si>
  <si>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</si>
  <si>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</si>
  <si>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</si>
  <si>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</si>
  <si>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</si>
  <si>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</si>
  <si>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</si>
  <si>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</si>
  <si>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</si>
  <si>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</si>
  <si>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</si>
  <si>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</si>
  <si>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</si>
  <si>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</si>
  <si>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</si>
  <si>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</si>
  <si>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</si>
  <si>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</si>
  <si>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</si>
  <si>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</si>
  <si>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</si>
  <si>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</si>
  <si>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</si>
  <si>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</si>
  <si>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</si>
  <si>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</si>
  <si>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</si>
  <si>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</si>
  <si>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</si>
  <si>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</si>
  <si>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</si>
  <si>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</si>
  <si>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</si>
  <si>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</si>
  <si>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</si>
  <si>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</si>
  <si>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</si>
  <si>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</si>
  <si>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</si>
  <si>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</si>
  <si>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</si>
  <si>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</si>
  <si>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</si>
  <si>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</si>
  <si>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</si>
  <si>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</si>
  <si>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</si>
  <si>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</si>
  <si>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</si>
  <si>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</si>
  <si>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</si>
  <si>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</si>
  <si>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</si>
  <si>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</si>
  <si>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</si>
  <si>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</si>
  <si>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</si>
  <si>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</si>
  <si>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</si>
  <si>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</si>
  <si>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</si>
  <si>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</si>
  <si>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</si>
  <si>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</si>
  <si>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</si>
  <si>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</si>
  <si>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</si>
  <si>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</si>
  <si>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</si>
  <si>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</si>
  <si>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</si>
  <si>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</si>
  <si>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</si>
  <si>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</si>
  <si>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</si>
  <si>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</si>
  <si>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</si>
  <si>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</si>
  <si>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</si>
  <si>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</si>
  <si>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</si>
  <si>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</si>
  <si>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</si>
  <si>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</si>
  <si>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</si>
  <si>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</si>
  <si>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</si>
  <si>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</si>
  <si>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</si>
  <si>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</si>
  <si>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</si>
  <si>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</si>
  <si>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</si>
  <si>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</si>
  <si>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</si>
  <si>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</si>
  <si>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</si>
  <si>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</si>
  <si>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</si>
  <si>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</si>
  <si>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</si>
  <si>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</si>
  <si>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</si>
  <si>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</si>
  <si>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</si>
  <si>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</si>
  <si>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</si>
  <si>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</si>
  <si>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</si>
  <si>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</si>
  <si>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</si>
  <si>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</si>
  <si>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</si>
  <si>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</si>
  <si>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</si>
  <si>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</si>
  <si>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</si>
  <si>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</si>
  <si>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</si>
  <si>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</si>
  <si>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</si>
  <si>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</si>
  <si>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</si>
  <si>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</si>
  <si>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</si>
  <si>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</si>
  <si>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</si>
  <si>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</si>
  <si>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</si>
  <si>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</si>
  <si>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</si>
  <si>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</si>
  <si>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</si>
  <si>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</si>
  <si>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</si>
  <si>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</si>
  <si>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</si>
  <si>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</si>
  <si>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</si>
  <si>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</si>
  <si>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</si>
  <si>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</si>
  <si>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</si>
  <si>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</si>
  <si>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</si>
  <si>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</si>
  <si>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</si>
  <si>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</si>
  <si>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</si>
  <si>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</si>
  <si>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</si>
  <si>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</si>
  <si>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</si>
  <si>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</si>
  <si>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</si>
  <si>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</si>
  <si>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</si>
  <si>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</si>
  <si>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</si>
  <si>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</si>
  <si>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</si>
  <si>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</si>
  <si>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</si>
  <si>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</si>
  <si>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</si>
  <si>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</si>
  <si>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</si>
  <si>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</si>
  <si>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</si>
  <si>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</si>
  <si>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</si>
  <si>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</si>
  <si>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</si>
  <si>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</si>
  <si>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</si>
  <si>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</si>
  <si>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</si>
  <si>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</si>
  <si>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</si>
  <si>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</si>
  <si>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</si>
  <si>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</si>
  <si>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</si>
  <si>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</si>
  <si>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</si>
  <si>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</si>
  <si>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</si>
  <si>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</si>
  <si>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</si>
  <si>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</si>
  <si>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</si>
  <si>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</si>
  <si>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</si>
  <si>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</si>
  <si>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</si>
  <si>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</si>
  <si>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</si>
  <si>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</si>
  <si>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</si>
  <si>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</si>
  <si>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</si>
  <si>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</si>
  <si>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</si>
  <si>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</si>
  <si>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</si>
  <si>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</si>
  <si>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</si>
  <si>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</si>
  <si>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</si>
  <si>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</si>
  <si>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</si>
  <si>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</si>
  <si>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</si>
  <si>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</si>
  <si>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</si>
  <si>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</si>
  <si>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</si>
  <si>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</si>
  <si>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</si>
  <si>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</si>
  <si>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</si>
  <si>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</si>
  <si>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</si>
  <si>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</si>
  <si>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</si>
  <si>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</si>
  <si>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</si>
  <si>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</si>
  <si>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</si>
  <si>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</si>
  <si>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</si>
  <si>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</si>
  <si>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</si>
  <si>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</si>
  <si>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</si>
  <si>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</si>
  <si>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</si>
  <si>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</si>
  <si>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</si>
  <si>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</si>
  <si>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</si>
  <si>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</si>
  <si>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</si>
  <si>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</si>
  <si>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</si>
  <si>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</si>
  <si>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</si>
  <si>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</si>
  <si>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</si>
  <si>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</si>
  <si>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</si>
  <si>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</si>
  <si>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</si>
  <si>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</si>
  <si>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</si>
  <si>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</si>
  <si>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</si>
  <si>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</si>
  <si>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</si>
  <si>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</si>
  <si>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</si>
  <si>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</si>
  <si>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</si>
  <si>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</si>
  <si>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</si>
  <si>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</si>
  <si>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</si>
  <si>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</si>
  <si>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</si>
  <si>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</si>
  <si>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</si>
  <si>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</si>
  <si>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</si>
  <si>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</si>
  <si>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</si>
  <si>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</si>
  <si>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</si>
  <si>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</si>
  <si>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</si>
  <si>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</si>
  <si>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</si>
  <si>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</si>
  <si>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</si>
  <si>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</si>
  <si>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</si>
  <si>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</si>
  <si>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</si>
  <si>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</si>
  <si>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</si>
  <si>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</si>
  <si>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</si>
  <si>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</si>
  <si>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</si>
  <si>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</si>
  <si>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</si>
  <si>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</si>
  <si>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</si>
  <si>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</si>
  <si>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</si>
  <si>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</si>
  <si>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</si>
  <si>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</si>
  <si>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</si>
  <si>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</si>
  <si>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</si>
  <si>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</si>
  <si>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</si>
  <si>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</si>
  <si>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</si>
  <si>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</si>
  <si>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</si>
  <si>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</si>
  <si>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</si>
  <si>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</si>
  <si>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</si>
  <si>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</si>
  <si>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</si>
  <si>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</si>
  <si>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</si>
  <si>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</si>
  <si>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</si>
  <si>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</si>
  <si>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</si>
  <si>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</si>
  <si>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</si>
  <si>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</si>
  <si>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</si>
  <si>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</si>
  <si>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</si>
  <si>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</si>
  <si>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</si>
  <si>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</si>
  <si>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</si>
  <si>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</si>
  <si>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</si>
  <si>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</si>
  <si>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</si>
  <si>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</si>
  <si>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</si>
  <si>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</si>
  <si>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</si>
  <si>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</si>
  <si>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</si>
  <si>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</si>
  <si>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</si>
  <si>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</si>
  <si>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</si>
  <si>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</si>
  <si>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</si>
  <si>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</si>
  <si>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</si>
  <si>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</si>
  <si>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</si>
  <si>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</si>
  <si>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</si>
  <si>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</si>
  <si>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</si>
  <si>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</si>
  <si>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</si>
  <si>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</si>
  <si>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</si>
  <si>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</si>
  <si>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</si>
  <si>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</si>
  <si>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</si>
  <si>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</si>
  <si>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</si>
  <si>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</si>
  <si>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</si>
  <si>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</si>
  <si>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</si>
  <si>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</si>
  <si>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</si>
  <si>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</si>
  <si>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</si>
  <si>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</si>
  <si>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</si>
  <si>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</si>
  <si>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</si>
  <si>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</si>
  <si>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</si>
  <si>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</si>
  <si>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</si>
  <si>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</si>
  <si>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</si>
  <si>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</si>
  <si>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</si>
  <si>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</si>
  <si>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</si>
  <si>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</si>
  <si>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</si>
  <si>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</si>
  <si>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</si>
  <si>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</si>
  <si>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</si>
  <si>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</si>
  <si>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</si>
  <si>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</si>
  <si>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</si>
  <si>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</si>
  <si>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</si>
  <si>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</si>
  <si>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</si>
  <si>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</si>
  <si>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</si>
  <si>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</si>
  <si>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</si>
  <si>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</si>
  <si>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</si>
  <si>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</si>
  <si>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</si>
  <si>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</si>
  <si>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</si>
  <si>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</si>
  <si>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</si>
  <si>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</si>
  <si>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</si>
  <si>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</si>
  <si>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</si>
  <si>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</si>
  <si>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</si>
  <si>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</si>
  <si>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</si>
  <si>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</si>
  <si>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</si>
  <si>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</si>
  <si>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</si>
  <si>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</si>
  <si>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</si>
  <si>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</si>
  <si>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</si>
  <si>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</si>
  <si>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</si>
  <si>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</si>
  <si>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</si>
  <si>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</si>
  <si>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</si>
  <si>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</si>
  <si>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</si>
  <si>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</si>
  <si>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</si>
  <si>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</si>
  <si>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</si>
  <si>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</si>
  <si>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</si>
  <si>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</si>
  <si>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</si>
  <si>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</si>
  <si>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</si>
  <si>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</si>
  <si>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</si>
  <si>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</si>
  <si>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</si>
  <si>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</si>
  <si>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</si>
  <si>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</si>
  <si>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</si>
  <si>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</si>
  <si>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</si>
  <si>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</si>
  <si>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</si>
  <si>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</si>
  <si>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</si>
  <si>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</si>
  <si>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</si>
  <si>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</si>
  <si>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</si>
  <si>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</si>
  <si>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</si>
  <si>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</si>
  <si>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</si>
  <si>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</si>
  <si>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</si>
  <si>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</si>
  <si>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</si>
  <si>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</si>
  <si>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</si>
  <si>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</si>
  <si>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</si>
  <si>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</si>
  <si>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</si>
  <si>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</si>
  <si>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</si>
  <si>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</si>
  <si>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</si>
  <si>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</si>
  <si>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</si>
  <si>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</si>
  <si>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</si>
  <si>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</si>
  <si>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</si>
  <si>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</si>
  <si>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</si>
  <si>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</si>
  <si>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</si>
  <si>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</si>
  <si>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</si>
  <si>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</si>
  <si>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</si>
  <si>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</si>
  <si>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</si>
  <si>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</si>
  <si>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</si>
  <si>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</si>
  <si>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</si>
  <si>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</si>
  <si>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</si>
  <si>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</si>
  <si>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</si>
  <si>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</si>
  <si>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</si>
  <si>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</si>
  <si>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</si>
  <si>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</si>
  <si>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</si>
  <si>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</si>
  <si>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</si>
  <si>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</si>
  <si>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</si>
  <si>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</si>
  <si>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</si>
  <si>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</si>
  <si>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</si>
  <si>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</si>
  <si>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</si>
  <si>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</si>
  <si>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</si>
  <si>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</si>
  <si>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</si>
  <si>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</si>
  <si>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</si>
  <si>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</si>
  <si>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</si>
  <si>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</si>
  <si>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</si>
  <si>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</si>
  <si>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</si>
  <si>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</si>
  <si>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</si>
  <si>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</si>
  <si>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</si>
  <si>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</si>
  <si>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</si>
  <si>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</si>
  <si>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</si>
  <si>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</si>
  <si>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</si>
  <si>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</si>
  <si>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</si>
  <si>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</si>
  <si>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</si>
  <si>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</si>
  <si>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</si>
  <si>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</si>
  <si>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</si>
  <si>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</si>
  <si>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</si>
  <si>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</si>
  <si>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</si>
  <si>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</si>
  <si>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</si>
  <si>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</si>
  <si>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</si>
  <si>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</si>
  <si>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</si>
  <si>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</si>
  <si>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</si>
  <si>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</si>
  <si>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</si>
  <si>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</si>
  <si>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</si>
  <si>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</si>
  <si>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</si>
  <si>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</si>
  <si>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</si>
  <si>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</si>
  <si>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</si>
  <si>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</si>
  <si>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</si>
  <si>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</si>
  <si>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</si>
  <si>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</si>
  <si>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</si>
  <si>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</si>
  <si>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</si>
  <si>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</si>
  <si>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</si>
  <si>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</si>
  <si>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</si>
  <si>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</si>
  <si>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</si>
  <si>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</si>
  <si>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</si>
  <si>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</si>
  <si>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</si>
  <si>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</si>
  <si>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</si>
  <si>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</si>
  <si>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</si>
  <si>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</si>
  <si>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</si>
  <si>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</si>
  <si>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</si>
  <si>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</si>
  <si>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</si>
  <si>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</si>
  <si>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</si>
  <si>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</si>
  <si>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</si>
  <si>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</si>
  <si>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</si>
  <si>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</si>
  <si>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</si>
  <si>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</si>
  <si>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</si>
  <si>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</si>
  <si>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</si>
  <si>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</si>
  <si>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</si>
  <si>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</si>
  <si>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</si>
  <si>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</si>
  <si>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</si>
  <si>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</si>
  <si>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</si>
  <si>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</si>
  <si>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</si>
  <si>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</si>
  <si>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</si>
  <si>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</si>
  <si>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</si>
  <si>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</si>
  <si>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</si>
  <si>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</si>
  <si>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</si>
  <si>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</si>
  <si>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</si>
  <si>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</si>
  <si>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</si>
  <si>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</si>
  <si>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</si>
  <si>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</si>
  <si>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</si>
  <si>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</si>
  <si>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</si>
  <si>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</si>
  <si>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</si>
  <si>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</si>
  <si>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</si>
  <si>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</si>
  <si>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</si>
  <si>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</si>
  <si>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</si>
  <si>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</si>
  <si>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</si>
  <si>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</si>
  <si>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</si>
  <si>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</si>
  <si>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</si>
  <si>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</si>
  <si>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</si>
  <si>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</si>
  <si>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</si>
  <si>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</si>
  <si>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</si>
  <si>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</si>
  <si>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</si>
  <si>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</si>
  <si>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</si>
  <si>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</si>
  <si>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</si>
  <si>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</si>
  <si>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</si>
  <si>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</si>
  <si>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</si>
  <si>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</si>
  <si>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</si>
  <si>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</si>
  <si>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</si>
  <si>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</si>
  <si>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</si>
  <si>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</si>
  <si>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</si>
  <si>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</si>
  <si>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</si>
  <si>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</si>
  <si>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</si>
  <si>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</si>
  <si>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</si>
  <si>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</si>
  <si>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</si>
  <si>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</si>
  <si>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</si>
  <si>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</si>
  <si>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</si>
  <si>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</si>
  <si>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</si>
  <si>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</si>
  <si>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</si>
  <si>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</si>
  <si>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</si>
  <si>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</si>
  <si>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</si>
  <si>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</si>
  <si>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</si>
  <si>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</si>
  <si>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</si>
  <si>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</si>
  <si>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</si>
  <si>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</si>
  <si>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</si>
  <si>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</si>
  <si>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</si>
  <si>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</si>
  <si>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</si>
  <si>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</si>
  <si>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</si>
  <si>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</si>
  <si>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</si>
  <si>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</si>
  <si>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</si>
  <si>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</si>
  <si>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</si>
  <si>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</si>
  <si>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</si>
  <si>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</si>
  <si>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</si>
  <si>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</si>
  <si>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</si>
  <si>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</si>
  <si>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</si>
  <si>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</si>
  <si>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</si>
  <si>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</si>
  <si>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</si>
  <si>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</si>
  <si>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</si>
  <si>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</si>
  <si>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</si>
  <si>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</si>
  <si>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</si>
  <si>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</si>
  <si>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</si>
  <si>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</si>
  <si>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</si>
  <si>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</si>
  <si>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</si>
  <si>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</si>
  <si>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</si>
  <si>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</si>
  <si>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</si>
  <si>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</si>
  <si>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</si>
  <si>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</si>
  <si>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</si>
  <si>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</si>
  <si>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</si>
  <si>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</si>
  <si>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</si>
  <si>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</si>
  <si>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</si>
  <si>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</si>
  <si>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</si>
  <si>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</si>
  <si>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</si>
  <si>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</si>
  <si>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</si>
  <si>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</si>
  <si>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</si>
  <si>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</si>
  <si>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</si>
  <si>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</si>
  <si>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</si>
  <si>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</si>
  <si>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</si>
  <si>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</si>
  <si>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</si>
  <si>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</si>
  <si>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</si>
  <si>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</si>
  <si>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</si>
  <si>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</si>
  <si>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</si>
  <si>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</si>
  <si>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</si>
  <si>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</si>
  <si>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</si>
  <si>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</si>
  <si>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</si>
  <si>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</si>
  <si>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</si>
  <si>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</si>
  <si>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</si>
  <si>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</si>
  <si>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</si>
  <si>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</si>
  <si>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</si>
  <si>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</si>
  <si>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</si>
  <si>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</si>
  <si>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</si>
  <si>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</si>
  <si>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</si>
  <si>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</si>
  <si>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</si>
  <si>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</si>
  <si>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</si>
  <si>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</si>
  <si>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</si>
  <si>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</si>
  <si>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</si>
  <si>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</si>
  <si>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</si>
  <si>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</si>
  <si>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</si>
  <si>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</si>
  <si>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</si>
  <si>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</si>
  <si>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</si>
  <si>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</si>
  <si>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</si>
  <si>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</si>
  <si>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</si>
  <si>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</si>
  <si>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</si>
  <si>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</si>
  <si>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</si>
  <si>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</si>
  <si>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</si>
  <si>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</si>
  <si>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</si>
  <si>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</si>
  <si>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</si>
  <si>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</si>
  <si>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</si>
  <si>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</si>
  <si>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</si>
  <si>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</si>
  <si>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</si>
  <si>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</si>
  <si>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</si>
  <si>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</si>
  <si>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</si>
  <si>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</si>
  <si>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</si>
  <si>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</si>
  <si>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</si>
  <si>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</si>
  <si>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</si>
  <si>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</si>
  <si>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</si>
  <si>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</si>
  <si>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</si>
  <si>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</si>
  <si>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</si>
  <si>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</si>
  <si>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</si>
  <si>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</si>
  <si>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</si>
  <si>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</si>
  <si>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</si>
  <si>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</si>
  <si>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</si>
  <si>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</si>
  <si>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</si>
  <si>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</si>
  <si>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</si>
  <si>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</si>
  <si>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</si>
  <si>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</si>
  <si>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</si>
  <si>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</si>
  <si>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</si>
  <si>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</si>
  <si>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</si>
  <si>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</si>
  <si>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</si>
  <si>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</si>
  <si>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</si>
  <si>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</si>
  <si>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</si>
  <si>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</si>
  <si>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</si>
  <si>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</si>
  <si>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</si>
  <si>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</si>
  <si>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</si>
  <si>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</si>
  <si>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</si>
  <si>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</si>
  <si>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</si>
  <si>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</si>
  <si>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</si>
  <si>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</si>
  <si>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</si>
  <si>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</si>
  <si>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</si>
  <si>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</si>
  <si>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</si>
  <si>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</si>
  <si>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</si>
  <si>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</si>
  <si>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</si>
  <si>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</si>
  <si>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</si>
  <si>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</si>
  <si>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</si>
  <si>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</si>
  <si>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</si>
  <si>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</si>
  <si>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</si>
  <si>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</si>
  <si>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</si>
  <si>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</si>
  <si>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</si>
  <si>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</si>
  <si>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</si>
  <si>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</si>
  <si>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</si>
  <si>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</si>
  <si>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</si>
  <si>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</si>
  <si>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</si>
  <si>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</si>
  <si>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</si>
  <si>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</si>
  <si>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</si>
  <si>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</si>
  <si>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</si>
  <si>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</si>
  <si>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</si>
  <si>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</si>
  <si>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</si>
  <si>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</si>
  <si>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</si>
  <si>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</si>
  <si>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</si>
  <si>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</si>
  <si>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</si>
  <si>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</si>
  <si>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</si>
  <si>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</si>
  <si>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</si>
  <si>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</si>
  <si>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</si>
  <si>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</si>
  <si>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</si>
  <si>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</si>
  <si>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</si>
  <si>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</si>
  <si>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</si>
  <si>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</si>
  <si>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</si>
  <si>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</si>
  <si>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</si>
  <si>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</si>
  <si>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</si>
  <si>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</si>
  <si>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</si>
  <si>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</si>
  <si>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</si>
  <si>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</si>
  <si>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</si>
  <si>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</si>
  <si>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</si>
  <si>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</si>
  <si>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</si>
  <si>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</si>
  <si>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</si>
  <si>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</si>
  <si>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</si>
  <si>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</si>
  <si>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</si>
  <si>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</si>
  <si>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</si>
  <si>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</si>
  <si>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</si>
  <si>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</si>
  <si>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</si>
  <si>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</si>
  <si>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</si>
  <si>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</si>
  <si>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</si>
  <si>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</si>
  <si>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</si>
  <si>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</si>
  <si>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</si>
  <si>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</si>
  <si>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</si>
  <si>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</si>
  <si>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</si>
  <si>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</si>
  <si>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</si>
  <si>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</si>
  <si>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</si>
  <si>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</si>
  <si>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</si>
  <si>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</si>
  <si>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</si>
  <si>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</si>
  <si>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</si>
  <si>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</si>
  <si>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</si>
  <si>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</si>
  <si>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</si>
  <si>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</si>
  <si>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</si>
  <si>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</si>
  <si>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</si>
  <si>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</si>
  <si>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</si>
  <si>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</si>
  <si>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</si>
  <si>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</si>
  <si>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</si>
  <si>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</si>
  <si>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</si>
  <si>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</si>
  <si>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</si>
  <si>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</si>
  <si>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</si>
  <si>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</si>
  <si>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</si>
  <si>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</si>
  <si>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</si>
  <si>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</si>
  <si>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</si>
  <si>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</si>
  <si>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</si>
  <si>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</si>
  <si>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</si>
  <si>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</si>
  <si>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</si>
  <si>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</si>
  <si>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</si>
  <si>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</si>
  <si>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</si>
  <si>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</si>
  <si>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</si>
  <si>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</si>
  <si>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</si>
  <si>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</si>
  <si>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</si>
  <si>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</si>
  <si>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</si>
  <si>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</si>
  <si>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</si>
  <si>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</si>
  <si>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</si>
  <si>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</si>
  <si>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</si>
  <si>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</si>
  <si>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</si>
  <si>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</si>
  <si>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</si>
  <si>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</si>
  <si>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</si>
  <si>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</si>
  <si>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</si>
  <si>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</si>
  <si>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</si>
  <si>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</si>
  <si>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</si>
  <si>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</si>
  <si>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</si>
  <si>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</si>
  <si>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</si>
  <si>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</si>
  <si>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</si>
  <si>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</si>
  <si>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</si>
  <si>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</si>
  <si>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</si>
  <si>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</si>
  <si>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</si>
  <si>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</si>
  <si>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</si>
  <si>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</si>
  <si>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</si>
  <si>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</si>
  <si>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</si>
  <si>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</si>
  <si>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</si>
  <si>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</si>
  <si>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</si>
  <si>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</si>
  <si>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</si>
  <si>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</si>
  <si>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</si>
  <si>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</si>
  <si>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</si>
  <si>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</si>
  <si>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</si>
  <si>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</si>
  <si>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</si>
  <si>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</si>
  <si>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</si>
  <si>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</si>
  <si>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</si>
  <si>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</si>
  <si>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</si>
  <si>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</si>
  <si>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</si>
  <si>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</si>
  <si>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</si>
  <si>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</si>
  <si>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</si>
  <si>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</si>
  <si>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</si>
  <si>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</si>
  <si>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</si>
  <si>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</si>
  <si>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</si>
  <si>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</si>
  <si>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</si>
  <si>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</si>
  <si>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</si>
  <si>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</si>
  <si>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</si>
  <si>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</si>
  <si>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</si>
  <si>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</si>
  <si>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</si>
  <si>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</si>
  <si>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</si>
  <si>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</si>
  <si>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</si>
  <si>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</si>
  <si>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</si>
  <si>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</si>
  <si>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</si>
  <si>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</si>
  <si>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</si>
  <si>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</si>
  <si>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</si>
  <si>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</si>
  <si>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</si>
  <si>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</si>
  <si>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</si>
  <si>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</si>
  <si>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</si>
  <si>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</si>
  <si>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</si>
  <si>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</si>
  <si>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</si>
  <si>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</si>
  <si>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</si>
  <si>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</si>
  <si>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</si>
  <si>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</si>
  <si>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</si>
  <si>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</si>
  <si>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</si>
  <si>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</si>
  <si>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</si>
  <si>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</si>
  <si>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</si>
  <si>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</si>
  <si>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</si>
  <si>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</si>
  <si>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</si>
  <si>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</si>
  <si>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</si>
  <si>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</si>
  <si>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</si>
  <si>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</si>
  <si>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</si>
  <si>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</si>
  <si>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</si>
  <si>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</si>
  <si>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</si>
  <si>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</si>
  <si>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</si>
  <si>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</si>
  <si>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</si>
  <si>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</si>
  <si>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</si>
  <si>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</si>
  <si>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</si>
  <si>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</si>
  <si>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</si>
  <si>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</si>
  <si>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</si>
  <si>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</si>
  <si>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</si>
  <si>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</si>
  <si>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</si>
  <si>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</si>
  <si>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</si>
  <si>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</si>
  <si>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</si>
  <si>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</si>
  <si>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</si>
  <si>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</si>
  <si>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</si>
  <si>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</si>
  <si>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</si>
  <si>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</si>
  <si>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</si>
  <si>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</si>
  <si>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</si>
  <si>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</si>
  <si>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</si>
  <si>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</si>
  <si>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</si>
  <si>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</si>
  <si>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</si>
  <si>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</si>
  <si>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</si>
  <si>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</si>
  <si>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</si>
  <si>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</si>
  <si>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</si>
  <si>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</si>
  <si>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</si>
  <si>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</si>
  <si>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</si>
  <si>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</si>
  <si>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</si>
  <si>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</si>
  <si>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</si>
  <si>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</si>
  <si>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</si>
  <si>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</si>
  <si>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</si>
  <si>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</si>
  <si>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</si>
  <si>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</si>
  <si>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</si>
  <si>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</si>
  <si>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</si>
  <si>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</si>
  <si>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</si>
  <si>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</si>
  <si>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</si>
  <si>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</si>
  <si>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</si>
  <si>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</si>
  <si>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</si>
  <si>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</si>
  <si>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</si>
  <si>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</si>
  <si>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</si>
  <si>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</si>
  <si>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</si>
  <si>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</si>
  <si>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</si>
  <si>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</si>
  <si>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</si>
  <si>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</si>
  <si>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</si>
  <si>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</si>
  <si>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</si>
  <si>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</si>
  <si>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</si>
  <si>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</si>
  <si>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</si>
  <si>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</si>
  <si>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</si>
  <si>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</si>
  <si>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</si>
  <si>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</si>
  <si>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</si>
  <si>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</si>
  <si>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</si>
  <si>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</si>
  <si>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</si>
  <si>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</si>
  <si>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</si>
  <si>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</si>
  <si>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</si>
  <si>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</si>
  <si>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</si>
  <si>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</si>
  <si>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</si>
  <si>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</si>
  <si>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</si>
  <si>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</si>
  <si>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</si>
  <si>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</si>
  <si>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</si>
  <si>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</si>
  <si>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</si>
  <si>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</si>
  <si>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</si>
  <si>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</si>
  <si>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</si>
  <si>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</si>
  <si>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</si>
  <si>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</si>
  <si>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</si>
  <si>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</si>
  <si>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</si>
  <si>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</si>
  <si>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</si>
  <si>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</si>
  <si>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</si>
  <si>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</si>
  <si>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</si>
  <si>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</si>
  <si>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</si>
  <si>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</si>
  <si>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</si>
  <si>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</si>
  <si>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</si>
  <si>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</si>
  <si>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</si>
  <si>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</si>
  <si>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</si>
  <si>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</si>
  <si>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</si>
  <si>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</si>
  <si>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</si>
  <si>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</si>
  <si>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</si>
  <si>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</si>
  <si>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</si>
  <si>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</si>
  <si>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</si>
  <si>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</si>
  <si>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</si>
  <si>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</si>
  <si>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</si>
  <si>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</si>
  <si>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</si>
  <si>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</si>
  <si>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</si>
  <si>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</si>
  <si>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</si>
  <si>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</si>
  <si>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</si>
  <si>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</si>
  <si>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</si>
  <si>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</si>
  <si>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</si>
  <si>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</si>
  <si>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</si>
  <si>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</si>
  <si>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</si>
  <si>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</si>
  <si>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</si>
  <si>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</si>
  <si>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</si>
  <si>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</si>
  <si>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</si>
  <si>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</si>
  <si>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</si>
  <si>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</si>
  <si>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</si>
  <si>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</si>
  <si>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</si>
  <si>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</si>
  <si>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</si>
  <si>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</si>
  <si>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</si>
  <si>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</si>
  <si>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</si>
  <si>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</si>
  <si>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</si>
  <si>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</si>
  <si>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</si>
  <si>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</si>
  <si>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</si>
  <si>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</si>
  <si>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</si>
  <si>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</si>
  <si>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</si>
  <si>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</si>
  <si>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</si>
  <si>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</si>
  <si>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</si>
  <si>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</si>
  <si>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</si>
  <si>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</si>
  <si>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</si>
  <si>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</si>
  <si>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</si>
  <si>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</si>
  <si>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</si>
  <si>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</si>
  <si>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</si>
  <si>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</si>
  <si>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</si>
  <si>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</si>
  <si>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</si>
  <si>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</si>
  <si>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</si>
  <si>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</si>
  <si>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</si>
  <si>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</si>
  <si>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</si>
  <si>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</si>
  <si>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</si>
  <si>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</si>
  <si>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</si>
  <si>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</si>
  <si>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</si>
  <si>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</si>
  <si>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</si>
  <si>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</si>
  <si>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</si>
  <si>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</si>
  <si>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</si>
  <si>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</si>
  <si>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</si>
  <si>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</si>
  <si>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</si>
  <si>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</si>
  <si>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</si>
  <si>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</si>
  <si>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</si>
  <si>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</si>
  <si>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</si>
  <si>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</si>
  <si>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</si>
  <si>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</si>
  <si>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</si>
  <si>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</si>
  <si>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</si>
  <si>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</si>
  <si>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</si>
  <si>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</si>
  <si>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</si>
  <si>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</si>
  <si>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</si>
  <si>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</si>
  <si>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</si>
  <si>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</si>
  <si>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</si>
  <si>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</si>
  <si>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</si>
  <si>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</si>
  <si>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</si>
  <si>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</si>
  <si>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</si>
  <si>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</si>
  <si>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</si>
  <si>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</si>
  <si>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</si>
  <si>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</si>
  <si>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</si>
  <si>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</si>
  <si>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</si>
  <si>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</si>
  <si>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</si>
  <si>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</si>
  <si>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</si>
  <si>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</si>
  <si>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</si>
  <si>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</si>
  <si>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</si>
  <si>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</si>
  <si>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</si>
  <si>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</si>
  <si>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</si>
  <si>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</si>
  <si>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</si>
  <si>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</si>
  <si>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</si>
  <si>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</si>
  <si>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</si>
  <si>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</si>
  <si>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</si>
  <si>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</si>
  <si>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</si>
  <si>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</si>
  <si>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</si>
  <si>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</si>
  <si>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</si>
  <si>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</si>
  <si>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</si>
  <si>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</si>
  <si>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</si>
  <si>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</si>
  <si>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</si>
  <si>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</si>
  <si>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</si>
  <si>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</si>
  <si>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</si>
  <si>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</si>
  <si>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</si>
  <si>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</si>
  <si>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</si>
  <si>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</si>
  <si>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</si>
  <si>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</si>
  <si>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</si>
  <si>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</si>
  <si>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</si>
  <si>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</si>
  <si>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</si>
  <si>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</si>
  <si>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</si>
  <si>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</si>
  <si>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</si>
  <si>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</si>
  <si>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</si>
  <si>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</si>
  <si>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</si>
  <si>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</si>
  <si>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</si>
  <si>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</si>
  <si>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</si>
  <si>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</si>
  <si>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</si>
  <si>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</si>
  <si>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</si>
  <si>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</si>
  <si>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</si>
  <si>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</si>
  <si>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</si>
  <si>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</si>
  <si>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</si>
  <si>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</si>
  <si>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</si>
  <si>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</si>
  <si>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</si>
  <si>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</si>
  <si>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</si>
  <si>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</si>
  <si>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</si>
  <si>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</si>
  <si>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</si>
  <si>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</si>
  <si>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</si>
  <si>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</si>
  <si>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</si>
  <si>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</si>
  <si>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</si>
  <si>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</si>
  <si>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</si>
  <si>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</si>
  <si>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</si>
  <si>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</si>
  <si>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</si>
  <si>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</si>
  <si>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</si>
  <si>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</si>
  <si>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</si>
  <si>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</si>
  <si>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</si>
  <si>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</si>
  <si>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</si>
  <si>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</si>
  <si>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</si>
  <si>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</si>
  <si>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</si>
  <si>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</si>
  <si>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</si>
  <si>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</si>
  <si>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</si>
  <si>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</si>
  <si>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</si>
  <si>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</si>
  <si>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</si>
  <si>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</si>
  <si>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</si>
  <si>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</si>
  <si>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</si>
  <si>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</si>
  <si>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</si>
  <si>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</si>
  <si>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</si>
  <si>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</si>
  <si>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</si>
  <si>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</si>
  <si>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</si>
  <si>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</si>
  <si>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</si>
  <si>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</si>
  <si>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</si>
  <si>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</si>
  <si>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</si>
  <si>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</si>
  <si>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</si>
  <si>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</si>
  <si>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</si>
  <si>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</si>
  <si>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</si>
  <si>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</si>
  <si>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</si>
  <si>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</si>
  <si>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</si>
  <si>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</si>
  <si>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</si>
  <si>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</si>
  <si>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</si>
  <si>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</si>
  <si>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</si>
  <si>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</si>
  <si>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</si>
  <si>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</si>
  <si>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</si>
  <si>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</si>
  <si>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</si>
  <si>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</si>
  <si>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</si>
  <si>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</si>
  <si>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</si>
  <si>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</si>
  <si>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</si>
  <si>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</si>
  <si>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</si>
  <si>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</si>
  <si>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</si>
  <si>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</si>
  <si>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</si>
  <si>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</si>
  <si>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</si>
  <si>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</si>
  <si>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</si>
  <si>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</si>
  <si>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</si>
  <si>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</si>
  <si>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</si>
  <si>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</si>
  <si>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</si>
  <si>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</si>
  <si>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</si>
  <si>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</si>
  <si>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</si>
  <si>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</si>
  <si>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</si>
  <si>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</si>
  <si>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</si>
  <si>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</si>
  <si>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</si>
  <si>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</si>
  <si>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</si>
  <si>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</si>
  <si>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</si>
  <si>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</si>
  <si>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</si>
  <si>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</si>
  <si>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</si>
  <si>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</si>
  <si>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</si>
  <si>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</si>
  <si>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</si>
  <si>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</si>
  <si>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</si>
  <si>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</si>
  <si>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</si>
  <si>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</si>
  <si>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</si>
  <si>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</si>
  <si>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</si>
  <si>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</si>
  <si>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</si>
  <si>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</si>
  <si>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</si>
  <si>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</si>
  <si>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</si>
  <si>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</si>
  <si>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</si>
  <si>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</si>
  <si>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</si>
  <si>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</si>
  <si>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</si>
  <si>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</si>
  <si>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</si>
  <si>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</si>
  <si>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</si>
  <si>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</si>
  <si>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</si>
  <si>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</si>
  <si>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</si>
  <si>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</si>
  <si>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</si>
  <si>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</si>
  <si>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</si>
  <si>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</si>
  <si>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</si>
  <si>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</si>
  <si>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</si>
  <si>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</si>
  <si>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</si>
  <si>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</si>
  <si>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</si>
  <si>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</si>
  <si>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</si>
  <si>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</si>
  <si>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</si>
  <si>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</si>
  <si>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</si>
  <si>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</si>
  <si>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</si>
  <si>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</si>
  <si>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</si>
  <si>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</si>
  <si>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</si>
  <si>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</si>
  <si>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</si>
  <si>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</si>
  <si>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</si>
  <si>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</si>
  <si>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</si>
  <si>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</si>
  <si>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</si>
  <si>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</si>
  <si>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</si>
  <si>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</si>
  <si>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</si>
  <si>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</si>
  <si>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</si>
  <si>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</si>
  <si>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</si>
  <si>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</si>
  <si>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</si>
  <si>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</si>
  <si>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</si>
  <si>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</si>
  <si>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</si>
  <si>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</si>
  <si>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</si>
  <si>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</si>
  <si>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</si>
  <si>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</si>
  <si>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</si>
  <si>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</si>
  <si>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</si>
  <si>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</si>
  <si>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</si>
  <si>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</si>
  <si>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</si>
  <si>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</si>
  <si>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</si>
  <si>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</si>
  <si>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</si>
  <si>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</si>
  <si>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</si>
  <si>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</si>
  <si>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</si>
  <si>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</si>
  <si>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</si>
  <si>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</si>
  <si>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</si>
  <si>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</si>
  <si>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</si>
  <si>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</si>
  <si>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</si>
  <si>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</si>
  <si>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</si>
  <si>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</si>
  <si>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</si>
  <si>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</si>
  <si>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</si>
  <si>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</si>
  <si>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</si>
  <si>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</si>
  <si>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</si>
  <si>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</si>
  <si>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</si>
  <si>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</si>
  <si>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</si>
  <si>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</si>
  <si>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</si>
  <si>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</si>
  <si>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</si>
  <si>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</si>
  <si>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</si>
  <si>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</si>
  <si>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</si>
  <si>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</si>
  <si>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</si>
  <si>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</si>
  <si>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</si>
  <si>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</si>
  <si>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</si>
  <si>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</si>
  <si>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</si>
  <si>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</si>
  <si>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</si>
  <si>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</si>
  <si>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</si>
  <si>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</si>
  <si>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</si>
  <si>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</si>
  <si>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</si>
  <si>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</si>
  <si>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</si>
  <si>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</si>
  <si>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</si>
  <si>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</si>
  <si>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</si>
  <si>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</si>
  <si>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</si>
  <si>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</si>
  <si>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</si>
  <si>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</si>
  <si>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</si>
  <si>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</si>
  <si>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</si>
  <si>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</si>
  <si>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</si>
  <si>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</si>
  <si>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</si>
  <si>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</si>
  <si>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</si>
  <si>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</si>
  <si>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</si>
  <si>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</si>
  <si>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</si>
  <si>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</si>
  <si>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</si>
  <si>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</si>
  <si>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</si>
  <si>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</si>
  <si>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</si>
  <si>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</si>
  <si>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</si>
  <si>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</si>
  <si>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</si>
  <si>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</si>
  <si>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</si>
  <si>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</si>
  <si>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</si>
  <si>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</si>
  <si>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</si>
  <si>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</si>
  <si>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</si>
  <si>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</si>
  <si>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</si>
  <si>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</si>
  <si>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</si>
  <si>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</si>
  <si>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</si>
  <si>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</si>
  <si>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</si>
  <si>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</si>
  <si>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</si>
  <si>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</si>
  <si>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</si>
  <si>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</si>
  <si>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</si>
  <si>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</si>
  <si>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</si>
  <si>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</si>
  <si>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</si>
  <si>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</si>
  <si>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</si>
  <si>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</si>
  <si>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</si>
  <si>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</si>
  <si>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</si>
  <si>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</si>
  <si>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</si>
  <si>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</si>
  <si>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</si>
  <si>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</si>
  <si>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</si>
  <si>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</si>
  <si>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</si>
  <si>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</si>
  <si>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</si>
  <si>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</si>
  <si>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</si>
  <si>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</si>
  <si>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</si>
  <si>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</si>
  <si>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</si>
  <si>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</si>
  <si>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</si>
  <si>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</si>
  <si>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</si>
  <si>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</si>
  <si>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</si>
  <si>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</si>
  <si>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</si>
  <si>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</si>
  <si>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</si>
  <si>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</si>
  <si>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</si>
  <si>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</si>
  <si>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</si>
  <si>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</si>
  <si>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</si>
  <si>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</si>
  <si>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</si>
  <si>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</si>
  <si>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</si>
  <si>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</si>
  <si>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</si>
  <si>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</si>
  <si>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</si>
  <si>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</si>
  <si>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</si>
  <si>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</si>
  <si>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</si>
  <si>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</si>
  <si>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</si>
  <si>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</si>
  <si>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</si>
  <si>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</si>
  <si>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</si>
  <si>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</si>
  <si>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</si>
  <si>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</si>
  <si>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</si>
  <si>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</si>
  <si>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</si>
  <si>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</si>
  <si>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</si>
  <si>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</si>
  <si>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</si>
  <si>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</si>
  <si>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</si>
  <si>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</si>
  <si>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</si>
  <si>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</si>
  <si>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</si>
  <si>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</si>
  <si>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</si>
  <si>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</si>
  <si>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</si>
  <si>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</si>
  <si>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</si>
  <si>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</si>
  <si>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</si>
  <si>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</si>
  <si>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</si>
  <si>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</si>
  <si>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</si>
  <si>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</si>
  <si>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</si>
  <si>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</si>
  <si>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</si>
  <si>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</si>
  <si>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</si>
  <si>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</si>
  <si>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</si>
  <si>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</si>
  <si>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</si>
  <si>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</si>
  <si>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</si>
  <si>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</si>
  <si>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</si>
  <si>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</si>
  <si>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</si>
  <si>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</si>
  <si>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</si>
  <si>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</si>
  <si>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</si>
  <si>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</si>
  <si>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</si>
  <si>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</si>
  <si>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</si>
  <si>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</si>
  <si>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</si>
  <si>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</si>
  <si>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</si>
  <si>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</si>
  <si>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</si>
  <si>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</si>
  <si>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</si>
  <si>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</si>
  <si>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</si>
  <si>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</si>
  <si>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</si>
  <si>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</si>
  <si>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</si>
  <si>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</si>
  <si>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</si>
  <si>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</si>
  <si>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</si>
  <si>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</si>
  <si>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</si>
  <si>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</si>
  <si>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</si>
  <si>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</si>
  <si>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</si>
  <si>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</si>
  <si>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</si>
  <si>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</si>
  <si>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</si>
  <si>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</si>
  <si>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</si>
  <si>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</si>
  <si>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</si>
  <si>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Room</t>
  </si>
  <si>
    <t>Yes - W&amp;D hookups installed in each unit</t>
  </si>
  <si>
    <t>On-site laundry</t>
  </si>
  <si>
    <t>Agree</t>
  </si>
  <si>
    <t>Covered Porch</t>
  </si>
  <si>
    <t>4% Credit/TE Bond</t>
  </si>
  <si>
    <t>2019PA-563</t>
  </si>
  <si>
    <t>Yes - see Comment</t>
  </si>
  <si>
    <t>Housing Development Corporation</t>
  </si>
  <si>
    <t>E. P. Walker, Jr.</t>
  </si>
  <si>
    <t>President &amp; CEO</t>
  </si>
  <si>
    <t>750 Commerce Drive, Suite 110</t>
  </si>
  <si>
    <t>pete.walker@dekalbhousing.org</t>
  </si>
  <si>
    <t>Enclave at Milledgeville</t>
  </si>
  <si>
    <t>1498 S. Jefferson St.</t>
  </si>
  <si>
    <t>9707</t>
  </si>
  <si>
    <t>In Unincorporated County</t>
  </si>
  <si>
    <t>Baldwin County</t>
  </si>
  <si>
    <t>www.baldwincountyga.com</t>
  </si>
  <si>
    <t>Emily C. Davis</t>
  </si>
  <si>
    <t>District 1 Commissioner</t>
  </si>
  <si>
    <t>121 N. Wilkinson Street, Suite 314</t>
  </si>
  <si>
    <t>ecdavis@baldwincountyga.com</t>
  </si>
  <si>
    <t>40% of Units at 60% of AMI</t>
  </si>
  <si>
    <t>N/a</t>
  </si>
  <si>
    <t>N/A - 4% Bond</t>
  </si>
  <si>
    <t>John Corcoran</t>
  </si>
  <si>
    <t>Interim Executive Director</t>
  </si>
  <si>
    <t>jcorcoran@mhahomes.org</t>
  </si>
  <si>
    <t>www.mhahomes.org</t>
  </si>
  <si>
    <t>Housing Authority of DeKalb County</t>
  </si>
  <si>
    <t>Veranda at Assembly</t>
  </si>
  <si>
    <t xml:space="preserve">E. P. Walker, Jr. </t>
  </si>
  <si>
    <t>President</t>
  </si>
  <si>
    <t>85-0526911</t>
  </si>
  <si>
    <t>For Profit</t>
  </si>
  <si>
    <t>HDC Enclave at Milledgeville GP, LLC</t>
  </si>
  <si>
    <t>RBC Capital Markets</t>
  </si>
  <si>
    <t>Brian Flanagan</t>
  </si>
  <si>
    <t>4720 Piedmont Row Drive, Suite 240</t>
  </si>
  <si>
    <t>Director - Acquisitions</t>
  </si>
  <si>
    <t>Charlotte</t>
  </si>
  <si>
    <t>www.rbccm.com</t>
  </si>
  <si>
    <t>brian.flanagan@rbc.com</t>
  </si>
  <si>
    <t>www.housingdevelopmentcorp.org</t>
  </si>
  <si>
    <t>Bluepoint Construction Southeast</t>
  </si>
  <si>
    <t>bluepointse.com</t>
  </si>
  <si>
    <t>efrayer@bluepointse.com</t>
  </si>
  <si>
    <t>HDC Management</t>
  </si>
  <si>
    <t>Executive Vice President</t>
  </si>
  <si>
    <t>john.corcoran@thehdc.org</t>
  </si>
  <si>
    <t>Coleman Talley LLP</t>
  </si>
  <si>
    <t>3475 Lenox Rd NE, #400</t>
  </si>
  <si>
    <t>L. Lake Jordan</t>
  </si>
  <si>
    <t>Partner</t>
  </si>
  <si>
    <t>lake.jordan@colemantalley.com</t>
  </si>
  <si>
    <t>3560 Lenox Rd NE, #2800</t>
  </si>
  <si>
    <t>www.colemantalley.com</t>
  </si>
  <si>
    <t>www.cohnreznick.com</t>
  </si>
  <si>
    <t>Deanne Rareshide</t>
  </si>
  <si>
    <t>Director</t>
  </si>
  <si>
    <t>CohnReznick LLP</t>
  </si>
  <si>
    <t>Rosemann &amp; Associates</t>
  </si>
  <si>
    <t>3290 Northside Pkwy NW, #850</t>
  </si>
  <si>
    <t>www.rosemann.com</t>
  </si>
  <si>
    <t>Jarrett Cooper</t>
  </si>
  <si>
    <t>Vice President</t>
  </si>
  <si>
    <t>jcooper@rosemann.com</t>
  </si>
  <si>
    <t>Milledgeville Manor Partners, LLC</t>
  </si>
  <si>
    <t>Richard Sims</t>
  </si>
  <si>
    <t>12600 Deerfield Parkway, Suite 100</t>
  </si>
  <si>
    <t>richard.sims@comcast.net</t>
  </si>
  <si>
    <t>Lender Due Diligence Fee</t>
  </si>
  <si>
    <t>DDA/QCT</t>
  </si>
  <si>
    <t>Bank OZK</t>
  </si>
  <si>
    <t xml:space="preserve">HDC </t>
  </si>
  <si>
    <t>HDC</t>
  </si>
  <si>
    <t>Amortizing</t>
  </si>
  <si>
    <t>HUD</t>
  </si>
  <si>
    <t>Acquisition/Rehab</t>
  </si>
  <si>
    <t xml:space="preserve">Novogradac </t>
  </si>
  <si>
    <t>Sumpter Street Station</t>
  </si>
  <si>
    <t>AL Miller Village</t>
  </si>
  <si>
    <t>The Pines at Westdale</t>
  </si>
  <si>
    <t>The attached market study indicated an additonal amenities not required by DCA.  We removed the extra amenitiy to ensure that the project met project cost limits.</t>
  </si>
  <si>
    <t>CBRE Appraisals</t>
  </si>
  <si>
    <t>United Consulting</t>
  </si>
  <si>
    <t>Harry Walls Environmental Consulting</t>
  </si>
  <si>
    <t>Purchase Contract</t>
  </si>
  <si>
    <t>N/Ap</t>
  </si>
  <si>
    <t>This property is located in unincorporated Baldwin County and therefore there is no applicable zoning codes.</t>
  </si>
  <si>
    <t>Atlanta Gas Light</t>
  </si>
  <si>
    <t>Georgia Power</t>
  </si>
  <si>
    <t>Substantial Gut Rehab</t>
  </si>
  <si>
    <t>Baldwin County Water and Sewer</t>
  </si>
  <si>
    <t>CVR and Associates</t>
  </si>
  <si>
    <t>Relocation Specialist</t>
  </si>
  <si>
    <t>Terracon Consultants, Inc.</t>
  </si>
  <si>
    <t>MF</t>
  </si>
  <si>
    <t>HDC Milledgeville Manor LP</t>
  </si>
  <si>
    <t>Presdient &amp; CEO</t>
  </si>
  <si>
    <t>750 Commerce Dr., Suite 110</t>
  </si>
  <si>
    <t xml:space="preserve">Enclave at Milledgeville is a proposed (76-unit) affordable housing redevelopment for families, located at 1498 South Jefferson Street, Milledgeville, Georgia 31061. This project consists of 10 garden style buildings and is located on 8.572 acres of land. The redevelopment plan will focus on a holistic, sustainable real estate development model that will emphasize energy efficiency, healthier resident lifestyles through design and housing that is economically self-sustainable. Once completed, Enclave at Milledgeville will create a community friendly development that will benefit its residents and the surrounding neighborhood. Redevelopment will include an extensive renovation of existing multi-family units and amenity spaces consisting of one- to three-bedroom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t>
  </si>
  <si>
    <t>545 West Martin Luther King Jr. Dr.</t>
  </si>
  <si>
    <t>Indirect</t>
  </si>
  <si>
    <t>E.11) Although Radon was found in some areas, it is below the EPA Action Level and no mitigration is required and no further testing is required.</t>
  </si>
  <si>
    <t>HDC Residential, LLC</t>
  </si>
  <si>
    <t>410 Plasters Ave. NE</t>
  </si>
  <si>
    <t>Ed Frayer</t>
  </si>
  <si>
    <t>3-4 months</t>
  </si>
  <si>
    <t>Jackie Queen/i3pv, LLC</t>
  </si>
  <si>
    <t>Aegon</t>
  </si>
  <si>
    <t>Twain</t>
  </si>
  <si>
    <t>JLL/Freddie Mac</t>
  </si>
  <si>
    <t>PNA/Energy Audit/EarthCraft/Sewer Inspections</t>
  </si>
  <si>
    <t xml:space="preserve">Establised a designated relocation hotline, email. Will also distribute newletters updating residents on renovation and relocation activites. </t>
  </si>
  <si>
    <t>CVR Associates</t>
  </si>
  <si>
    <t>Relocation specialist</t>
  </si>
  <si>
    <t>CVR has over two decades of experience and has built a strong reputation in providing effective consulting services in the area of affordable housing. Their experience includes providing direct counseling and advisory services to residents of Senior and Multifamily properties who are being relocated. A detailed accounting of CVR's background is included in this application (see advisory services biography/letter).</t>
  </si>
  <si>
    <t>Third-party</t>
  </si>
  <si>
    <t>Lender Due Diligence Fee/Perm Loan app Fee 0.10%/Standby Fee 0.10%</t>
  </si>
  <si>
    <t xml:space="preserve">25 (A) We do not anticipate that any residents will be displaced. Relocation activities include onsite relocation and temporary offsite relocation (less than 12 months).  (B)(2): NA - no residents will be displaced as a result of this project. </t>
  </si>
  <si>
    <t>Payroll Burden</t>
  </si>
  <si>
    <t>Bookkeeping/Compliance</t>
  </si>
  <si>
    <t>GP entity name has been changed from HDC Milledgveville Manor GP, LLC to HDC Enclave at Milledgeville GP, LLC. A second GP, HADC Enclave at Milledgeville GP, LLC (affiliated with the Housing Authority of DeKalb County), has been added in the org structure. Certifying for both GP entities is E. P. Walker, Jr. Revised Perf. WB has been included under folder 19 Qualification.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</si>
</sst>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5" fontId="13" fillId="5" borderId="33"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38" fontId="2" fillId="5" borderId="28" xfId="1" applyNumberFormat="1" applyFont="1" applyFill="1" applyBorder="1" applyAlignment="1" applyProtection="1">
      <alignment horizontal="right"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Enclave at Milledgeville</v>
      </c>
    </row>
    <row r="3" spans="1:6" ht="15" customHeight="1">
      <c r="A3" s="983" t="str">
        <f>CONCATENATE('Part I-Project Information'!F38,", ", 'Part I-Project Information'!J39," County")</f>
        <v>Milledgeville, Baldwin County</v>
      </c>
    </row>
    <row r="4" spans="1:6" ht="12" customHeight="1">
      <c r="A4" s="2330"/>
    </row>
    <row r="5" spans="1:6" ht="72" customHeight="1">
      <c r="A5" s="2880" t="s">
        <v>5316</v>
      </c>
      <c r="B5" s="2881" t="s">
        <v>5050</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05" zoomScaleNormal="100" workbookViewId="0">
      <selection activeCell="F223" sqref="F223:G2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2019-5 Enclave at Milledgeville, Milledgeville, Baldwin County</v>
      </c>
      <c r="B1" s="3297"/>
      <c r="C1" s="3297"/>
      <c r="D1" s="3297"/>
      <c r="E1" s="3297"/>
      <c r="F1" s="3297"/>
      <c r="G1" s="3297"/>
      <c r="H1" s="3297"/>
      <c r="I1" s="3297"/>
      <c r="J1" s="3297"/>
      <c r="K1" s="3297"/>
      <c r="L1" s="3297"/>
      <c r="M1" s="3297"/>
      <c r="N1" s="3297"/>
      <c r="O1" s="3297"/>
      <c r="P1" s="3298"/>
      <c r="U1" s="3504" t="str">
        <f>A1</f>
        <v>PART SIX - PROJECTED REVENUES &amp; EXPENSES  -  2019-5 Enclave at Milledgeville, Milledgeville, Baldwin County</v>
      </c>
      <c r="V1" s="350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2439</v>
      </c>
      <c r="IF3" s="516" t="s">
        <v>2440</v>
      </c>
      <c r="IG3" s="516" t="s">
        <v>2441</v>
      </c>
      <c r="IH3" s="516" t="s">
        <v>2442</v>
      </c>
      <c r="II3" s="516" t="s">
        <v>485</v>
      </c>
      <c r="IJ3" s="516" t="s">
        <v>2439</v>
      </c>
      <c r="IK3" s="516" t="s">
        <v>2440</v>
      </c>
      <c r="IL3" s="516" t="s">
        <v>2441</v>
      </c>
      <c r="IM3" s="516" t="s">
        <v>2442</v>
      </c>
      <c r="IN3" s="2713"/>
      <c r="IO3" s="2713"/>
      <c r="IP3" s="2713"/>
      <c r="IQ3" s="2713"/>
      <c r="IR3" s="2713"/>
      <c r="IS3" s="2713"/>
      <c r="IT3" s="2713"/>
      <c r="IU3" s="2713"/>
      <c r="IV3" s="2713"/>
      <c r="IW3" s="2713"/>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2" t="s">
        <v>3422</v>
      </c>
      <c r="MF3" s="3502" t="s">
        <v>3423</v>
      </c>
      <c r="MG3" s="3502" t="s">
        <v>3424</v>
      </c>
      <c r="MH3" s="3502" t="s">
        <v>3425</v>
      </c>
      <c r="MI3" s="3502"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6" t="s">
        <v>3699</v>
      </c>
      <c r="Q4" s="1254"/>
      <c r="R4" s="479"/>
      <c r="S4" s="479"/>
      <c r="T4" s="479"/>
      <c r="U4" s="479"/>
      <c r="V4" s="480"/>
      <c r="W4" s="3503" t="s">
        <v>4626</v>
      </c>
      <c r="X4" s="3503" t="s">
        <v>4627</v>
      </c>
      <c r="Y4" s="3503" t="s">
        <v>4628</v>
      </c>
      <c r="Z4" s="3503" t="s">
        <v>4629</v>
      </c>
      <c r="AA4" s="3503" t="s">
        <v>4630</v>
      </c>
      <c r="AB4" s="3503" t="s">
        <v>4631</v>
      </c>
      <c r="AC4" s="3503" t="s">
        <v>4632</v>
      </c>
      <c r="AD4" s="3503" t="s">
        <v>4633</v>
      </c>
      <c r="AE4" s="3503" t="s">
        <v>4634</v>
      </c>
      <c r="AF4" s="3503" t="s">
        <v>4635</v>
      </c>
      <c r="AG4" s="3503" t="s">
        <v>919</v>
      </c>
      <c r="AH4" s="3503" t="s">
        <v>756</v>
      </c>
      <c r="AI4" s="3503" t="s">
        <v>757</v>
      </c>
      <c r="AJ4" s="3503" t="s">
        <v>758</v>
      </c>
      <c r="AK4" s="3503" t="s">
        <v>759</v>
      </c>
      <c r="AL4" s="3503" t="s">
        <v>920</v>
      </c>
      <c r="AM4" s="3503" t="s">
        <v>2310</v>
      </c>
      <c r="AN4" s="3503" t="s">
        <v>2311</v>
      </c>
      <c r="AO4" s="3503" t="s">
        <v>2312</v>
      </c>
      <c r="AP4" s="3503" t="s">
        <v>2313</v>
      </c>
      <c r="AQ4" s="3503" t="s">
        <v>4637</v>
      </c>
      <c r="AR4" s="3503" t="s">
        <v>4638</v>
      </c>
      <c r="AS4" s="3503" t="s">
        <v>4639</v>
      </c>
      <c r="AT4" s="3503" t="s">
        <v>4640</v>
      </c>
      <c r="AU4" s="3503" t="s">
        <v>4636</v>
      </c>
      <c r="AV4" s="3503" t="s">
        <v>921</v>
      </c>
      <c r="AW4" s="3503" t="s">
        <v>2314</v>
      </c>
      <c r="AX4" s="3503" t="s">
        <v>2315</v>
      </c>
      <c r="AY4" s="3503" t="s">
        <v>2316</v>
      </c>
      <c r="AZ4" s="3503" t="s">
        <v>2317</v>
      </c>
      <c r="BA4" s="3503" t="s">
        <v>4641</v>
      </c>
      <c r="BB4" s="3503" t="s">
        <v>4642</v>
      </c>
      <c r="BC4" s="3503" t="s">
        <v>4643</v>
      </c>
      <c r="BD4" s="3503" t="s">
        <v>4644</v>
      </c>
      <c r="BE4" s="3503" t="s">
        <v>4645</v>
      </c>
      <c r="BF4" s="3503" t="s">
        <v>129</v>
      </c>
      <c r="BG4" s="3503" t="s">
        <v>2318</v>
      </c>
      <c r="BH4" s="3503" t="s">
        <v>2319</v>
      </c>
      <c r="BI4" s="3503" t="s">
        <v>2320</v>
      </c>
      <c r="BJ4" s="3503" t="s">
        <v>1148</v>
      </c>
      <c r="BK4" s="3503" t="s">
        <v>4646</v>
      </c>
      <c r="BL4" s="3503" t="s">
        <v>4647</v>
      </c>
      <c r="BM4" s="3503" t="s">
        <v>4648</v>
      </c>
      <c r="BN4" s="3503" t="s">
        <v>4649</v>
      </c>
      <c r="BO4" s="3503" t="s">
        <v>4650</v>
      </c>
      <c r="BP4" s="3503" t="s">
        <v>556</v>
      </c>
      <c r="BQ4" s="3503" t="s">
        <v>557</v>
      </c>
      <c r="BR4" s="3503" t="s">
        <v>577</v>
      </c>
      <c r="BS4" s="3503" t="s">
        <v>578</v>
      </c>
      <c r="BT4" s="3503" t="s">
        <v>579</v>
      </c>
      <c r="BU4" s="3503" t="s">
        <v>4651</v>
      </c>
      <c r="BV4" s="3503" t="s">
        <v>4652</v>
      </c>
      <c r="BW4" s="3503" t="s">
        <v>4653</v>
      </c>
      <c r="BX4" s="3503" t="s">
        <v>4654</v>
      </c>
      <c r="BY4" s="3503" t="s">
        <v>4655</v>
      </c>
      <c r="BZ4" s="3503" t="s">
        <v>580</v>
      </c>
      <c r="CA4" s="3503" t="s">
        <v>581</v>
      </c>
      <c r="CB4" s="3503" t="s">
        <v>582</v>
      </c>
      <c r="CC4" s="3503" t="s">
        <v>583</v>
      </c>
      <c r="CD4" s="3503" t="s">
        <v>584</v>
      </c>
      <c r="CE4" s="3503" t="s">
        <v>585</v>
      </c>
      <c r="CF4" s="3503" t="s">
        <v>586</v>
      </c>
      <c r="CG4" s="3503" t="s">
        <v>931</v>
      </c>
      <c r="CH4" s="3503" t="s">
        <v>932</v>
      </c>
      <c r="CI4" s="3503" t="s">
        <v>933</v>
      </c>
      <c r="CJ4" s="3503" t="s">
        <v>4661</v>
      </c>
      <c r="CK4" s="3503" t="s">
        <v>4662</v>
      </c>
      <c r="CL4" s="3503" t="s">
        <v>4663</v>
      </c>
      <c r="CM4" s="3503" t="s">
        <v>4664</v>
      </c>
      <c r="CN4" s="3503" t="s">
        <v>4665</v>
      </c>
      <c r="CO4" s="3503" t="s">
        <v>4656</v>
      </c>
      <c r="CP4" s="3503" t="s">
        <v>4657</v>
      </c>
      <c r="CQ4" s="3503" t="s">
        <v>4658</v>
      </c>
      <c r="CR4" s="3503" t="s">
        <v>4659</v>
      </c>
      <c r="CS4" s="3503" t="s">
        <v>4660</v>
      </c>
      <c r="CT4" s="3503" t="s">
        <v>4666</v>
      </c>
      <c r="CU4" s="3503" t="s">
        <v>4667</v>
      </c>
      <c r="CV4" s="3503" t="s">
        <v>4668</v>
      </c>
      <c r="CW4" s="3503" t="s">
        <v>4669</v>
      </c>
      <c r="CX4" s="3503" t="s">
        <v>4670</v>
      </c>
      <c r="CY4" s="3503" t="s">
        <v>496</v>
      </c>
      <c r="CZ4" s="3503" t="s">
        <v>497</v>
      </c>
      <c r="DA4" s="3503" t="s">
        <v>498</v>
      </c>
      <c r="DB4" s="3503" t="s">
        <v>499</v>
      </c>
      <c r="DC4" s="3503" t="s">
        <v>500</v>
      </c>
      <c r="DD4" s="3503" t="s">
        <v>4671</v>
      </c>
      <c r="DE4" s="3503" t="s">
        <v>4672</v>
      </c>
      <c r="DF4" s="3503" t="s">
        <v>4673</v>
      </c>
      <c r="DG4" s="3503" t="s">
        <v>4674</v>
      </c>
      <c r="DH4" s="3503" t="s">
        <v>4675</v>
      </c>
      <c r="DI4" s="3503" t="s">
        <v>880</v>
      </c>
      <c r="DJ4" s="3503" t="s">
        <v>881</v>
      </c>
      <c r="DK4" s="3503" t="s">
        <v>882</v>
      </c>
      <c r="DL4" s="3503" t="s">
        <v>883</v>
      </c>
      <c r="DM4" s="3503" t="s">
        <v>884</v>
      </c>
      <c r="DN4" s="3503" t="s">
        <v>885</v>
      </c>
      <c r="DO4" s="3503" t="s">
        <v>886</v>
      </c>
      <c r="DP4" s="3503" t="s">
        <v>887</v>
      </c>
      <c r="DQ4" s="3503" t="s">
        <v>888</v>
      </c>
      <c r="DR4" s="3503" t="s">
        <v>889</v>
      </c>
      <c r="DS4" s="3503" t="s">
        <v>4676</v>
      </c>
      <c r="DT4" s="3503" t="s">
        <v>4677</v>
      </c>
      <c r="DU4" s="3503" t="s">
        <v>4678</v>
      </c>
      <c r="DV4" s="3503" t="s">
        <v>4679</v>
      </c>
      <c r="DW4" s="3503" t="s">
        <v>4680</v>
      </c>
      <c r="DX4" s="3503" t="s">
        <v>4681</v>
      </c>
      <c r="DY4" s="3503" t="s">
        <v>4682</v>
      </c>
      <c r="DZ4" s="3503" t="s">
        <v>4683</v>
      </c>
      <c r="EA4" s="3503" t="s">
        <v>4684</v>
      </c>
      <c r="EB4" s="3503" t="s">
        <v>4685</v>
      </c>
      <c r="EC4" s="3503" t="s">
        <v>2429</v>
      </c>
      <c r="ED4" s="3503" t="s">
        <v>2430</v>
      </c>
      <c r="EE4" s="3503" t="s">
        <v>2431</v>
      </c>
      <c r="EF4" s="3503" t="s">
        <v>2432</v>
      </c>
      <c r="EG4" s="3503" t="s">
        <v>2433</v>
      </c>
      <c r="EH4" s="3503" t="s">
        <v>4686</v>
      </c>
      <c r="EI4" s="3503" t="s">
        <v>4687</v>
      </c>
      <c r="EJ4" s="3503" t="s">
        <v>4688</v>
      </c>
      <c r="EK4" s="3503" t="s">
        <v>4689</v>
      </c>
      <c r="EL4" s="3503" t="s">
        <v>4690</v>
      </c>
      <c r="EM4" s="3503" t="s">
        <v>4691</v>
      </c>
      <c r="EN4" s="3503" t="s">
        <v>4692</v>
      </c>
      <c r="EO4" s="3503" t="s">
        <v>4693</v>
      </c>
      <c r="EP4" s="3503" t="s">
        <v>4694</v>
      </c>
      <c r="EQ4" s="3503" t="s">
        <v>4695</v>
      </c>
      <c r="ER4" s="3502" t="s">
        <v>117</v>
      </c>
      <c r="ES4" s="3502" t="s">
        <v>1151</v>
      </c>
      <c r="ET4" s="3502" t="s">
        <v>1152</v>
      </c>
      <c r="EU4" s="3502" t="s">
        <v>1213</v>
      </c>
      <c r="EV4" s="3502" t="s">
        <v>1214</v>
      </c>
      <c r="EW4" s="3502" t="s">
        <v>132</v>
      </c>
      <c r="EX4" s="3502" t="s">
        <v>1215</v>
      </c>
      <c r="EY4" s="3502" t="s">
        <v>1216</v>
      </c>
      <c r="EZ4" s="3502" t="s">
        <v>1217</v>
      </c>
      <c r="FA4" s="3502" t="s">
        <v>1218</v>
      </c>
      <c r="FB4" s="3503" t="s">
        <v>4696</v>
      </c>
      <c r="FC4" s="3503" t="s">
        <v>4697</v>
      </c>
      <c r="FD4" s="3503" t="s">
        <v>4698</v>
      </c>
      <c r="FE4" s="3503" t="s">
        <v>4699</v>
      </c>
      <c r="FF4" s="3503" t="s">
        <v>4700</v>
      </c>
      <c r="FG4" s="3502" t="s">
        <v>131</v>
      </c>
      <c r="FH4" s="3502" t="s">
        <v>911</v>
      </c>
      <c r="FI4" s="3502" t="s">
        <v>912</v>
      </c>
      <c r="FJ4" s="3502" t="s">
        <v>913</v>
      </c>
      <c r="FK4" s="3502" t="s">
        <v>914</v>
      </c>
      <c r="FL4" s="3503" t="s">
        <v>4701</v>
      </c>
      <c r="FM4" s="3503" t="s">
        <v>4702</v>
      </c>
      <c r="FN4" s="3503" t="s">
        <v>4703</v>
      </c>
      <c r="FO4" s="3503" t="s">
        <v>4704</v>
      </c>
      <c r="FP4" s="3503" t="s">
        <v>4705</v>
      </c>
      <c r="FQ4" s="3502" t="s">
        <v>130</v>
      </c>
      <c r="FR4" s="3502" t="s">
        <v>915</v>
      </c>
      <c r="FS4" s="3502" t="s">
        <v>916</v>
      </c>
      <c r="FT4" s="3502" t="s">
        <v>917</v>
      </c>
      <c r="FU4" s="3502" t="s">
        <v>918</v>
      </c>
      <c r="FV4" s="3502" t="s">
        <v>809</v>
      </c>
      <c r="FW4" s="3502" t="s">
        <v>810</v>
      </c>
      <c r="FX4" s="3502" t="s">
        <v>811</v>
      </c>
      <c r="FY4" s="3502" t="s">
        <v>812</v>
      </c>
      <c r="FZ4" s="3502" t="s">
        <v>813</v>
      </c>
      <c r="GA4" s="3502" t="s">
        <v>957</v>
      </c>
      <c r="GB4" s="3502" t="s">
        <v>958</v>
      </c>
      <c r="GC4" s="3502" t="s">
        <v>959</v>
      </c>
      <c r="GD4" s="3502" t="s">
        <v>960</v>
      </c>
      <c r="GE4" s="3502" t="s">
        <v>2428</v>
      </c>
      <c r="GF4" s="3502" t="s">
        <v>1433</v>
      </c>
      <c r="GG4" s="3502" t="s">
        <v>1434</v>
      </c>
      <c r="GH4" s="3502" t="s">
        <v>1435</v>
      </c>
      <c r="GI4" s="3502" t="s">
        <v>1436</v>
      </c>
      <c r="GJ4" s="3502" t="s">
        <v>1437</v>
      </c>
      <c r="GK4" s="3502" t="s">
        <v>436</v>
      </c>
      <c r="GL4" s="3502" t="s">
        <v>437</v>
      </c>
      <c r="GM4" s="3502" t="s">
        <v>438</v>
      </c>
      <c r="GN4" s="3502" t="s">
        <v>439</v>
      </c>
      <c r="GO4" s="3502" t="s">
        <v>440</v>
      </c>
      <c r="GP4" s="3502" t="s">
        <v>17</v>
      </c>
      <c r="GQ4" s="3502" t="s">
        <v>18</v>
      </c>
      <c r="GR4" s="3502" t="s">
        <v>19</v>
      </c>
      <c r="GS4" s="3502" t="s">
        <v>20</v>
      </c>
      <c r="GT4" s="3502" t="s">
        <v>21</v>
      </c>
      <c r="GU4" s="3502" t="s">
        <v>222</v>
      </c>
      <c r="GV4" s="3502" t="s">
        <v>223</v>
      </c>
      <c r="GW4" s="3502" t="s">
        <v>224</v>
      </c>
      <c r="GX4" s="3502" t="s">
        <v>1811</v>
      </c>
      <c r="GY4" s="3502" t="s">
        <v>1812</v>
      </c>
      <c r="GZ4" s="3502" t="s">
        <v>1813</v>
      </c>
      <c r="HA4" s="3502" t="s">
        <v>592</v>
      </c>
      <c r="HB4" s="3502" t="s">
        <v>593</v>
      </c>
      <c r="HC4" s="3502" t="s">
        <v>594</v>
      </c>
      <c r="HD4" s="3502" t="s">
        <v>595</v>
      </c>
      <c r="HE4" s="3502" t="s">
        <v>22</v>
      </c>
      <c r="HF4" s="3502" t="s">
        <v>23</v>
      </c>
      <c r="HG4" s="3502" t="s">
        <v>24</v>
      </c>
      <c r="HH4" s="3502" t="s">
        <v>25</v>
      </c>
      <c r="HI4" s="3502" t="s">
        <v>26</v>
      </c>
      <c r="HJ4" s="3502" t="s">
        <v>495</v>
      </c>
      <c r="HK4" s="3502" t="s">
        <v>432</v>
      </c>
      <c r="HL4" s="3502" t="s">
        <v>433</v>
      </c>
      <c r="HM4" s="3502" t="s">
        <v>434</v>
      </c>
      <c r="HN4" s="3502" t="s">
        <v>435</v>
      </c>
      <c r="HO4" s="3502" t="s">
        <v>2208</v>
      </c>
      <c r="HP4" s="3502" t="s">
        <v>2209</v>
      </c>
      <c r="HQ4" s="3502" t="s">
        <v>2210</v>
      </c>
      <c r="HR4" s="3502" t="s">
        <v>1479</v>
      </c>
      <c r="HS4" s="3502" t="s">
        <v>1480</v>
      </c>
      <c r="HT4" s="3502" t="s">
        <v>27</v>
      </c>
      <c r="HU4" s="3502" t="s">
        <v>28</v>
      </c>
      <c r="HV4" s="3502" t="s">
        <v>29</v>
      </c>
      <c r="HW4" s="3502" t="s">
        <v>30</v>
      </c>
      <c r="HX4" s="3502"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2" t="s">
        <v>1625</v>
      </c>
      <c r="LG4" s="3502" t="s">
        <v>2522</v>
      </c>
      <c r="LH4" s="3502" t="s">
        <v>2523</v>
      </c>
      <c r="LI4" s="3502" t="s">
        <v>386</v>
      </c>
      <c r="LJ4" s="3502" t="s">
        <v>387</v>
      </c>
      <c r="LK4" s="3502" t="s">
        <v>388</v>
      </c>
      <c r="LL4" s="3502" t="s">
        <v>389</v>
      </c>
      <c r="LM4" s="3502" t="s">
        <v>390</v>
      </c>
      <c r="LN4" s="3502" t="s">
        <v>391</v>
      </c>
      <c r="LO4" s="3502" t="s">
        <v>392</v>
      </c>
      <c r="LP4" s="3502" t="s">
        <v>202</v>
      </c>
      <c r="LQ4" s="3502" t="s">
        <v>203</v>
      </c>
      <c r="LR4" s="3502" t="s">
        <v>204</v>
      </c>
      <c r="LS4" s="3502" t="s">
        <v>205</v>
      </c>
      <c r="LT4" s="3502" t="s">
        <v>206</v>
      </c>
      <c r="LU4" s="3502" t="s">
        <v>207</v>
      </c>
      <c r="LV4" s="3502" t="s">
        <v>208</v>
      </c>
      <c r="LW4" s="3502" t="s">
        <v>209</v>
      </c>
      <c r="LX4" s="3502" t="s">
        <v>210</v>
      </c>
      <c r="LY4" s="3502" t="s">
        <v>211</v>
      </c>
      <c r="LZ4" s="3502" t="s">
        <v>212</v>
      </c>
      <c r="MA4" s="3502" t="s">
        <v>213</v>
      </c>
      <c r="MB4" s="3502" t="s">
        <v>214</v>
      </c>
      <c r="MC4" s="3502" t="s">
        <v>215</v>
      </c>
      <c r="MD4" s="3502" t="s">
        <v>216</v>
      </c>
      <c r="ME4" s="3502"/>
      <c r="MF4" s="3502"/>
      <c r="MG4" s="3502"/>
      <c r="MH4" s="3502"/>
      <c r="MI4" s="3502"/>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8" t="str">
        <f>IF(A48&gt;0,"Finish Row!","")</f>
        <v/>
      </c>
      <c r="B5" s="4" t="s">
        <v>1846</v>
      </c>
      <c r="D5" s="1"/>
      <c r="E5" s="4"/>
      <c r="F5" s="1"/>
      <c r="G5" s="2542" t="s">
        <v>201</v>
      </c>
      <c r="J5" s="1255" t="s">
        <v>3564</v>
      </c>
      <c r="K5" s="3509" t="str">
        <f>'Part I-Project Information'!$B$6</f>
        <v>May 2019 Final</v>
      </c>
      <c r="L5" s="3510"/>
      <c r="M5" s="1260" t="s">
        <v>576</v>
      </c>
      <c r="O5" s="1257" t="s">
        <v>4721</v>
      </c>
      <c r="P5" s="3506"/>
      <c r="Q5" s="1254"/>
      <c r="R5" s="96"/>
      <c r="S5" s="96"/>
      <c r="T5" s="96"/>
      <c r="W5" s="3503"/>
      <c r="X5" s="3503"/>
      <c r="Y5" s="3503"/>
      <c r="Z5" s="3503"/>
      <c r="AA5" s="3503"/>
      <c r="AB5" s="3503"/>
      <c r="AC5" s="3503"/>
      <c r="AD5" s="3503"/>
      <c r="AE5" s="3503"/>
      <c r="AF5" s="3503"/>
      <c r="AG5" s="3503"/>
      <c r="AH5" s="3503"/>
      <c r="AI5" s="3503"/>
      <c r="AJ5" s="3503"/>
      <c r="AK5" s="3503"/>
      <c r="AL5" s="3503"/>
      <c r="AM5" s="3503"/>
      <c r="AN5" s="3503"/>
      <c r="AO5" s="3503"/>
      <c r="AP5" s="3503"/>
      <c r="AQ5" s="3503"/>
      <c r="AR5" s="3503"/>
      <c r="AS5" s="3503"/>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c r="BP5" s="3503"/>
      <c r="BQ5" s="3503"/>
      <c r="BR5" s="3503"/>
      <c r="BS5" s="3503"/>
      <c r="BT5" s="3503"/>
      <c r="BU5" s="3503"/>
      <c r="BV5" s="3503"/>
      <c r="BW5" s="3503"/>
      <c r="BX5" s="3503"/>
      <c r="BY5" s="3503"/>
      <c r="BZ5" s="3503"/>
      <c r="CA5" s="3503"/>
      <c r="CB5" s="3503"/>
      <c r="CC5" s="3503"/>
      <c r="CD5" s="3503"/>
      <c r="CE5" s="3503"/>
      <c r="CF5" s="3503"/>
      <c r="CG5" s="3503"/>
      <c r="CH5" s="3503"/>
      <c r="CI5" s="3503"/>
      <c r="CJ5" s="3503"/>
      <c r="CK5" s="3503"/>
      <c r="CL5" s="3503"/>
      <c r="CM5" s="3503"/>
      <c r="CN5" s="3503"/>
      <c r="CO5" s="3503"/>
      <c r="CP5" s="3503"/>
      <c r="CQ5" s="3503"/>
      <c r="CR5" s="3503"/>
      <c r="CS5" s="3503"/>
      <c r="CT5" s="3503"/>
      <c r="CU5" s="3503"/>
      <c r="CV5" s="3503"/>
      <c r="CW5" s="3503"/>
      <c r="CX5" s="3503"/>
      <c r="CY5" s="3503"/>
      <c r="CZ5" s="3503"/>
      <c r="DA5" s="3503"/>
      <c r="DB5" s="3503"/>
      <c r="DC5" s="3503"/>
      <c r="DD5" s="3503"/>
      <c r="DE5" s="3503"/>
      <c r="DF5" s="3503"/>
      <c r="DG5" s="3503"/>
      <c r="DH5" s="3503"/>
      <c r="DI5" s="3503"/>
      <c r="DJ5" s="3503"/>
      <c r="DK5" s="3503"/>
      <c r="DL5" s="3503"/>
      <c r="DM5" s="3503"/>
      <c r="DN5" s="3503"/>
      <c r="DO5" s="3503"/>
      <c r="DP5" s="3503"/>
      <c r="DQ5" s="3503"/>
      <c r="DR5" s="3503"/>
      <c r="DS5" s="3503"/>
      <c r="DT5" s="3503"/>
      <c r="DU5" s="3503"/>
      <c r="DV5" s="3503"/>
      <c r="DW5" s="3503"/>
      <c r="DX5" s="3503"/>
      <c r="DY5" s="3503"/>
      <c r="DZ5" s="3503"/>
      <c r="EA5" s="3503"/>
      <c r="EB5" s="3503"/>
      <c r="EC5" s="3503"/>
      <c r="ED5" s="3503"/>
      <c r="EE5" s="3503"/>
      <c r="EF5" s="3503"/>
      <c r="EG5" s="3503"/>
      <c r="EH5" s="3503"/>
      <c r="EI5" s="3503"/>
      <c r="EJ5" s="3503"/>
      <c r="EK5" s="3503"/>
      <c r="EL5" s="3503"/>
      <c r="EM5" s="3503"/>
      <c r="EN5" s="3503"/>
      <c r="EO5" s="3503"/>
      <c r="EP5" s="3503"/>
      <c r="EQ5" s="3503"/>
      <c r="ER5" s="3502"/>
      <c r="ES5" s="3502"/>
      <c r="ET5" s="3502"/>
      <c r="EU5" s="3502"/>
      <c r="EV5" s="3502"/>
      <c r="EW5" s="3502"/>
      <c r="EX5" s="3502"/>
      <c r="EY5" s="3502"/>
      <c r="EZ5" s="3502"/>
      <c r="FA5" s="3502"/>
      <c r="FB5" s="3503"/>
      <c r="FC5" s="3503"/>
      <c r="FD5" s="3503"/>
      <c r="FE5" s="3503"/>
      <c r="FF5" s="3503"/>
      <c r="FG5" s="3502"/>
      <c r="FH5" s="3502"/>
      <c r="FI5" s="3502"/>
      <c r="FJ5" s="3502"/>
      <c r="FK5" s="3502"/>
      <c r="FL5" s="3503"/>
      <c r="FM5" s="3503"/>
      <c r="FN5" s="3503"/>
      <c r="FO5" s="3503"/>
      <c r="FP5" s="3503"/>
      <c r="FQ5" s="3502"/>
      <c r="FR5" s="3502"/>
      <c r="FS5" s="3502"/>
      <c r="FT5" s="3502"/>
      <c r="FU5" s="3502"/>
      <c r="FV5" s="3502"/>
      <c r="FW5" s="3502"/>
      <c r="FX5" s="3502"/>
      <c r="FY5" s="3502"/>
      <c r="FZ5" s="3502"/>
      <c r="GA5" s="3502"/>
      <c r="GB5" s="3502"/>
      <c r="GC5" s="3502"/>
      <c r="GD5" s="3502"/>
      <c r="GE5" s="3502"/>
      <c r="GF5" s="3502"/>
      <c r="GG5" s="3502"/>
      <c r="GH5" s="3502"/>
      <c r="GI5" s="3502"/>
      <c r="GJ5" s="3502"/>
      <c r="GK5" s="3502"/>
      <c r="GL5" s="3502"/>
      <c r="GM5" s="3502"/>
      <c r="GN5" s="3502"/>
      <c r="GO5" s="3502"/>
      <c r="GP5" s="3502"/>
      <c r="GQ5" s="3502"/>
      <c r="GR5" s="3502"/>
      <c r="GS5" s="3502"/>
      <c r="GT5" s="3502"/>
      <c r="GU5" s="3502"/>
      <c r="GV5" s="3502"/>
      <c r="GW5" s="3502"/>
      <c r="GX5" s="3502"/>
      <c r="GY5" s="3502"/>
      <c r="GZ5" s="3502"/>
      <c r="HA5" s="3502"/>
      <c r="HB5" s="3502"/>
      <c r="HC5" s="3502"/>
      <c r="HD5" s="3502"/>
      <c r="HE5" s="3502"/>
      <c r="HF5" s="3502"/>
      <c r="HG5" s="3502"/>
      <c r="HH5" s="3502"/>
      <c r="HI5" s="3502"/>
      <c r="HJ5" s="3502"/>
      <c r="HK5" s="3502"/>
      <c r="HL5" s="3502"/>
      <c r="HM5" s="3502"/>
      <c r="HN5" s="3502"/>
      <c r="HO5" s="3502"/>
      <c r="HP5" s="3502"/>
      <c r="HQ5" s="3502"/>
      <c r="HR5" s="3502"/>
      <c r="HS5" s="3502"/>
      <c r="HT5" s="3502"/>
      <c r="HU5" s="3502"/>
      <c r="HV5" s="3502"/>
      <c r="HW5" s="3502"/>
      <c r="HX5" s="3502"/>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2"/>
      <c r="LG5" s="3502"/>
      <c r="LH5" s="3502"/>
      <c r="LI5" s="3502"/>
      <c r="LJ5" s="3502"/>
      <c r="LK5" s="3502"/>
      <c r="LL5" s="3502"/>
      <c r="LM5" s="3502"/>
      <c r="LN5" s="3502"/>
      <c r="LO5" s="3502"/>
      <c r="LP5" s="3502"/>
      <c r="LQ5" s="3502"/>
      <c r="LR5" s="3502"/>
      <c r="LS5" s="3502"/>
      <c r="LT5" s="3502"/>
      <c r="LU5" s="3502"/>
      <c r="LV5" s="3502"/>
      <c r="LW5" s="3502"/>
      <c r="LX5" s="3502"/>
      <c r="LY5" s="3502"/>
      <c r="LZ5" s="3502"/>
      <c r="MA5" s="3502"/>
      <c r="MB5" s="3502"/>
      <c r="MC5" s="3502"/>
      <c r="MD5" s="3502"/>
      <c r="ME5" s="3502"/>
      <c r="MF5" s="3502"/>
      <c r="MG5" s="3502"/>
      <c r="MH5" s="3502"/>
      <c r="MI5" s="3502"/>
      <c r="MJ5" s="3515" t="s">
        <v>3417</v>
      </c>
      <c r="MK5" s="3515" t="s">
        <v>3418</v>
      </c>
      <c r="ML5" s="3515" t="s">
        <v>3419</v>
      </c>
      <c r="MM5" s="3515" t="s">
        <v>3420</v>
      </c>
      <c r="MN5" s="3515" t="s">
        <v>3421</v>
      </c>
      <c r="MO5" s="3502" t="s">
        <v>3431</v>
      </c>
      <c r="MP5" s="3502" t="s">
        <v>3433</v>
      </c>
      <c r="MQ5" s="3502" t="s">
        <v>3434</v>
      </c>
      <c r="MR5" s="3502" t="s">
        <v>3435</v>
      </c>
      <c r="MS5" s="3502"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8"/>
      <c r="B6" s="29" t="s">
        <v>1805</v>
      </c>
      <c r="D6" s="1"/>
      <c r="E6" s="4"/>
      <c r="F6" s="2639" t="s">
        <v>2989</v>
      </c>
      <c r="G6" s="1255" t="s">
        <v>3664</v>
      </c>
      <c r="H6" s="3506" t="s">
        <v>3891</v>
      </c>
      <c r="I6" s="1255" t="s">
        <v>798</v>
      </c>
      <c r="J6" s="1255" t="s">
        <v>3667</v>
      </c>
      <c r="K6" s="3510"/>
      <c r="L6" s="3510"/>
      <c r="M6" s="3505" t="str">
        <f>'Part I-Project Information'!$O$40</f>
        <v>Baldwin Co.</v>
      </c>
      <c r="N6" s="3505"/>
      <c r="O6" s="995">
        <f>VLOOKUP('Part I-Project Information'!$O$40,'DCA Underwriting Assumptions'!$C$158:$D$268,2)</f>
        <v>51500</v>
      </c>
      <c r="P6" s="3506"/>
      <c r="Q6" s="1254"/>
      <c r="R6" s="96"/>
      <c r="S6" s="3513" t="s">
        <v>2697</v>
      </c>
      <c r="T6" s="3513"/>
      <c r="W6" s="3503"/>
      <c r="X6" s="3503"/>
      <c r="Y6" s="3503"/>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3"/>
      <c r="BM6" s="3503"/>
      <c r="BN6" s="3503"/>
      <c r="BO6" s="3503"/>
      <c r="BP6" s="3503"/>
      <c r="BQ6" s="3503"/>
      <c r="BR6" s="3503"/>
      <c r="BS6" s="3503"/>
      <c r="BT6" s="3503"/>
      <c r="BU6" s="3503"/>
      <c r="BV6" s="3503"/>
      <c r="BW6" s="3503"/>
      <c r="BX6" s="3503"/>
      <c r="BY6" s="3503"/>
      <c r="BZ6" s="3503"/>
      <c r="CA6" s="3503"/>
      <c r="CB6" s="3503"/>
      <c r="CC6" s="3503"/>
      <c r="CD6" s="3503"/>
      <c r="CE6" s="3503"/>
      <c r="CF6" s="3503"/>
      <c r="CG6" s="3503"/>
      <c r="CH6" s="3503"/>
      <c r="CI6" s="3503"/>
      <c r="CJ6" s="3503"/>
      <c r="CK6" s="3503"/>
      <c r="CL6" s="3503"/>
      <c r="CM6" s="3503"/>
      <c r="CN6" s="3503"/>
      <c r="CO6" s="3503"/>
      <c r="CP6" s="3503"/>
      <c r="CQ6" s="3503"/>
      <c r="CR6" s="3503"/>
      <c r="CS6" s="3503"/>
      <c r="CT6" s="3503"/>
      <c r="CU6" s="3503"/>
      <c r="CV6" s="3503"/>
      <c r="CW6" s="3503"/>
      <c r="CX6" s="3503"/>
      <c r="CY6" s="3503"/>
      <c r="CZ6" s="3503"/>
      <c r="DA6" s="3503"/>
      <c r="DB6" s="3503"/>
      <c r="DC6" s="3503"/>
      <c r="DD6" s="3503"/>
      <c r="DE6" s="3503"/>
      <c r="DF6" s="3503"/>
      <c r="DG6" s="3503"/>
      <c r="DH6" s="3503"/>
      <c r="DI6" s="3503"/>
      <c r="DJ6" s="3503"/>
      <c r="DK6" s="3503"/>
      <c r="DL6" s="3503"/>
      <c r="DM6" s="3503"/>
      <c r="DN6" s="3503"/>
      <c r="DO6" s="3503"/>
      <c r="DP6" s="3503"/>
      <c r="DQ6" s="3503"/>
      <c r="DR6" s="3503"/>
      <c r="DS6" s="3503"/>
      <c r="DT6" s="3503"/>
      <c r="DU6" s="3503"/>
      <c r="DV6" s="3503"/>
      <c r="DW6" s="3503"/>
      <c r="DX6" s="3503"/>
      <c r="DY6" s="3503"/>
      <c r="DZ6" s="3503"/>
      <c r="EA6" s="3503"/>
      <c r="EB6" s="3503"/>
      <c r="EC6" s="3503"/>
      <c r="ED6" s="3503"/>
      <c r="EE6" s="3503"/>
      <c r="EF6" s="3503"/>
      <c r="EG6" s="3503"/>
      <c r="EH6" s="3503"/>
      <c r="EI6" s="3503"/>
      <c r="EJ6" s="3503"/>
      <c r="EK6" s="3503"/>
      <c r="EL6" s="3503"/>
      <c r="EM6" s="3503"/>
      <c r="EN6" s="3503"/>
      <c r="EO6" s="3503"/>
      <c r="EP6" s="3503"/>
      <c r="EQ6" s="3503"/>
      <c r="ER6" s="3502"/>
      <c r="ES6" s="3502"/>
      <c r="ET6" s="3502"/>
      <c r="EU6" s="3502"/>
      <c r="EV6" s="3502"/>
      <c r="EW6" s="3502"/>
      <c r="EX6" s="3502"/>
      <c r="EY6" s="3502"/>
      <c r="EZ6" s="3502"/>
      <c r="FA6" s="3502"/>
      <c r="FB6" s="3503"/>
      <c r="FC6" s="3503"/>
      <c r="FD6" s="3503"/>
      <c r="FE6" s="3503"/>
      <c r="FF6" s="3503"/>
      <c r="FG6" s="3502"/>
      <c r="FH6" s="3502"/>
      <c r="FI6" s="3502"/>
      <c r="FJ6" s="3502"/>
      <c r="FK6" s="3502"/>
      <c r="FL6" s="3503"/>
      <c r="FM6" s="3503"/>
      <c r="FN6" s="3503"/>
      <c r="FO6" s="3503"/>
      <c r="FP6" s="3503"/>
      <c r="FQ6" s="3502"/>
      <c r="FR6" s="3502"/>
      <c r="FS6" s="3502"/>
      <c r="FT6" s="3502"/>
      <c r="FU6" s="3502"/>
      <c r="FV6" s="3502"/>
      <c r="FW6" s="3502"/>
      <c r="FX6" s="3502"/>
      <c r="FY6" s="3502"/>
      <c r="FZ6" s="3502"/>
      <c r="GA6" s="3502"/>
      <c r="GB6" s="3502"/>
      <c r="GC6" s="3502"/>
      <c r="GD6" s="3502"/>
      <c r="GE6" s="3502"/>
      <c r="GF6" s="3502"/>
      <c r="GG6" s="3502"/>
      <c r="GH6" s="3502"/>
      <c r="GI6" s="3502"/>
      <c r="GJ6" s="3502"/>
      <c r="GK6" s="3502"/>
      <c r="GL6" s="3502"/>
      <c r="GM6" s="3502"/>
      <c r="GN6" s="3502"/>
      <c r="GO6" s="3502"/>
      <c r="GP6" s="3502"/>
      <c r="GQ6" s="3502"/>
      <c r="GR6" s="3502"/>
      <c r="GS6" s="3502"/>
      <c r="GT6" s="3502"/>
      <c r="GU6" s="3502"/>
      <c r="GV6" s="3502"/>
      <c r="GW6" s="3502"/>
      <c r="GX6" s="3502"/>
      <c r="GY6" s="3502"/>
      <c r="GZ6" s="3502"/>
      <c r="HA6" s="3502"/>
      <c r="HB6" s="3502"/>
      <c r="HC6" s="3502"/>
      <c r="HD6" s="3502"/>
      <c r="HE6" s="3502"/>
      <c r="HF6" s="3502"/>
      <c r="HG6" s="3502"/>
      <c r="HH6" s="3502"/>
      <c r="HI6" s="3502"/>
      <c r="HJ6" s="3502"/>
      <c r="HK6" s="3502"/>
      <c r="HL6" s="3502"/>
      <c r="HM6" s="3502"/>
      <c r="HN6" s="3502"/>
      <c r="HO6" s="3502"/>
      <c r="HP6" s="3502"/>
      <c r="HQ6" s="3502"/>
      <c r="HR6" s="3502"/>
      <c r="HS6" s="3502"/>
      <c r="HT6" s="3502"/>
      <c r="HU6" s="3502"/>
      <c r="HV6" s="3502"/>
      <c r="HW6" s="3502"/>
      <c r="HX6" s="3502"/>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2"/>
      <c r="LG6" s="3502"/>
      <c r="LH6" s="3502"/>
      <c r="LI6" s="3502"/>
      <c r="LJ6" s="3502"/>
      <c r="LK6" s="3502"/>
      <c r="LL6" s="3502"/>
      <c r="LM6" s="3502"/>
      <c r="LN6" s="3502"/>
      <c r="LO6" s="3502"/>
      <c r="LP6" s="3502"/>
      <c r="LQ6" s="3502"/>
      <c r="LR6" s="3502"/>
      <c r="LS6" s="3502"/>
      <c r="LT6" s="3502"/>
      <c r="LU6" s="3502"/>
      <c r="LV6" s="3502"/>
      <c r="LW6" s="3502"/>
      <c r="LX6" s="3502"/>
      <c r="LY6" s="3502"/>
      <c r="LZ6" s="3502"/>
      <c r="MA6" s="3502"/>
      <c r="MB6" s="3502"/>
      <c r="MC6" s="3502"/>
      <c r="MD6" s="3502"/>
      <c r="ME6" s="3502"/>
      <c r="MF6" s="3502"/>
      <c r="MG6" s="3502"/>
      <c r="MH6" s="3502"/>
      <c r="MI6" s="3502"/>
      <c r="MJ6" s="3515"/>
      <c r="MK6" s="3515"/>
      <c r="ML6" s="3515"/>
      <c r="MM6" s="3515"/>
      <c r="MN6" s="3515"/>
      <c r="MO6" s="3502"/>
      <c r="MP6" s="3502"/>
      <c r="MQ6" s="3502"/>
      <c r="MR6" s="3502"/>
      <c r="MS6" s="3502"/>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8"/>
      <c r="B7" s="1256" t="s">
        <v>4708</v>
      </c>
      <c r="C7" s="1"/>
      <c r="D7" s="4"/>
      <c r="E7" s="1"/>
      <c r="F7" s="1"/>
      <c r="G7" s="1255" t="s">
        <v>3665</v>
      </c>
      <c r="H7" s="3506"/>
      <c r="I7" s="1255" t="s">
        <v>799</v>
      </c>
      <c r="J7" s="1255" t="s">
        <v>3668</v>
      </c>
      <c r="K7" s="987"/>
      <c r="L7" s="987"/>
      <c r="M7" s="3505"/>
      <c r="N7" s="3505"/>
      <c r="P7" s="3506"/>
      <c r="Q7" s="1254"/>
      <c r="R7" s="987"/>
      <c r="S7" s="988"/>
      <c r="T7" s="992" t="s">
        <v>2694</v>
      </c>
      <c r="U7" s="479"/>
      <c r="V7" s="480"/>
      <c r="W7" s="3503"/>
      <c r="X7" s="3503"/>
      <c r="Y7" s="3503"/>
      <c r="Z7" s="3503"/>
      <c r="AA7" s="3503"/>
      <c r="AB7" s="3503"/>
      <c r="AC7" s="3503"/>
      <c r="AD7" s="3503"/>
      <c r="AE7" s="3503"/>
      <c r="AF7" s="3503"/>
      <c r="AG7" s="3503"/>
      <c r="AH7" s="3503"/>
      <c r="AI7" s="3503"/>
      <c r="AJ7" s="3503"/>
      <c r="AK7" s="3503"/>
      <c r="AL7" s="3503"/>
      <c r="AM7" s="3503"/>
      <c r="AN7" s="3503"/>
      <c r="AO7" s="3503"/>
      <c r="AP7" s="3503"/>
      <c r="AQ7" s="3503"/>
      <c r="AR7" s="3503"/>
      <c r="AS7" s="3503"/>
      <c r="AT7" s="3503"/>
      <c r="AU7" s="3503"/>
      <c r="AV7" s="3503"/>
      <c r="AW7" s="3503"/>
      <c r="AX7" s="3503"/>
      <c r="AY7" s="3503"/>
      <c r="AZ7" s="3503"/>
      <c r="BA7" s="3503"/>
      <c r="BB7" s="3503"/>
      <c r="BC7" s="3503"/>
      <c r="BD7" s="3503"/>
      <c r="BE7" s="3503"/>
      <c r="BF7" s="3503"/>
      <c r="BG7" s="3503"/>
      <c r="BH7" s="3503"/>
      <c r="BI7" s="3503"/>
      <c r="BJ7" s="3503"/>
      <c r="BK7" s="3503"/>
      <c r="BL7" s="3503"/>
      <c r="BM7" s="3503"/>
      <c r="BN7" s="3503"/>
      <c r="BO7" s="3503"/>
      <c r="BP7" s="3503"/>
      <c r="BQ7" s="3503"/>
      <c r="BR7" s="3503"/>
      <c r="BS7" s="3503"/>
      <c r="BT7" s="3503"/>
      <c r="BU7" s="3503"/>
      <c r="BV7" s="3503"/>
      <c r="BW7" s="3503"/>
      <c r="BX7" s="3503"/>
      <c r="BY7" s="3503"/>
      <c r="BZ7" s="3503"/>
      <c r="CA7" s="3503"/>
      <c r="CB7" s="3503"/>
      <c r="CC7" s="3503"/>
      <c r="CD7" s="3503"/>
      <c r="CE7" s="3503"/>
      <c r="CF7" s="3503"/>
      <c r="CG7" s="3503"/>
      <c r="CH7" s="3503"/>
      <c r="CI7" s="3503"/>
      <c r="CJ7" s="3503"/>
      <c r="CK7" s="3503"/>
      <c r="CL7" s="3503"/>
      <c r="CM7" s="3503"/>
      <c r="CN7" s="3503"/>
      <c r="CO7" s="3503"/>
      <c r="CP7" s="3503"/>
      <c r="CQ7" s="3503"/>
      <c r="CR7" s="3503"/>
      <c r="CS7" s="3503"/>
      <c r="CT7" s="3503"/>
      <c r="CU7" s="3503"/>
      <c r="CV7" s="3503"/>
      <c r="CW7" s="3503"/>
      <c r="CX7" s="3503"/>
      <c r="CY7" s="3503"/>
      <c r="CZ7" s="3503"/>
      <c r="DA7" s="3503"/>
      <c r="DB7" s="3503"/>
      <c r="DC7" s="3503"/>
      <c r="DD7" s="3503"/>
      <c r="DE7" s="3503"/>
      <c r="DF7" s="3503"/>
      <c r="DG7" s="3503"/>
      <c r="DH7" s="3503"/>
      <c r="DI7" s="3503"/>
      <c r="DJ7" s="3503"/>
      <c r="DK7" s="3503"/>
      <c r="DL7" s="3503"/>
      <c r="DM7" s="3503"/>
      <c r="DN7" s="3503"/>
      <c r="DO7" s="3503"/>
      <c r="DP7" s="3503"/>
      <c r="DQ7" s="3503"/>
      <c r="DR7" s="3503"/>
      <c r="DS7" s="3503"/>
      <c r="DT7" s="3503"/>
      <c r="DU7" s="3503"/>
      <c r="DV7" s="3503"/>
      <c r="DW7" s="3503"/>
      <c r="DX7" s="3503"/>
      <c r="DY7" s="3503"/>
      <c r="DZ7" s="3503"/>
      <c r="EA7" s="3503"/>
      <c r="EB7" s="3503"/>
      <c r="EC7" s="3503"/>
      <c r="ED7" s="3503"/>
      <c r="EE7" s="3503"/>
      <c r="EF7" s="3503"/>
      <c r="EG7" s="3503"/>
      <c r="EH7" s="3503"/>
      <c r="EI7" s="3503"/>
      <c r="EJ7" s="3503"/>
      <c r="EK7" s="3503"/>
      <c r="EL7" s="3503"/>
      <c r="EM7" s="3503"/>
      <c r="EN7" s="3503"/>
      <c r="EO7" s="3503"/>
      <c r="EP7" s="3503"/>
      <c r="EQ7" s="3503"/>
      <c r="ER7" s="3502"/>
      <c r="ES7" s="3502"/>
      <c r="ET7" s="3502"/>
      <c r="EU7" s="3502"/>
      <c r="EV7" s="3502"/>
      <c r="EW7" s="3502"/>
      <c r="EX7" s="3502"/>
      <c r="EY7" s="3502"/>
      <c r="EZ7" s="3502"/>
      <c r="FA7" s="3502"/>
      <c r="FB7" s="3503"/>
      <c r="FC7" s="3503"/>
      <c r="FD7" s="3503"/>
      <c r="FE7" s="3503"/>
      <c r="FF7" s="3503"/>
      <c r="FG7" s="3502"/>
      <c r="FH7" s="3502"/>
      <c r="FI7" s="3502"/>
      <c r="FJ7" s="3502"/>
      <c r="FK7" s="3502"/>
      <c r="FL7" s="3503"/>
      <c r="FM7" s="3503"/>
      <c r="FN7" s="3503"/>
      <c r="FO7" s="3503"/>
      <c r="FP7" s="3503"/>
      <c r="FQ7" s="3502"/>
      <c r="FR7" s="3502"/>
      <c r="FS7" s="3502"/>
      <c r="FT7" s="3502"/>
      <c r="FU7" s="3502"/>
      <c r="FV7" s="3502"/>
      <c r="FW7" s="3502"/>
      <c r="FX7" s="3502"/>
      <c r="FY7" s="3502"/>
      <c r="FZ7" s="3502"/>
      <c r="GA7" s="3502"/>
      <c r="GB7" s="3502"/>
      <c r="GC7" s="3502"/>
      <c r="GD7" s="3502"/>
      <c r="GE7" s="3502"/>
      <c r="GF7" s="3502"/>
      <c r="GG7" s="3502"/>
      <c r="GH7" s="3502"/>
      <c r="GI7" s="3502"/>
      <c r="GJ7" s="3502"/>
      <c r="GK7" s="3502"/>
      <c r="GL7" s="3502"/>
      <c r="GM7" s="3502"/>
      <c r="GN7" s="3502"/>
      <c r="GO7" s="3502"/>
      <c r="GP7" s="3502"/>
      <c r="GQ7" s="3502"/>
      <c r="GR7" s="3502"/>
      <c r="GS7" s="3502"/>
      <c r="GT7" s="3502"/>
      <c r="GU7" s="3502"/>
      <c r="GV7" s="3502"/>
      <c r="GW7" s="3502"/>
      <c r="GX7" s="3502"/>
      <c r="GY7" s="3502"/>
      <c r="GZ7" s="3502"/>
      <c r="HA7" s="3502"/>
      <c r="HB7" s="3502"/>
      <c r="HC7" s="3502"/>
      <c r="HD7" s="3502"/>
      <c r="HE7" s="3502"/>
      <c r="HF7" s="3502"/>
      <c r="HG7" s="3502"/>
      <c r="HH7" s="3502"/>
      <c r="HI7" s="3502"/>
      <c r="HJ7" s="3502"/>
      <c r="HK7" s="3502"/>
      <c r="HL7" s="3502"/>
      <c r="HM7" s="3502"/>
      <c r="HN7" s="3502"/>
      <c r="HO7" s="3502"/>
      <c r="HP7" s="3502"/>
      <c r="HQ7" s="3502"/>
      <c r="HR7" s="3502"/>
      <c r="HS7" s="3502"/>
      <c r="HT7" s="3502"/>
      <c r="HU7" s="3502"/>
      <c r="HV7" s="3502"/>
      <c r="HW7" s="3502"/>
      <c r="HX7" s="3502"/>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2"/>
      <c r="LG7" s="3502"/>
      <c r="LH7" s="3502"/>
      <c r="LI7" s="3502"/>
      <c r="LJ7" s="3502"/>
      <c r="LK7" s="3502"/>
      <c r="LL7" s="3502"/>
      <c r="LM7" s="3502"/>
      <c r="LN7" s="3502"/>
      <c r="LO7" s="3502"/>
      <c r="LP7" s="3502"/>
      <c r="LQ7" s="3502"/>
      <c r="LR7" s="3502"/>
      <c r="LS7" s="3502"/>
      <c r="LT7" s="3502"/>
      <c r="LU7" s="3502"/>
      <c r="LV7" s="3502"/>
      <c r="LW7" s="3502"/>
      <c r="LX7" s="3502"/>
      <c r="LY7" s="3502"/>
      <c r="LZ7" s="3502"/>
      <c r="MA7" s="3502"/>
      <c r="MB7" s="3502"/>
      <c r="MC7" s="3502"/>
      <c r="MD7" s="3502"/>
      <c r="ME7" s="3502"/>
      <c r="MF7" s="3502"/>
      <c r="MG7" s="3502"/>
      <c r="MH7" s="3502"/>
      <c r="MI7" s="3502"/>
      <c r="MJ7" s="3515"/>
      <c r="MK7" s="3515"/>
      <c r="ML7" s="3515"/>
      <c r="MM7" s="3515"/>
      <c r="MN7" s="3515"/>
      <c r="MO7" s="3502"/>
      <c r="MP7" s="3502"/>
      <c r="MQ7" s="3502"/>
      <c r="MR7" s="3502"/>
      <c r="MS7" s="3502"/>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8"/>
      <c r="B8" s="2312" t="s">
        <v>4709</v>
      </c>
      <c r="C8" s="1255" t="s">
        <v>172</v>
      </c>
      <c r="D8" s="1255" t="s">
        <v>545</v>
      </c>
      <c r="E8" s="1255" t="s">
        <v>1476</v>
      </c>
      <c r="F8" s="1255" t="s">
        <v>1476</v>
      </c>
      <c r="G8" s="1255" t="s">
        <v>1478</v>
      </c>
      <c r="H8" s="1255" t="s">
        <v>3665</v>
      </c>
      <c r="I8" s="3511" t="s">
        <v>5072</v>
      </c>
      <c r="J8" s="1255" t="s">
        <v>2406</v>
      </c>
      <c r="K8" s="3514" t="s">
        <v>145</v>
      </c>
      <c r="L8" s="3514"/>
      <c r="M8" s="1255" t="s">
        <v>2367</v>
      </c>
      <c r="N8" s="1255" t="s">
        <v>532</v>
      </c>
      <c r="O8" s="1255" t="s">
        <v>383</v>
      </c>
      <c r="P8" s="3506"/>
      <c r="Q8" s="3514" t="s">
        <v>3573</v>
      </c>
      <c r="R8" s="3514"/>
      <c r="S8" s="1255" t="s">
        <v>2693</v>
      </c>
      <c r="T8" s="1255" t="s">
        <v>2695</v>
      </c>
      <c r="U8" s="481"/>
      <c r="V8" s="482"/>
      <c r="W8" s="3503"/>
      <c r="X8" s="3503"/>
      <c r="Y8" s="3503"/>
      <c r="Z8" s="3503"/>
      <c r="AA8" s="3503"/>
      <c r="AB8" s="3503"/>
      <c r="AC8" s="3503"/>
      <c r="AD8" s="3503"/>
      <c r="AE8" s="3503"/>
      <c r="AF8" s="3503"/>
      <c r="AG8" s="3503"/>
      <c r="AH8" s="3503"/>
      <c r="AI8" s="3503"/>
      <c r="AJ8" s="3503"/>
      <c r="AK8" s="3503"/>
      <c r="AL8" s="3503"/>
      <c r="AM8" s="3503"/>
      <c r="AN8" s="3503"/>
      <c r="AO8" s="3503"/>
      <c r="AP8" s="3503"/>
      <c r="AQ8" s="3503"/>
      <c r="AR8" s="3503"/>
      <c r="AS8" s="3503"/>
      <c r="AT8" s="3503"/>
      <c r="AU8" s="3503"/>
      <c r="AV8" s="3503"/>
      <c r="AW8" s="3503"/>
      <c r="AX8" s="3503"/>
      <c r="AY8" s="3503"/>
      <c r="AZ8" s="3503"/>
      <c r="BA8" s="3503"/>
      <c r="BB8" s="3503"/>
      <c r="BC8" s="3503"/>
      <c r="BD8" s="3503"/>
      <c r="BE8" s="3503"/>
      <c r="BF8" s="3503"/>
      <c r="BG8" s="3503"/>
      <c r="BH8" s="3503"/>
      <c r="BI8" s="3503"/>
      <c r="BJ8" s="3503"/>
      <c r="BK8" s="3503"/>
      <c r="BL8" s="3503"/>
      <c r="BM8" s="3503"/>
      <c r="BN8" s="3503"/>
      <c r="BO8" s="3503"/>
      <c r="BP8" s="3503"/>
      <c r="BQ8" s="3503"/>
      <c r="BR8" s="3503"/>
      <c r="BS8" s="3503"/>
      <c r="BT8" s="3503"/>
      <c r="BU8" s="3503"/>
      <c r="BV8" s="3503"/>
      <c r="BW8" s="3503"/>
      <c r="BX8" s="3503"/>
      <c r="BY8" s="3503"/>
      <c r="BZ8" s="3503"/>
      <c r="CA8" s="3503"/>
      <c r="CB8" s="3503"/>
      <c r="CC8" s="3503"/>
      <c r="CD8" s="3503"/>
      <c r="CE8" s="3503"/>
      <c r="CF8" s="3503"/>
      <c r="CG8" s="3503"/>
      <c r="CH8" s="3503"/>
      <c r="CI8" s="3503"/>
      <c r="CJ8" s="3503"/>
      <c r="CK8" s="3503"/>
      <c r="CL8" s="3503"/>
      <c r="CM8" s="3503"/>
      <c r="CN8" s="3503"/>
      <c r="CO8" s="3503"/>
      <c r="CP8" s="3503"/>
      <c r="CQ8" s="3503"/>
      <c r="CR8" s="3503"/>
      <c r="CS8" s="3503"/>
      <c r="CT8" s="3503"/>
      <c r="CU8" s="3503"/>
      <c r="CV8" s="3503"/>
      <c r="CW8" s="3503"/>
      <c r="CX8" s="3503"/>
      <c r="CY8" s="3503"/>
      <c r="CZ8" s="3503"/>
      <c r="DA8" s="3503"/>
      <c r="DB8" s="3503"/>
      <c r="DC8" s="3503"/>
      <c r="DD8" s="3503"/>
      <c r="DE8" s="3503"/>
      <c r="DF8" s="3503"/>
      <c r="DG8" s="3503"/>
      <c r="DH8" s="3503"/>
      <c r="DI8" s="3503"/>
      <c r="DJ8" s="3503"/>
      <c r="DK8" s="3503"/>
      <c r="DL8" s="3503"/>
      <c r="DM8" s="3503"/>
      <c r="DN8" s="3503"/>
      <c r="DO8" s="3503"/>
      <c r="DP8" s="3503"/>
      <c r="DQ8" s="3503"/>
      <c r="DR8" s="3503"/>
      <c r="DS8" s="3503"/>
      <c r="DT8" s="3503"/>
      <c r="DU8" s="3503"/>
      <c r="DV8" s="3503"/>
      <c r="DW8" s="3503"/>
      <c r="DX8" s="3503"/>
      <c r="DY8" s="3503"/>
      <c r="DZ8" s="3503"/>
      <c r="EA8" s="3503"/>
      <c r="EB8" s="3503"/>
      <c r="EC8" s="3503"/>
      <c r="ED8" s="3503"/>
      <c r="EE8" s="3503"/>
      <c r="EF8" s="3503"/>
      <c r="EG8" s="3503"/>
      <c r="EH8" s="3503"/>
      <c r="EI8" s="3503"/>
      <c r="EJ8" s="3503"/>
      <c r="EK8" s="3503"/>
      <c r="EL8" s="3503"/>
      <c r="EM8" s="3503"/>
      <c r="EN8" s="3503"/>
      <c r="EO8" s="3503"/>
      <c r="EP8" s="3503"/>
      <c r="EQ8" s="3503"/>
      <c r="ER8" s="3502"/>
      <c r="ES8" s="3502"/>
      <c r="ET8" s="3502"/>
      <c r="EU8" s="3502"/>
      <c r="EV8" s="3502"/>
      <c r="EW8" s="3502"/>
      <c r="EX8" s="3502"/>
      <c r="EY8" s="3502"/>
      <c r="EZ8" s="3502"/>
      <c r="FA8" s="3502"/>
      <c r="FB8" s="3503"/>
      <c r="FC8" s="3503"/>
      <c r="FD8" s="3503"/>
      <c r="FE8" s="3503"/>
      <c r="FF8" s="3503"/>
      <c r="FG8" s="3502"/>
      <c r="FH8" s="3502"/>
      <c r="FI8" s="3502"/>
      <c r="FJ8" s="3502"/>
      <c r="FK8" s="3502"/>
      <c r="FL8" s="3503"/>
      <c r="FM8" s="3503"/>
      <c r="FN8" s="3503"/>
      <c r="FO8" s="3503"/>
      <c r="FP8" s="3503"/>
      <c r="FQ8" s="3502"/>
      <c r="FR8" s="3502"/>
      <c r="FS8" s="3502"/>
      <c r="FT8" s="3502"/>
      <c r="FU8" s="3502"/>
      <c r="FV8" s="3502"/>
      <c r="FW8" s="3502"/>
      <c r="FX8" s="3502"/>
      <c r="FY8" s="3502"/>
      <c r="FZ8" s="3502"/>
      <c r="GA8" s="3502"/>
      <c r="GB8" s="3502"/>
      <c r="GC8" s="3502"/>
      <c r="GD8" s="3502"/>
      <c r="GE8" s="3502"/>
      <c r="GF8" s="3502"/>
      <c r="GG8" s="3502"/>
      <c r="GH8" s="3502"/>
      <c r="GI8" s="3502"/>
      <c r="GJ8" s="3502"/>
      <c r="GK8" s="3502"/>
      <c r="GL8" s="3502"/>
      <c r="GM8" s="3502"/>
      <c r="GN8" s="3502"/>
      <c r="GO8" s="3502"/>
      <c r="GP8" s="3502"/>
      <c r="GQ8" s="3502"/>
      <c r="GR8" s="3502"/>
      <c r="GS8" s="3502"/>
      <c r="GT8" s="3502"/>
      <c r="GU8" s="3502"/>
      <c r="GV8" s="3502"/>
      <c r="GW8" s="3502"/>
      <c r="GX8" s="3502"/>
      <c r="GY8" s="3502"/>
      <c r="GZ8" s="3502"/>
      <c r="HA8" s="3502"/>
      <c r="HB8" s="3502"/>
      <c r="HC8" s="3502"/>
      <c r="HD8" s="3502"/>
      <c r="HE8" s="3502"/>
      <c r="HF8" s="3502"/>
      <c r="HG8" s="3502"/>
      <c r="HH8" s="3502"/>
      <c r="HI8" s="3502"/>
      <c r="HJ8" s="3502"/>
      <c r="HK8" s="3502"/>
      <c r="HL8" s="3502"/>
      <c r="HM8" s="3502"/>
      <c r="HN8" s="3502"/>
      <c r="HO8" s="3502"/>
      <c r="HP8" s="3502"/>
      <c r="HQ8" s="3502"/>
      <c r="HR8" s="3502"/>
      <c r="HS8" s="3502"/>
      <c r="HT8" s="3502"/>
      <c r="HU8" s="3502"/>
      <c r="HV8" s="3502"/>
      <c r="HW8" s="3502"/>
      <c r="HX8" s="3502"/>
      <c r="HY8" s="3502" t="s">
        <v>1462</v>
      </c>
      <c r="HZ8" s="517" t="s">
        <v>2439</v>
      </c>
      <c r="IA8" s="517" t="s">
        <v>2440</v>
      </c>
      <c r="IB8" s="517" t="s">
        <v>2441</v>
      </c>
      <c r="IC8" s="517" t="s">
        <v>2442</v>
      </c>
      <c r="ID8" s="3502" t="s">
        <v>2496</v>
      </c>
      <c r="IE8" s="3502" t="s">
        <v>2496</v>
      </c>
      <c r="IF8" s="3502" t="s">
        <v>2496</v>
      </c>
      <c r="IG8" s="3502" t="s">
        <v>2496</v>
      </c>
      <c r="IH8" s="3502" t="s">
        <v>2496</v>
      </c>
      <c r="II8" s="3502" t="s">
        <v>3365</v>
      </c>
      <c r="IJ8" s="3502" t="s">
        <v>3365</v>
      </c>
      <c r="IK8" s="3502" t="s">
        <v>3365</v>
      </c>
      <c r="IL8" s="3502" t="s">
        <v>3365</v>
      </c>
      <c r="IM8" s="3502" t="s">
        <v>3365</v>
      </c>
      <c r="IN8" s="517" t="s">
        <v>568</v>
      </c>
      <c r="IO8" s="517" t="s">
        <v>2439</v>
      </c>
      <c r="IP8" s="517" t="s">
        <v>2440</v>
      </c>
      <c r="IQ8" s="517" t="s">
        <v>2441</v>
      </c>
      <c r="IR8" s="517" t="s">
        <v>2442</v>
      </c>
      <c r="IS8" s="517" t="s">
        <v>568</v>
      </c>
      <c r="IT8" s="517" t="s">
        <v>2439</v>
      </c>
      <c r="IU8" s="517" t="s">
        <v>2440</v>
      </c>
      <c r="IV8" s="517" t="s">
        <v>2441</v>
      </c>
      <c r="IW8" s="517" t="s">
        <v>2442</v>
      </c>
      <c r="IX8" s="3502" t="s">
        <v>2498</v>
      </c>
      <c r="IY8" s="3502" t="s">
        <v>2498</v>
      </c>
      <c r="IZ8" s="3502" t="s">
        <v>2498</v>
      </c>
      <c r="JA8" s="3502" t="s">
        <v>2498</v>
      </c>
      <c r="JB8" s="3502" t="s">
        <v>2498</v>
      </c>
      <c r="JC8" s="3502" t="s">
        <v>3361</v>
      </c>
      <c r="JD8" s="3502" t="s">
        <v>3361</v>
      </c>
      <c r="JE8" s="3502" t="s">
        <v>3361</v>
      </c>
      <c r="JF8" s="3502" t="s">
        <v>3361</v>
      </c>
      <c r="JG8" s="3502" t="s">
        <v>3361</v>
      </c>
      <c r="JH8" s="3502" t="s">
        <v>358</v>
      </c>
      <c r="JI8" s="3502" t="s">
        <v>358</v>
      </c>
      <c r="JJ8" s="3502" t="s">
        <v>358</v>
      </c>
      <c r="JK8" s="3502" t="s">
        <v>358</v>
      </c>
      <c r="JL8" s="3502" t="s">
        <v>358</v>
      </c>
      <c r="JM8" s="3502" t="s">
        <v>3360</v>
      </c>
      <c r="JN8" s="3502" t="s">
        <v>3360</v>
      </c>
      <c r="JO8" s="3502" t="s">
        <v>3360</v>
      </c>
      <c r="JP8" s="3502" t="s">
        <v>3360</v>
      </c>
      <c r="JQ8" s="3502" t="s">
        <v>3360</v>
      </c>
      <c r="JR8" s="3502" t="s">
        <v>359</v>
      </c>
      <c r="JS8" s="3502" t="s">
        <v>359</v>
      </c>
      <c r="JT8" s="3502" t="s">
        <v>359</v>
      </c>
      <c r="JU8" s="3502" t="s">
        <v>359</v>
      </c>
      <c r="JV8" s="3502" t="s">
        <v>359</v>
      </c>
      <c r="JW8" s="3502" t="s">
        <v>3359</v>
      </c>
      <c r="JX8" s="3502" t="s">
        <v>3359</v>
      </c>
      <c r="JY8" s="3502" t="s">
        <v>3359</v>
      </c>
      <c r="JZ8" s="3502" t="s">
        <v>3359</v>
      </c>
      <c r="KA8" s="3502" t="s">
        <v>3359</v>
      </c>
      <c r="KB8" s="3502" t="s">
        <v>360</v>
      </c>
      <c r="KC8" s="3502" t="s">
        <v>360</v>
      </c>
      <c r="KD8" s="3502" t="s">
        <v>360</v>
      </c>
      <c r="KE8" s="3502" t="s">
        <v>360</v>
      </c>
      <c r="KF8" s="3502" t="s">
        <v>360</v>
      </c>
      <c r="KG8" s="3502" t="s">
        <v>3362</v>
      </c>
      <c r="KH8" s="3502" t="s">
        <v>3362</v>
      </c>
      <c r="KI8" s="3502" t="s">
        <v>3362</v>
      </c>
      <c r="KJ8" s="3502" t="s">
        <v>3362</v>
      </c>
      <c r="KK8" s="3502" t="s">
        <v>3362</v>
      </c>
      <c r="KL8" s="3502" t="s">
        <v>361</v>
      </c>
      <c r="KM8" s="3502" t="s">
        <v>361</v>
      </c>
      <c r="KN8" s="3502" t="s">
        <v>361</v>
      </c>
      <c r="KO8" s="3502" t="s">
        <v>361</v>
      </c>
      <c r="KP8" s="3502" t="s">
        <v>361</v>
      </c>
      <c r="KQ8" s="3502" t="s">
        <v>3363</v>
      </c>
      <c r="KR8" s="3502" t="s">
        <v>3363</v>
      </c>
      <c r="KS8" s="3502" t="s">
        <v>3363</v>
      </c>
      <c r="KT8" s="3502" t="s">
        <v>3363</v>
      </c>
      <c r="KU8" s="3502" t="s">
        <v>3363</v>
      </c>
      <c r="KV8" s="3502" t="s">
        <v>1461</v>
      </c>
      <c r="KW8" s="3502" t="s">
        <v>1461</v>
      </c>
      <c r="KX8" s="3502" t="s">
        <v>1461</v>
      </c>
      <c r="KY8" s="3502" t="s">
        <v>1461</v>
      </c>
      <c r="KZ8" s="3502" t="s">
        <v>1461</v>
      </c>
      <c r="LA8" s="3502" t="s">
        <v>3364</v>
      </c>
      <c r="LB8" s="3502" t="s">
        <v>3364</v>
      </c>
      <c r="LC8" s="3502" t="s">
        <v>3364</v>
      </c>
      <c r="LD8" s="3502" t="s">
        <v>3364</v>
      </c>
      <c r="LE8" s="3502" t="s">
        <v>3364</v>
      </c>
      <c r="LF8" s="3502"/>
      <c r="LG8" s="3502"/>
      <c r="LH8" s="3502"/>
      <c r="LI8" s="3502"/>
      <c r="LJ8" s="3502"/>
      <c r="LK8" s="3502"/>
      <c r="LL8" s="3502"/>
      <c r="LM8" s="3502"/>
      <c r="LN8" s="3502"/>
      <c r="LO8" s="3502"/>
      <c r="LP8" s="3502"/>
      <c r="LQ8" s="3502"/>
      <c r="LR8" s="3502"/>
      <c r="LS8" s="3502"/>
      <c r="LT8" s="3502"/>
      <c r="LU8" s="3502"/>
      <c r="LV8" s="3502"/>
      <c r="LW8" s="3502"/>
      <c r="LX8" s="3502"/>
      <c r="LY8" s="3502"/>
      <c r="LZ8" s="3502"/>
      <c r="MA8" s="3502"/>
      <c r="MB8" s="3502"/>
      <c r="MC8" s="3502"/>
      <c r="MD8" s="3502"/>
      <c r="ME8" s="3502"/>
      <c r="MF8" s="3502"/>
      <c r="MG8" s="3502"/>
      <c r="MH8" s="3502"/>
      <c r="MI8" s="3502"/>
      <c r="MJ8" s="3515"/>
      <c r="MK8" s="3515"/>
      <c r="ML8" s="3515"/>
      <c r="MM8" s="3515"/>
      <c r="MN8" s="3515"/>
      <c r="MO8" s="3502"/>
      <c r="MP8" s="3502"/>
      <c r="MQ8" s="3502"/>
      <c r="MR8" s="3502"/>
      <c r="MS8" s="3502"/>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8"/>
      <c r="B9" s="2682" t="s">
        <v>5074</v>
      </c>
      <c r="C9" s="1255" t="s">
        <v>171</v>
      </c>
      <c r="D9" s="1255" t="s">
        <v>173</v>
      </c>
      <c r="E9" s="1255" t="s">
        <v>1477</v>
      </c>
      <c r="F9" s="1255" t="s">
        <v>1279</v>
      </c>
      <c r="G9" s="1255" t="s">
        <v>3666</v>
      </c>
      <c r="H9" s="1255" t="s">
        <v>1478</v>
      </c>
      <c r="I9" s="3512"/>
      <c r="J9" s="513" t="s">
        <v>350</v>
      </c>
      <c r="K9" s="1255" t="s">
        <v>1530</v>
      </c>
      <c r="L9" s="1255" t="s">
        <v>539</v>
      </c>
      <c r="M9" s="1255" t="s">
        <v>1476</v>
      </c>
      <c r="N9" s="1255" t="s">
        <v>3314</v>
      </c>
      <c r="O9" s="1255" t="s">
        <v>384</v>
      </c>
      <c r="P9" s="3507"/>
      <c r="Q9" s="1255" t="s">
        <v>3574</v>
      </c>
      <c r="R9" s="1255" t="s">
        <v>1040</v>
      </c>
      <c r="S9" s="1255" t="s">
        <v>1478</v>
      </c>
      <c r="T9" s="1255" t="s">
        <v>2696</v>
      </c>
      <c r="U9" s="3168" t="s">
        <v>1845</v>
      </c>
      <c r="V9" s="3168"/>
      <c r="W9" s="3503"/>
      <c r="X9" s="3503"/>
      <c r="Y9" s="3503"/>
      <c r="Z9" s="3503"/>
      <c r="AA9" s="3503"/>
      <c r="AB9" s="3503"/>
      <c r="AC9" s="3503"/>
      <c r="AD9" s="3503"/>
      <c r="AE9" s="3503"/>
      <c r="AF9" s="3503"/>
      <c r="AG9" s="3503"/>
      <c r="AH9" s="3503"/>
      <c r="AI9" s="3503"/>
      <c r="AJ9" s="3503"/>
      <c r="AK9" s="3503"/>
      <c r="AL9" s="3503"/>
      <c r="AM9" s="3503"/>
      <c r="AN9" s="3503"/>
      <c r="AO9" s="3503"/>
      <c r="AP9" s="3503"/>
      <c r="AQ9" s="3503"/>
      <c r="AR9" s="3503"/>
      <c r="AS9" s="3503"/>
      <c r="AT9" s="3503"/>
      <c r="AU9" s="3503"/>
      <c r="AV9" s="3503"/>
      <c r="AW9" s="3503"/>
      <c r="AX9" s="3503"/>
      <c r="AY9" s="3503"/>
      <c r="AZ9" s="3503"/>
      <c r="BA9" s="3503"/>
      <c r="BB9" s="3503"/>
      <c r="BC9" s="3503"/>
      <c r="BD9" s="3503"/>
      <c r="BE9" s="3503"/>
      <c r="BF9" s="3503"/>
      <c r="BG9" s="3503"/>
      <c r="BH9" s="3503"/>
      <c r="BI9" s="3503"/>
      <c r="BJ9" s="3503"/>
      <c r="BK9" s="3503"/>
      <c r="BL9" s="3503"/>
      <c r="BM9" s="3503"/>
      <c r="BN9" s="3503"/>
      <c r="BO9" s="3503"/>
      <c r="BP9" s="3503"/>
      <c r="BQ9" s="3503"/>
      <c r="BR9" s="3503"/>
      <c r="BS9" s="3503"/>
      <c r="BT9" s="3503"/>
      <c r="BU9" s="3503"/>
      <c r="BV9" s="3503"/>
      <c r="BW9" s="3503"/>
      <c r="BX9" s="3503"/>
      <c r="BY9" s="3503"/>
      <c r="BZ9" s="3503"/>
      <c r="CA9" s="3503"/>
      <c r="CB9" s="3503"/>
      <c r="CC9" s="3503"/>
      <c r="CD9" s="3503"/>
      <c r="CE9" s="3503"/>
      <c r="CF9" s="3503"/>
      <c r="CG9" s="3503"/>
      <c r="CH9" s="3503"/>
      <c r="CI9" s="3503"/>
      <c r="CJ9" s="3503"/>
      <c r="CK9" s="3503"/>
      <c r="CL9" s="3503"/>
      <c r="CM9" s="3503"/>
      <c r="CN9" s="3503"/>
      <c r="CO9" s="3503"/>
      <c r="CP9" s="3503"/>
      <c r="CQ9" s="3503"/>
      <c r="CR9" s="3503"/>
      <c r="CS9" s="3503"/>
      <c r="CT9" s="3503"/>
      <c r="CU9" s="3503"/>
      <c r="CV9" s="3503"/>
      <c r="CW9" s="3503"/>
      <c r="CX9" s="3503"/>
      <c r="CY9" s="3503"/>
      <c r="CZ9" s="3503"/>
      <c r="DA9" s="3503"/>
      <c r="DB9" s="3503"/>
      <c r="DC9" s="3503"/>
      <c r="DD9" s="3503"/>
      <c r="DE9" s="3503"/>
      <c r="DF9" s="3503"/>
      <c r="DG9" s="3503"/>
      <c r="DH9" s="3503"/>
      <c r="DI9" s="3503"/>
      <c r="DJ9" s="3503"/>
      <c r="DK9" s="3503"/>
      <c r="DL9" s="3503"/>
      <c r="DM9" s="3503"/>
      <c r="DN9" s="3503"/>
      <c r="DO9" s="3503"/>
      <c r="DP9" s="3503"/>
      <c r="DQ9" s="3503"/>
      <c r="DR9" s="3503"/>
      <c r="DS9" s="3503"/>
      <c r="DT9" s="3503"/>
      <c r="DU9" s="3503"/>
      <c r="DV9" s="3503"/>
      <c r="DW9" s="3503"/>
      <c r="DX9" s="3503"/>
      <c r="DY9" s="3503"/>
      <c r="DZ9" s="3503"/>
      <c r="EA9" s="3503"/>
      <c r="EB9" s="3503"/>
      <c r="EC9" s="3503"/>
      <c r="ED9" s="3503"/>
      <c r="EE9" s="3503"/>
      <c r="EF9" s="3503"/>
      <c r="EG9" s="3503"/>
      <c r="EH9" s="3503"/>
      <c r="EI9" s="3503"/>
      <c r="EJ9" s="3503"/>
      <c r="EK9" s="3503"/>
      <c r="EL9" s="3503"/>
      <c r="EM9" s="3503"/>
      <c r="EN9" s="3503"/>
      <c r="EO9" s="3503"/>
      <c r="EP9" s="3503"/>
      <c r="EQ9" s="3503"/>
      <c r="ER9" s="3502"/>
      <c r="ES9" s="3502"/>
      <c r="ET9" s="3502"/>
      <c r="EU9" s="3502"/>
      <c r="EV9" s="3502"/>
      <c r="EW9" s="3502"/>
      <c r="EX9" s="3502"/>
      <c r="EY9" s="3502"/>
      <c r="EZ9" s="3502"/>
      <c r="FA9" s="3502"/>
      <c r="FB9" s="3503"/>
      <c r="FC9" s="3503"/>
      <c r="FD9" s="3503"/>
      <c r="FE9" s="3503"/>
      <c r="FF9" s="3503"/>
      <c r="FG9" s="3502"/>
      <c r="FH9" s="3502"/>
      <c r="FI9" s="3502"/>
      <c r="FJ9" s="3502"/>
      <c r="FK9" s="3502"/>
      <c r="FL9" s="3503"/>
      <c r="FM9" s="3503"/>
      <c r="FN9" s="3503"/>
      <c r="FO9" s="3503"/>
      <c r="FP9" s="3503"/>
      <c r="FQ9" s="3502"/>
      <c r="FR9" s="3502"/>
      <c r="FS9" s="3502"/>
      <c r="FT9" s="3502"/>
      <c r="FU9" s="3502"/>
      <c r="FV9" s="3502"/>
      <c r="FW9" s="3502"/>
      <c r="FX9" s="3502"/>
      <c r="FY9" s="3502"/>
      <c r="FZ9" s="3502"/>
      <c r="GA9" s="3502"/>
      <c r="GB9" s="3502"/>
      <c r="GC9" s="3502"/>
      <c r="GD9" s="3502"/>
      <c r="GE9" s="3502"/>
      <c r="GF9" s="3502"/>
      <c r="GG9" s="3502"/>
      <c r="GH9" s="3502"/>
      <c r="GI9" s="3502"/>
      <c r="GJ9" s="3502"/>
      <c r="GK9" s="3502"/>
      <c r="GL9" s="3502"/>
      <c r="GM9" s="3502"/>
      <c r="GN9" s="3502"/>
      <c r="GO9" s="3502"/>
      <c r="GP9" s="3502"/>
      <c r="GQ9" s="3502"/>
      <c r="GR9" s="3502"/>
      <c r="GS9" s="3502"/>
      <c r="GT9" s="3502"/>
      <c r="GU9" s="3502"/>
      <c r="GV9" s="3502"/>
      <c r="GW9" s="3502"/>
      <c r="GX9" s="3502"/>
      <c r="GY9" s="3502"/>
      <c r="GZ9" s="3502"/>
      <c r="HA9" s="3502"/>
      <c r="HB9" s="3502"/>
      <c r="HC9" s="3502"/>
      <c r="HD9" s="3502"/>
      <c r="HE9" s="3502"/>
      <c r="HF9" s="3502"/>
      <c r="HG9" s="3502"/>
      <c r="HH9" s="3502"/>
      <c r="HI9" s="3502"/>
      <c r="HJ9" s="3502"/>
      <c r="HK9" s="3502"/>
      <c r="HL9" s="3502"/>
      <c r="HM9" s="3502"/>
      <c r="HN9" s="3502"/>
      <c r="HO9" s="3502"/>
      <c r="HP9" s="3502"/>
      <c r="HQ9" s="3502"/>
      <c r="HR9" s="3502"/>
      <c r="HS9" s="3502"/>
      <c r="HT9" s="3502"/>
      <c r="HU9" s="3502"/>
      <c r="HV9" s="3502"/>
      <c r="HW9" s="3502"/>
      <c r="HX9" s="3502"/>
      <c r="HY9" s="3502"/>
      <c r="HZ9" s="517" t="s">
        <v>2495</v>
      </c>
      <c r="IA9" s="517" t="s">
        <v>2495</v>
      </c>
      <c r="IB9" s="517" t="s">
        <v>2495</v>
      </c>
      <c r="IC9" s="517" t="s">
        <v>2495</v>
      </c>
      <c r="ID9" s="3502"/>
      <c r="IE9" s="3502"/>
      <c r="IF9" s="3502"/>
      <c r="IG9" s="3502"/>
      <c r="IH9" s="3502"/>
      <c r="II9" s="3502"/>
      <c r="IJ9" s="3502"/>
      <c r="IK9" s="3502"/>
      <c r="IL9" s="3502"/>
      <c r="IM9" s="3502"/>
      <c r="IN9" s="517" t="s">
        <v>2497</v>
      </c>
      <c r="IO9" s="517" t="s">
        <v>2497</v>
      </c>
      <c r="IP9" s="517" t="s">
        <v>2497</v>
      </c>
      <c r="IQ9" s="517" t="s">
        <v>2497</v>
      </c>
      <c r="IR9" s="517" t="s">
        <v>2497</v>
      </c>
      <c r="IS9" s="517" t="s">
        <v>3366</v>
      </c>
      <c r="IT9" s="517" t="s">
        <v>3366</v>
      </c>
      <c r="IU9" s="517" t="s">
        <v>3366</v>
      </c>
      <c r="IV9" s="517" t="s">
        <v>3366</v>
      </c>
      <c r="IW9" s="517" t="s">
        <v>3366</v>
      </c>
      <c r="IX9" s="3502"/>
      <c r="IY9" s="3502"/>
      <c r="IZ9" s="3502"/>
      <c r="JA9" s="3502"/>
      <c r="JB9" s="3502"/>
      <c r="JC9" s="3502"/>
      <c r="JD9" s="3502"/>
      <c r="JE9" s="3502"/>
      <c r="JF9" s="3502"/>
      <c r="JG9" s="3502"/>
      <c r="JH9" s="3502"/>
      <c r="JI9" s="3502"/>
      <c r="JJ9" s="3502"/>
      <c r="JK9" s="3502"/>
      <c r="JL9" s="3502"/>
      <c r="JM9" s="3502"/>
      <c r="JN9" s="3502"/>
      <c r="JO9" s="3502"/>
      <c r="JP9" s="3502"/>
      <c r="JQ9" s="3502"/>
      <c r="JR9" s="3502"/>
      <c r="JS9" s="3502"/>
      <c r="JT9" s="3502"/>
      <c r="JU9" s="3502"/>
      <c r="JV9" s="3502"/>
      <c r="JW9" s="3502"/>
      <c r="JX9" s="3502"/>
      <c r="JY9" s="3502"/>
      <c r="JZ9" s="3502"/>
      <c r="KA9" s="3502"/>
      <c r="KB9" s="3502"/>
      <c r="KC9" s="3502"/>
      <c r="KD9" s="3502"/>
      <c r="KE9" s="3502"/>
      <c r="KF9" s="3502"/>
      <c r="KG9" s="3502"/>
      <c r="KH9" s="3502"/>
      <c r="KI9" s="3502"/>
      <c r="KJ9" s="3502"/>
      <c r="KK9" s="3502"/>
      <c r="KL9" s="3502"/>
      <c r="KM9" s="3502"/>
      <c r="KN9" s="3502"/>
      <c r="KO9" s="3502"/>
      <c r="KP9" s="3502"/>
      <c r="KQ9" s="3502"/>
      <c r="KR9" s="3502"/>
      <c r="KS9" s="3502"/>
      <c r="KT9" s="3502"/>
      <c r="KU9" s="3502"/>
      <c r="KV9" s="3502"/>
      <c r="KW9" s="3502"/>
      <c r="KX9" s="3502"/>
      <c r="KY9" s="3502"/>
      <c r="KZ9" s="3502"/>
      <c r="LA9" s="3502"/>
      <c r="LB9" s="3502"/>
      <c r="LC9" s="3502"/>
      <c r="LD9" s="3502"/>
      <c r="LE9" s="3502"/>
      <c r="LF9" s="3502"/>
      <c r="LG9" s="3502"/>
      <c r="LH9" s="3502"/>
      <c r="LI9" s="3502"/>
      <c r="LJ9" s="3502"/>
      <c r="LK9" s="3502"/>
      <c r="LL9" s="3502"/>
      <c r="LM9" s="3502"/>
      <c r="LN9" s="3502"/>
      <c r="LO9" s="3502"/>
      <c r="LP9" s="3502"/>
      <c r="LQ9" s="3502"/>
      <c r="LR9" s="3502"/>
      <c r="LS9" s="3502"/>
      <c r="LT9" s="3502"/>
      <c r="LU9" s="3502"/>
      <c r="LV9" s="3502"/>
      <c r="LW9" s="3502"/>
      <c r="LX9" s="3502"/>
      <c r="LY9" s="3502"/>
      <c r="LZ9" s="3502"/>
      <c r="MA9" s="3502"/>
      <c r="MB9" s="3502"/>
      <c r="MC9" s="3502"/>
      <c r="MD9" s="3502"/>
      <c r="ME9" s="3502"/>
      <c r="MF9" s="3502"/>
      <c r="MG9" s="3502"/>
      <c r="MH9" s="3502"/>
      <c r="MI9" s="3502"/>
      <c r="MJ9" s="3515"/>
      <c r="MK9" s="3515"/>
      <c r="ML9" s="3515"/>
      <c r="MM9" s="3515"/>
      <c r="MN9" s="3515"/>
      <c r="MO9" s="3502"/>
      <c r="MP9" s="3502"/>
      <c r="MQ9" s="3502"/>
      <c r="MR9" s="3502"/>
      <c r="MS9" s="3502"/>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4"/>
      <c r="V10" s="352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6"/>
      <c r="V11" s="3517"/>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6"/>
      <c r="V12" s="3517"/>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6"/>
      <c r="V13" s="3517"/>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6"/>
      <c r="V14" s="3517"/>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6"/>
      <c r="V15" s="3517"/>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6"/>
      <c r="V16" s="3517"/>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16"/>
      <c r="V17" s="3517"/>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6"/>
      <c r="V18" s="3517"/>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6"/>
      <c r="V19" s="3517"/>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14</v>
      </c>
      <c r="F20" s="174">
        <v>616</v>
      </c>
      <c r="G20" s="174">
        <v>949</v>
      </c>
      <c r="H20" s="174">
        <v>949</v>
      </c>
      <c r="I20" s="1127">
        <v>52</v>
      </c>
      <c r="J20" s="953" t="s">
        <v>5292</v>
      </c>
      <c r="K20" s="685">
        <f t="shared" si="1"/>
        <v>897</v>
      </c>
      <c r="L20" s="685">
        <f t="shared" si="2"/>
        <v>12558</v>
      </c>
      <c r="M20" s="1045" t="s">
        <v>2992</v>
      </c>
      <c r="N20" s="1045" t="s">
        <v>2604</v>
      </c>
      <c r="O20" s="1045" t="s">
        <v>5293</v>
      </c>
      <c r="P20" s="175" t="s">
        <v>2992</v>
      </c>
      <c r="Q20" s="1031">
        <f t="shared" si="3"/>
        <v>37960</v>
      </c>
      <c r="R20" s="1032">
        <f>IF(H20="","",IF(C20="Efficiency",Q20/($O$6*VLOOKUP(0,'DCA Underwriting Assumptions'!$J$146:$K$151,2,FALSE)),Q20/($O$6*VLOOKUP(C20,'DCA Underwriting Assumptions'!$J$146:$K$151,2,FALSE))))</f>
        <v>0.98278317152103556</v>
      </c>
      <c r="S20" s="1103"/>
      <c r="T20" s="1104"/>
      <c r="U20" s="3516"/>
      <c r="V20" s="3517"/>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14</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f t="shared" si="65"/>
        <v>14</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8624</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f t="shared" si="149"/>
        <v>8624</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f t="shared" si="174"/>
        <v>14</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14</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f t="shared" si="259"/>
        <v>14</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14</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1</v>
      </c>
      <c r="E21" s="174">
        <v>30</v>
      </c>
      <c r="F21" s="174">
        <v>832</v>
      </c>
      <c r="G21" s="174">
        <v>1116</v>
      </c>
      <c r="H21" s="174">
        <v>1116</v>
      </c>
      <c r="I21" s="1127">
        <v>84</v>
      </c>
      <c r="J21" s="953" t="s">
        <v>5292</v>
      </c>
      <c r="K21" s="685">
        <f t="shared" si="1"/>
        <v>1032</v>
      </c>
      <c r="L21" s="685">
        <f t="shared" si="2"/>
        <v>30960</v>
      </c>
      <c r="M21" s="1045" t="s">
        <v>2992</v>
      </c>
      <c r="N21" s="1045" t="s">
        <v>2604</v>
      </c>
      <c r="O21" s="1045" t="s">
        <v>5293</v>
      </c>
      <c r="P21" s="175" t="s">
        <v>2992</v>
      </c>
      <c r="Q21" s="1031">
        <f t="shared" si="3"/>
        <v>44640</v>
      </c>
      <c r="R21" s="1032">
        <f>IF(H21="","",IF(C21="Efficiency",Q21/($O$6*VLOOKUP(0,'DCA Underwriting Assumptions'!$J$146:$K$151,2,FALSE)),Q21/($O$6*VLOOKUP(C21,'DCA Underwriting Assumptions'!$J$146:$K$151,2,FALSE))))</f>
        <v>0.96310679611650485</v>
      </c>
      <c r="S21" s="1103"/>
      <c r="T21" s="1104"/>
      <c r="U21" s="3516"/>
      <c r="V21" s="3517"/>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30</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f t="shared" si="66"/>
        <v>30</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24960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f t="shared" si="150"/>
        <v>24960</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30</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30</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f t="shared" si="260"/>
        <v>30</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30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3</v>
      </c>
      <c r="D22" s="173">
        <v>1</v>
      </c>
      <c r="E22" s="174">
        <v>32</v>
      </c>
      <c r="F22" s="174">
        <v>959</v>
      </c>
      <c r="G22" s="174">
        <v>1262</v>
      </c>
      <c r="H22" s="174">
        <v>1262</v>
      </c>
      <c r="I22" s="1127">
        <v>105</v>
      </c>
      <c r="J22" s="953" t="s">
        <v>5292</v>
      </c>
      <c r="K22" s="685">
        <f t="shared" si="1"/>
        <v>1157</v>
      </c>
      <c r="L22" s="685">
        <f t="shared" si="2"/>
        <v>37024</v>
      </c>
      <c r="M22" s="1045" t="s">
        <v>2992</v>
      </c>
      <c r="N22" s="1045" t="s">
        <v>2604</v>
      </c>
      <c r="O22" s="1045" t="s">
        <v>5293</v>
      </c>
      <c r="P22" s="175" t="s">
        <v>2992</v>
      </c>
      <c r="Q22" s="1031">
        <f t="shared" si="3"/>
        <v>50480</v>
      </c>
      <c r="R22" s="1032">
        <f>IF(H22="","",IF(C22="Efficiency",Q22/($O$6*VLOOKUP(0,'DCA Underwriting Assumptions'!$J$146:$K$151,2,FALSE)),Q22/($O$6*VLOOKUP(C22,'DCA Underwriting Assumptions'!$J$146:$K$151,2,FALSE))))</f>
        <v>0.94249439880507846</v>
      </c>
      <c r="S22" s="1103"/>
      <c r="T22" s="1104"/>
      <c r="U22" s="3516"/>
      <c r="V22" s="3517"/>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32</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f t="shared" si="67"/>
        <v>32</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30688</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f t="shared" si="151"/>
        <v>30688</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f t="shared" si="176"/>
        <v>32</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32</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f t="shared" si="261"/>
        <v>32</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32</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60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6"/>
      <c r="V23" s="3517"/>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6"/>
      <c r="V24" s="3517"/>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6"/>
      <c r="V25" s="3517"/>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6"/>
      <c r="V26" s="3517"/>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6"/>
      <c r="V27" s="3517"/>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6"/>
      <c r="V28" s="3517"/>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6"/>
      <c r="V29" s="3517"/>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6"/>
      <c r="V30" s="3517"/>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6"/>
      <c r="V31" s="3517"/>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6"/>
      <c r="V32" s="3517"/>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6"/>
      <c r="V33" s="3517"/>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6"/>
      <c r="V34" s="3517"/>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6"/>
      <c r="V35" s="3517"/>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6"/>
      <c r="V36" s="3517"/>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6"/>
      <c r="V37" s="3517"/>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6"/>
      <c r="V38" s="3517"/>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6"/>
      <c r="V39" s="3517"/>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6"/>
      <c r="V40" s="3517"/>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6"/>
      <c r="V41" s="3517"/>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6"/>
      <c r="V42" s="3517"/>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6"/>
      <c r="V43" s="3517"/>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6"/>
      <c r="V44" s="3517"/>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6"/>
      <c r="V45" s="3517"/>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6"/>
      <c r="V46" s="3517"/>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8"/>
      <c r="V47" s="356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0" t="s">
        <v>4713</v>
      </c>
      <c r="C48" s="3521"/>
      <c r="D48" s="142" t="s">
        <v>1018</v>
      </c>
      <c r="E48" s="2316">
        <f>SUM(E10:E47)</f>
        <v>76</v>
      </c>
      <c r="F48" s="2314">
        <f>(E10*F10+E11*F11+E12*F12+E13*F13+E14*F14+E15*F15+E16*F16+E17*F17+E18*F18+E19*F19+E20*F20+E21*F21+E22*F22+E23*F23+E24*F24+E25*F25+E26*F26+E27*F27+E28*F28+E29*F29+E30*F30+E31*F31+E32*F32+E33*F33+E34*F34+E35*F35+E36*F36+E37*F37+E38*F38+E39*F39+E40*F40+E41*F41+E42*F42+E43*F43+E44*F44+E45*F45+E46*F46+E47*F47)</f>
        <v>64272</v>
      </c>
      <c r="G48" s="3574" t="s">
        <v>4710</v>
      </c>
      <c r="H48" s="2317" t="s">
        <v>4711</v>
      </c>
      <c r="I48" s="2318" t="str">
        <f>IF(O67=0,"",IF(SUM(O56:O62)/O67&gt;=0.4,"Pass","Fail"))</f>
        <v>Pass</v>
      </c>
      <c r="J48" s="659"/>
      <c r="K48" s="1049" t="s">
        <v>1302</v>
      </c>
      <c r="L48" s="127">
        <f>SUM(L10:L47)</f>
        <v>80542</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14</v>
      </c>
      <c r="AI48" s="2714">
        <f t="shared" si="340"/>
        <v>30</v>
      </c>
      <c r="AJ48" s="2714">
        <f t="shared" si="340"/>
        <v>32</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14</v>
      </c>
      <c r="CG48" s="2714">
        <f t="shared" si="339"/>
        <v>30</v>
      </c>
      <c r="CH48" s="2714">
        <f t="shared" si="339"/>
        <v>32</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8624</v>
      </c>
      <c r="ET48" s="2714">
        <f t="shared" si="343"/>
        <v>24960</v>
      </c>
      <c r="EU48" s="2714">
        <f t="shared" si="343"/>
        <v>30688</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8624</v>
      </c>
      <c r="FX48" s="2714">
        <f t="shared" si="344"/>
        <v>24960</v>
      </c>
      <c r="FY48" s="2714">
        <f t="shared" si="344"/>
        <v>30688</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14</v>
      </c>
      <c r="GW48" s="2714">
        <f t="shared" si="344"/>
        <v>30</v>
      </c>
      <c r="GX48" s="2714">
        <f t="shared" si="344"/>
        <v>32</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14</v>
      </c>
      <c r="IA48" s="2714">
        <f t="shared" si="345"/>
        <v>30</v>
      </c>
      <c r="IB48" s="2714">
        <f t="shared" si="345"/>
        <v>32</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14</v>
      </c>
      <c r="KD48" s="2714">
        <f t="shared" si="345"/>
        <v>30</v>
      </c>
      <c r="KE48" s="2714">
        <f t="shared" si="345"/>
        <v>32</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14</v>
      </c>
      <c r="MG48" s="2714">
        <f t="shared" si="346"/>
        <v>30</v>
      </c>
      <c r="MH48" s="2714">
        <f t="shared" si="346"/>
        <v>32</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2">
        <f>IF(SUM(E17:E47)=0,"",(B17*E17+B18*E18+B19*E19+B20*E20+B21*E21+B22*E22+B23*E23+B24*E24+B25*E25+B26*E26+B27*E27+B28*E28+B29*E29+B30*E30+B31*E31+B32*E32+B33*E33+B34*E34+B35*E35+B36*E36+B37*E37+B38*E38+B39*E39+B40*E40+B41*E41+B42*E42+B43*E43+B44*E44+B45*E45+B46*E46+B47*E47)/SUM(E17:E47))</f>
        <v>60</v>
      </c>
      <c r="C49" s="3523"/>
      <c r="D49" s="2276" t="s">
        <v>4620</v>
      </c>
      <c r="E49" s="2313">
        <f>SUM(E17:E47)</f>
        <v>76</v>
      </c>
      <c r="F49" s="2315">
        <f>(E17*F17+E18*F18+E19*F19+E20*F20+E21*F21+E22*F22+E23*F23+E24*F24+E25*F25+E26*F26+E27*F27+E28*F28+E29*F29+E30*F30+E31*F31+E32*F32+E33*F33+E34*F34+E35*F35+E36*F36+E37*F37+E38*F38+E39*F39+E40*F40+E41*F41+E42*F42+E43*F43+E44*F44+E45*F45+E46*F46+E47*F47)</f>
        <v>64272</v>
      </c>
      <c r="G49" s="3575"/>
      <c r="H49" s="2319" t="s">
        <v>4712</v>
      </c>
      <c r="I49" s="2320" t="str">
        <f>IF(O67=0,"",IF(SUM(O56:O62)/O67&gt;=0.2,"Pass","Fail"))</f>
        <v>Pass</v>
      </c>
      <c r="J49" s="659"/>
      <c r="K49" s="142" t="s">
        <v>814</v>
      </c>
      <c r="L49" s="127">
        <f>L48*12</f>
        <v>966504</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8" t="s">
        <v>2620</v>
      </c>
      <c r="B51" s="3519"/>
      <c r="C51" s="3519"/>
      <c r="D51" s="3519"/>
      <c r="E51" s="3519"/>
      <c r="F51" s="3519"/>
      <c r="G51" s="3519"/>
      <c r="H51" s="3519"/>
      <c r="I51" s="3519"/>
      <c r="J51" s="3519"/>
      <c r="K51" s="3519"/>
      <c r="L51" s="3519"/>
      <c r="M51" s="3519"/>
      <c r="N51" s="3519"/>
      <c r="O51" s="3519"/>
      <c r="P51" s="3519"/>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19"/>
      <c r="B52" s="3519"/>
      <c r="C52" s="3519"/>
      <c r="D52" s="3519"/>
      <c r="E52" s="3519"/>
      <c r="F52" s="3519"/>
      <c r="G52" s="3519"/>
      <c r="H52" s="3519"/>
      <c r="I52" s="3519"/>
      <c r="J52" s="3519"/>
      <c r="K52" s="3519"/>
      <c r="L52" s="3519"/>
      <c r="M52" s="3519"/>
      <c r="N52" s="3519"/>
      <c r="O52" s="3519"/>
      <c r="P52" s="3519"/>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496" t="str">
        <f>'Part I-Project Information'!$K$94</f>
        <v>40% of Units at 60% of AMI</v>
      </c>
      <c r="L53" s="3497"/>
      <c r="M53" s="3497"/>
      <c r="N53" s="3498"/>
      <c r="O53" s="84"/>
      <c r="R53" s="3500" t="str">
        <f>B53</f>
        <v>UNIT SUMMARY</v>
      </c>
      <c r="S53" s="3500"/>
      <c r="T53" s="3500"/>
      <c r="U53" s="3500"/>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1" t="s">
        <v>442</v>
      </c>
      <c r="B56" s="3501"/>
      <c r="C56" s="96" t="s">
        <v>1137</v>
      </c>
      <c r="D56" s="1"/>
      <c r="E56" s="1"/>
      <c r="F56" s="1"/>
      <c r="G56" s="84"/>
      <c r="H56" s="36" t="s">
        <v>4621</v>
      </c>
      <c r="I56" s="84"/>
      <c r="J56" s="2337">
        <f>W48</f>
        <v>0</v>
      </c>
      <c r="K56" s="2338">
        <f>X48</f>
        <v>0</v>
      </c>
      <c r="L56" s="2338">
        <f>Y48</f>
        <v>0</v>
      </c>
      <c r="M56" s="2338">
        <f>Z48</f>
        <v>0</v>
      </c>
      <c r="N56" s="2339">
        <f>AA48</f>
        <v>0</v>
      </c>
      <c r="O56" s="1115">
        <f t="shared" ref="O56:O67" si="347">SUM(J56:N56)</f>
        <v>0</v>
      </c>
      <c r="P56" s="3577" t="s">
        <v>3669</v>
      </c>
      <c r="Q56" s="1420"/>
      <c r="R56" s="3524"/>
      <c r="S56" s="3561"/>
      <c r="T56" s="3561"/>
      <c r="U56" s="3561"/>
      <c r="V56" s="352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1"/>
      <c r="B57" s="3501"/>
      <c r="C57" s="96"/>
      <c r="D57" s="1"/>
      <c r="E57" s="1"/>
      <c r="F57" s="1"/>
      <c r="G57" s="84"/>
      <c r="H57" s="36" t="s">
        <v>4622</v>
      </c>
      <c r="I57" s="84"/>
      <c r="J57" s="2340">
        <f>AB48</f>
        <v>0</v>
      </c>
      <c r="K57" s="2341">
        <f>AC48</f>
        <v>0</v>
      </c>
      <c r="L57" s="2341">
        <f>AD48</f>
        <v>0</v>
      </c>
      <c r="M57" s="2341">
        <f>AE48</f>
        <v>0</v>
      </c>
      <c r="N57" s="2342">
        <f>AF48</f>
        <v>0</v>
      </c>
      <c r="O57" s="1110">
        <f t="shared" si="347"/>
        <v>0</v>
      </c>
      <c r="P57" s="3577"/>
      <c r="Q57" s="2277"/>
      <c r="R57" s="3516"/>
      <c r="S57" s="3557"/>
      <c r="T57" s="3557"/>
      <c r="U57" s="3557"/>
      <c r="V57" s="3517"/>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1"/>
      <c r="B58" s="3501"/>
      <c r="C58" s="96"/>
      <c r="D58" s="1"/>
      <c r="E58" s="1"/>
      <c r="F58" s="1"/>
      <c r="G58" s="84"/>
      <c r="H58" s="36" t="s">
        <v>1149</v>
      </c>
      <c r="I58" s="84"/>
      <c r="J58" s="2340">
        <f>AG48</f>
        <v>0</v>
      </c>
      <c r="K58" s="2341">
        <f>AH48</f>
        <v>14</v>
      </c>
      <c r="L58" s="2341">
        <f>AI48</f>
        <v>30</v>
      </c>
      <c r="M58" s="2341">
        <f>AJ48</f>
        <v>32</v>
      </c>
      <c r="N58" s="2342">
        <f>AK48</f>
        <v>0</v>
      </c>
      <c r="O58" s="1110">
        <f t="shared" si="347"/>
        <v>76</v>
      </c>
      <c r="P58" s="3577"/>
      <c r="Q58" s="2277"/>
      <c r="R58" s="3516"/>
      <c r="S58" s="3557"/>
      <c r="T58" s="3557"/>
      <c r="U58" s="3557"/>
      <c r="V58" s="3517"/>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1"/>
      <c r="B59" s="3501"/>
      <c r="C59" s="96"/>
      <c r="D59" s="1"/>
      <c r="E59" s="1"/>
      <c r="F59" s="1"/>
      <c r="G59" s="84"/>
      <c r="H59" s="52" t="s">
        <v>118</v>
      </c>
      <c r="I59" s="1433"/>
      <c r="J59" s="2370">
        <f>AL48</f>
        <v>0</v>
      </c>
      <c r="K59" s="2371">
        <f>AM48</f>
        <v>0</v>
      </c>
      <c r="L59" s="2371">
        <f>AN48</f>
        <v>0</v>
      </c>
      <c r="M59" s="2371">
        <f>AO48</f>
        <v>0</v>
      </c>
      <c r="N59" s="2372">
        <f>AP48</f>
        <v>0</v>
      </c>
      <c r="O59" s="690">
        <f t="shared" si="347"/>
        <v>0</v>
      </c>
      <c r="P59" s="3577"/>
      <c r="Q59" s="2277"/>
      <c r="R59" s="3516"/>
      <c r="S59" s="3557"/>
      <c r="T59" s="3557"/>
      <c r="U59" s="3557"/>
      <c r="V59" s="3517"/>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1"/>
      <c r="B60" s="3501"/>
      <c r="C60" s="96"/>
      <c r="D60" s="1"/>
      <c r="E60" s="1"/>
      <c r="F60" s="1"/>
      <c r="G60" s="84"/>
      <c r="H60" s="52" t="s">
        <v>4623</v>
      </c>
      <c r="I60" s="1433"/>
      <c r="J60" s="2340">
        <f>AQ48</f>
        <v>0</v>
      </c>
      <c r="K60" s="2341">
        <f>AR48</f>
        <v>0</v>
      </c>
      <c r="L60" s="2341">
        <f>AS48</f>
        <v>0</v>
      </c>
      <c r="M60" s="2341">
        <f>AT48</f>
        <v>0</v>
      </c>
      <c r="N60" s="2342">
        <f>AU48</f>
        <v>0</v>
      </c>
      <c r="O60" s="1110">
        <f t="shared" si="347"/>
        <v>0</v>
      </c>
      <c r="P60" s="3577"/>
      <c r="Q60" s="2277"/>
      <c r="R60" s="3516"/>
      <c r="S60" s="3557"/>
      <c r="T60" s="3557"/>
      <c r="U60" s="3557"/>
      <c r="V60" s="3517"/>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1"/>
      <c r="B61" s="3501"/>
      <c r="C61" s="96"/>
      <c r="D61" s="1"/>
      <c r="E61" s="1"/>
      <c r="F61" s="1"/>
      <c r="G61" s="84"/>
      <c r="H61" s="36" t="s">
        <v>4624</v>
      </c>
      <c r="I61" s="84"/>
      <c r="J61" s="2340">
        <f>AV48</f>
        <v>0</v>
      </c>
      <c r="K61" s="2341">
        <f>AW48</f>
        <v>0</v>
      </c>
      <c r="L61" s="2341">
        <f>AX48</f>
        <v>0</v>
      </c>
      <c r="M61" s="2341">
        <f>AY48</f>
        <v>0</v>
      </c>
      <c r="N61" s="2342">
        <f>AZ48</f>
        <v>0</v>
      </c>
      <c r="O61" s="1110">
        <f t="shared" si="347"/>
        <v>0</v>
      </c>
      <c r="P61" s="3577"/>
      <c r="Q61" s="2277"/>
      <c r="R61" s="3516"/>
      <c r="S61" s="3557"/>
      <c r="T61" s="3557"/>
      <c r="U61" s="3557"/>
      <c r="V61" s="3517"/>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1"/>
      <c r="B62" s="3501"/>
      <c r="C62" s="4"/>
      <c r="D62" s="1"/>
      <c r="E62" s="1"/>
      <c r="F62" s="1"/>
      <c r="G62" s="84"/>
      <c r="H62" s="36" t="s">
        <v>4625</v>
      </c>
      <c r="I62" s="84"/>
      <c r="J62" s="2343">
        <f>BA48</f>
        <v>0</v>
      </c>
      <c r="K62" s="2344">
        <f>BB48</f>
        <v>0</v>
      </c>
      <c r="L62" s="2344">
        <f>BC48</f>
        <v>0</v>
      </c>
      <c r="M62" s="2344">
        <f>BD48</f>
        <v>0</v>
      </c>
      <c r="N62" s="2345">
        <f>BE48</f>
        <v>0</v>
      </c>
      <c r="O62" s="690">
        <f t="shared" si="347"/>
        <v>0</v>
      </c>
      <c r="P62" s="3577"/>
      <c r="Q62" s="1420"/>
      <c r="R62" s="3516"/>
      <c r="S62" s="3557"/>
      <c r="T62" s="3557"/>
      <c r="U62" s="3557"/>
      <c r="V62" s="3517"/>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1"/>
      <c r="B63" s="3501"/>
      <c r="C63" s="114" t="s">
        <v>4707</v>
      </c>
      <c r="D63" s="1"/>
      <c r="E63" s="1"/>
      <c r="F63" s="1"/>
      <c r="G63" s="84"/>
      <c r="H63" s="55"/>
      <c r="I63" s="84"/>
      <c r="J63" s="2292">
        <f>SUM(J56:J62)</f>
        <v>0</v>
      </c>
      <c r="K63" s="2292">
        <f>SUM(K56:K62)</f>
        <v>14</v>
      </c>
      <c r="L63" s="2292">
        <f>SUM(L56:L62)</f>
        <v>30</v>
      </c>
      <c r="M63" s="2292">
        <f>SUM(M56:M62)</f>
        <v>32</v>
      </c>
      <c r="N63" s="2292">
        <f>SUM(N56:N62)</f>
        <v>0</v>
      </c>
      <c r="O63" s="2292">
        <f t="shared" si="347"/>
        <v>76</v>
      </c>
      <c r="P63" s="3578"/>
      <c r="R63" s="3516"/>
      <c r="S63" s="3557"/>
      <c r="T63" s="3557"/>
      <c r="U63" s="3557"/>
      <c r="V63" s="3517"/>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1"/>
      <c r="B64" s="3501"/>
      <c r="D64" s="1"/>
      <c r="E64" s="1"/>
      <c r="F64" s="1"/>
      <c r="G64" s="84"/>
      <c r="H64" s="36" t="s">
        <v>303</v>
      </c>
      <c r="I64" s="84"/>
      <c r="J64" s="1111">
        <f>BF48</f>
        <v>0</v>
      </c>
      <c r="K64" s="1111">
        <f>BG48</f>
        <v>0</v>
      </c>
      <c r="L64" s="1111">
        <f>BH48</f>
        <v>0</v>
      </c>
      <c r="M64" s="1111">
        <f>BI48</f>
        <v>0</v>
      </c>
      <c r="N64" s="1111">
        <f>BJ48</f>
        <v>0</v>
      </c>
      <c r="O64" s="1111">
        <f t="shared" si="347"/>
        <v>0</v>
      </c>
      <c r="R64" s="3516"/>
      <c r="S64" s="3557"/>
      <c r="T64" s="3557"/>
      <c r="U64" s="3557"/>
      <c r="V64" s="3517"/>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1"/>
      <c r="B65" s="3501"/>
      <c r="C65" s="2299" t="s">
        <v>1138</v>
      </c>
      <c r="D65" s="2299"/>
      <c r="E65" s="2299"/>
      <c r="F65" s="2299"/>
      <c r="G65" s="2300"/>
      <c r="H65" s="49"/>
      <c r="I65" s="2300"/>
      <c r="J65" s="2301">
        <f>SUM(J63:J64)</f>
        <v>0</v>
      </c>
      <c r="K65" s="2301">
        <f>SUM(K63:K64)</f>
        <v>14</v>
      </c>
      <c r="L65" s="2301">
        <f>SUM(L63:L64)</f>
        <v>30</v>
      </c>
      <c r="M65" s="2301">
        <f>SUM(M63:M64)</f>
        <v>32</v>
      </c>
      <c r="N65" s="2301">
        <f>SUM(N63:N64)</f>
        <v>0</v>
      </c>
      <c r="O65" s="2301">
        <f t="shared" si="347"/>
        <v>76</v>
      </c>
      <c r="R65" s="3516"/>
      <c r="S65" s="3557"/>
      <c r="T65" s="3557"/>
      <c r="U65" s="3557"/>
      <c r="V65" s="3517"/>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1"/>
      <c r="B66" s="3501"/>
      <c r="D66" s="1"/>
      <c r="E66" s="1"/>
      <c r="F66" s="1"/>
      <c r="G66" s="84"/>
      <c r="H66" s="36" t="s">
        <v>2510</v>
      </c>
      <c r="I66" s="84"/>
      <c r="J66" s="1111">
        <f>EC48</f>
        <v>0</v>
      </c>
      <c r="K66" s="1111">
        <f>ED48</f>
        <v>0</v>
      </c>
      <c r="L66" s="1111">
        <f>EE48</f>
        <v>0</v>
      </c>
      <c r="M66" s="1111">
        <f>EF48</f>
        <v>0</v>
      </c>
      <c r="N66" s="1111">
        <f>EG48</f>
        <v>0</v>
      </c>
      <c r="O66" s="1111">
        <f t="shared" si="347"/>
        <v>0</v>
      </c>
      <c r="P66" s="563" t="s">
        <v>3670</v>
      </c>
      <c r="R66" s="3516"/>
      <c r="S66" s="3557"/>
      <c r="T66" s="3557"/>
      <c r="U66" s="3557"/>
      <c r="V66" s="3517"/>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1"/>
      <c r="B67" s="3501"/>
      <c r="C67" s="4" t="s">
        <v>1793</v>
      </c>
      <c r="D67" s="1"/>
      <c r="E67" s="1"/>
      <c r="F67" s="1"/>
      <c r="G67" s="84"/>
      <c r="H67" s="36"/>
      <c r="I67" s="84"/>
      <c r="J67" s="2291">
        <f>SUM(J65:J66)</f>
        <v>0</v>
      </c>
      <c r="K67" s="2291">
        <f>SUM(K65:K66)</f>
        <v>14</v>
      </c>
      <c r="L67" s="2291">
        <f>SUM(L65:L66)</f>
        <v>30</v>
      </c>
      <c r="M67" s="2291">
        <f>SUM(M65:M66)</f>
        <v>32</v>
      </c>
      <c r="N67" s="2291">
        <f>SUM(N65:N66)</f>
        <v>0</v>
      </c>
      <c r="O67" s="2291">
        <f t="shared" si="347"/>
        <v>76</v>
      </c>
      <c r="R67" s="3558"/>
      <c r="S67" s="3559"/>
      <c r="T67" s="3559"/>
      <c r="U67" s="3559"/>
      <c r="V67" s="3560"/>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1"/>
      <c r="B68" s="3501"/>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1"/>
      <c r="B69" s="3501"/>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1"/>
      <c r="B70" s="3501"/>
      <c r="C70" s="3582" t="s">
        <v>4728</v>
      </c>
      <c r="D70" s="3582"/>
      <c r="E70" s="3582"/>
      <c r="F70" s="3582"/>
      <c r="G70" s="106"/>
      <c r="H70" s="52"/>
      <c r="I70" s="2641" t="s">
        <v>4727</v>
      </c>
      <c r="J70" s="2644"/>
      <c r="K70" s="2645"/>
      <c r="L70" s="2645"/>
      <c r="M70" s="2645"/>
      <c r="N70" s="2645"/>
      <c r="O70" s="2644"/>
      <c r="P70" s="1207" t="s">
        <v>4726</v>
      </c>
      <c r="R70" s="3524"/>
      <c r="S70" s="3561"/>
      <c r="T70" s="3561"/>
      <c r="U70" s="3561"/>
      <c r="V70" s="352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1"/>
      <c r="B71" s="3501"/>
      <c r="C71" s="3582"/>
      <c r="D71" s="3582"/>
      <c r="E71" s="3582"/>
      <c r="F71" s="3582"/>
      <c r="G71" s="106"/>
      <c r="H71" s="52" t="s">
        <v>4621</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6"/>
      <c r="S71" s="3557"/>
      <c r="T71" s="3557"/>
      <c r="U71" s="3557"/>
      <c r="V71" s="3517"/>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1"/>
      <c r="B72" s="3501"/>
      <c r="C72" s="3582"/>
      <c r="D72" s="3582"/>
      <c r="E72" s="3582"/>
      <c r="F72" s="3582"/>
      <c r="G72" s="106"/>
      <c r="H72" s="52" t="s">
        <v>4622</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6"/>
      <c r="S72" s="3557"/>
      <c r="T72" s="3557"/>
      <c r="U72" s="3557"/>
      <c r="V72" s="3517"/>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1"/>
      <c r="B73" s="3501"/>
      <c r="C73" s="2642"/>
      <c r="D73" s="3530" t="s">
        <v>5048</v>
      </c>
      <c r="E73" s="3583"/>
      <c r="F73" s="3583"/>
      <c r="G73" s="3583"/>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0</v>
      </c>
      <c r="O73" s="2335">
        <f t="shared" si="351"/>
        <v>1</v>
      </c>
      <c r="P73" s="2332">
        <f t="shared" si="350"/>
        <v>1</v>
      </c>
      <c r="R73" s="3516"/>
      <c r="S73" s="3557"/>
      <c r="T73" s="3557"/>
      <c r="U73" s="3557"/>
      <c r="V73" s="3517"/>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1"/>
      <c r="B74" s="3501"/>
      <c r="C74" s="2642"/>
      <c r="D74" s="3583"/>
      <c r="E74" s="3583"/>
      <c r="F74" s="3583"/>
      <c r="G74" s="3583"/>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6"/>
      <c r="S74" s="3557"/>
      <c r="T74" s="3557"/>
      <c r="U74" s="3557"/>
      <c r="V74" s="3517"/>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3"/>
      <c r="E75" s="3583"/>
      <c r="F75" s="3583"/>
      <c r="G75" s="3583"/>
      <c r="H75" s="52" t="s">
        <v>4623</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6"/>
      <c r="S75" s="3557"/>
      <c r="T75" s="3557"/>
      <c r="U75" s="3557"/>
      <c r="V75" s="3517"/>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3"/>
      <c r="E76" s="3583"/>
      <c r="F76" s="3583"/>
      <c r="G76" s="3583"/>
      <c r="H76" s="52" t="s">
        <v>4624</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6"/>
      <c r="S76" s="3557"/>
      <c r="T76" s="3557"/>
      <c r="U76" s="3557"/>
      <c r="V76" s="3517"/>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3"/>
      <c r="E77" s="3583"/>
      <c r="F77" s="3583"/>
      <c r="G77" s="3583"/>
      <c r="H77" s="52" t="s">
        <v>4625</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8"/>
      <c r="S77" s="3559"/>
      <c r="T77" s="3559"/>
      <c r="U77" s="3559"/>
      <c r="V77" s="3560"/>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4621</v>
      </c>
      <c r="I81" s="84"/>
      <c r="J81" s="2355">
        <f>CO48</f>
        <v>0</v>
      </c>
      <c r="K81" s="2356">
        <f>CP48</f>
        <v>0</v>
      </c>
      <c r="L81" s="2356">
        <f>CQ48</f>
        <v>0</v>
      </c>
      <c r="M81" s="2356">
        <f>CR48</f>
        <v>0</v>
      </c>
      <c r="N81" s="2357">
        <f>CS48</f>
        <v>0</v>
      </c>
      <c r="O81" s="1112">
        <f t="shared" ref="O81:O88" si="356">SUM(J81:N81)</f>
        <v>0</v>
      </c>
      <c r="R81" s="3524"/>
      <c r="S81" s="3561"/>
      <c r="T81" s="3561"/>
      <c r="U81" s="3561"/>
      <c r="V81" s="352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4622</v>
      </c>
      <c r="I82" s="84"/>
      <c r="J82" s="2358">
        <f>CJ48</f>
        <v>0</v>
      </c>
      <c r="K82" s="2359">
        <f>CK48</f>
        <v>0</v>
      </c>
      <c r="L82" s="2359">
        <f>CL48</f>
        <v>0</v>
      </c>
      <c r="M82" s="2359">
        <f>CM48</f>
        <v>0</v>
      </c>
      <c r="N82" s="2360">
        <f>CN48</f>
        <v>0</v>
      </c>
      <c r="O82" s="2290">
        <f t="shared" si="356"/>
        <v>0</v>
      </c>
      <c r="R82" s="3516"/>
      <c r="S82" s="3557"/>
      <c r="T82" s="3557"/>
      <c r="U82" s="3557"/>
      <c r="V82" s="3517"/>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14</v>
      </c>
      <c r="L83" s="2359">
        <f>CG48</f>
        <v>30</v>
      </c>
      <c r="M83" s="2359">
        <f>CH48</f>
        <v>32</v>
      </c>
      <c r="N83" s="2360">
        <f>CI48</f>
        <v>0</v>
      </c>
      <c r="O83" s="2290">
        <f t="shared" si="356"/>
        <v>76</v>
      </c>
      <c r="R83" s="3516"/>
      <c r="S83" s="3557"/>
      <c r="T83" s="3557"/>
      <c r="U83" s="3557"/>
      <c r="V83" s="3517"/>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6"/>
      <c r="S84" s="3557"/>
      <c r="T84" s="3557"/>
      <c r="U84" s="3557"/>
      <c r="V84" s="3517"/>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4623</v>
      </c>
      <c r="I85" s="1433"/>
      <c r="J85" s="2358">
        <f>BU48</f>
        <v>0</v>
      </c>
      <c r="K85" s="2359">
        <f>BV48</f>
        <v>0</v>
      </c>
      <c r="L85" s="2359">
        <f>BW48</f>
        <v>0</v>
      </c>
      <c r="M85" s="2359">
        <f>BX48</f>
        <v>0</v>
      </c>
      <c r="N85" s="2360">
        <f>BY48</f>
        <v>0</v>
      </c>
      <c r="O85" s="2290">
        <f t="shared" si="356"/>
        <v>0</v>
      </c>
      <c r="R85" s="3516"/>
      <c r="S85" s="3557"/>
      <c r="T85" s="3557"/>
      <c r="U85" s="3557"/>
      <c r="V85" s="3517"/>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4624</v>
      </c>
      <c r="I86" s="84"/>
      <c r="J86" s="2358">
        <f>BP48</f>
        <v>0</v>
      </c>
      <c r="K86" s="2359">
        <f>BQ48</f>
        <v>0</v>
      </c>
      <c r="L86" s="2359">
        <f>BR48</f>
        <v>0</v>
      </c>
      <c r="M86" s="2359">
        <f>BS48</f>
        <v>0</v>
      </c>
      <c r="N86" s="2360">
        <f>BT48</f>
        <v>0</v>
      </c>
      <c r="O86" s="2290">
        <f t="shared" si="356"/>
        <v>0</v>
      </c>
      <c r="R86" s="3516"/>
      <c r="S86" s="3557"/>
      <c r="T86" s="3557"/>
      <c r="U86" s="3557"/>
      <c r="V86" s="3517"/>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4625</v>
      </c>
      <c r="I87" s="84"/>
      <c r="J87" s="2361">
        <f>BK48</f>
        <v>0</v>
      </c>
      <c r="K87" s="2362">
        <f>BL48</f>
        <v>0</v>
      </c>
      <c r="L87" s="2362">
        <f>BM48</f>
        <v>0</v>
      </c>
      <c r="M87" s="2362">
        <f>BN48</f>
        <v>0</v>
      </c>
      <c r="N87" s="2363">
        <f>BO48</f>
        <v>0</v>
      </c>
      <c r="O87" s="1114">
        <f t="shared" si="356"/>
        <v>0</v>
      </c>
      <c r="R87" s="3516"/>
      <c r="S87" s="3557"/>
      <c r="T87" s="3557"/>
      <c r="U87" s="3557"/>
      <c r="V87" s="3517"/>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14</v>
      </c>
      <c r="L88" s="2291">
        <f>SUM(L81:L87)</f>
        <v>30</v>
      </c>
      <c r="M88" s="2291">
        <f>SUM(M81:M87)</f>
        <v>32</v>
      </c>
      <c r="N88" s="2291">
        <f>SUM(N81:N87)</f>
        <v>0</v>
      </c>
      <c r="O88" s="2291">
        <f t="shared" si="356"/>
        <v>76</v>
      </c>
      <c r="R88" s="3558"/>
      <c r="S88" s="3559"/>
      <c r="T88" s="3559"/>
      <c r="U88" s="3559"/>
      <c r="V88" s="3560"/>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5005</v>
      </c>
      <c r="K90" s="3496" t="str">
        <f>K53</f>
        <v>40% of Units at 60% of AMI</v>
      </c>
      <c r="L90" s="3497"/>
      <c r="M90" s="3497"/>
      <c r="N90" s="3498"/>
      <c r="O90" s="84"/>
      <c r="R90" s="3499" t="str">
        <f>B90</f>
        <v>UNIT SUMMARY (Continued)</v>
      </c>
      <c r="S90" s="3499"/>
      <c r="T90" s="3499"/>
      <c r="U90" s="3499"/>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4621</v>
      </c>
      <c r="I92" s="84"/>
      <c r="J92" s="2355">
        <f>DX48</f>
        <v>0</v>
      </c>
      <c r="K92" s="2356">
        <f>DY48</f>
        <v>0</v>
      </c>
      <c r="L92" s="2356">
        <f>DZ48</f>
        <v>0</v>
      </c>
      <c r="M92" s="2356">
        <f>EA48</f>
        <v>0</v>
      </c>
      <c r="N92" s="2357">
        <f>EB48</f>
        <v>0</v>
      </c>
      <c r="O92" s="1115">
        <f t="shared" ref="O92:O99" si="357">SUM(J92:N92)</f>
        <v>0</v>
      </c>
      <c r="R92" s="3524"/>
      <c r="S92" s="3561"/>
      <c r="T92" s="3561"/>
      <c r="U92" s="3561"/>
      <c r="V92" s="352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4622</v>
      </c>
      <c r="I93" s="84"/>
      <c r="J93" s="2358">
        <f>DS48</f>
        <v>0</v>
      </c>
      <c r="K93" s="2359">
        <f>DT48</f>
        <v>0</v>
      </c>
      <c r="L93" s="2359">
        <f>DU48</f>
        <v>0</v>
      </c>
      <c r="M93" s="2359">
        <f>DV48</f>
        <v>0</v>
      </c>
      <c r="N93" s="2360">
        <f>DW48</f>
        <v>0</v>
      </c>
      <c r="O93" s="1110">
        <f t="shared" si="357"/>
        <v>0</v>
      </c>
      <c r="R93" s="3516"/>
      <c r="S93" s="3557"/>
      <c r="T93" s="3557"/>
      <c r="U93" s="3557"/>
      <c r="V93" s="3517"/>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6"/>
      <c r="S94" s="3557"/>
      <c r="T94" s="3557"/>
      <c r="U94" s="3557"/>
      <c r="V94" s="3517"/>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6"/>
      <c r="S95" s="3557"/>
      <c r="T95" s="3557"/>
      <c r="U95" s="3557"/>
      <c r="V95" s="3517"/>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4623</v>
      </c>
      <c r="I96" s="1433"/>
      <c r="J96" s="2358">
        <f>DD48</f>
        <v>0</v>
      </c>
      <c r="K96" s="2359">
        <f>DE48</f>
        <v>0</v>
      </c>
      <c r="L96" s="2359">
        <f>DF48</f>
        <v>0</v>
      </c>
      <c r="M96" s="2359">
        <f>DG48</f>
        <v>0</v>
      </c>
      <c r="N96" s="2360">
        <f>DH48</f>
        <v>0</v>
      </c>
      <c r="O96" s="1110">
        <f t="shared" si="357"/>
        <v>0</v>
      </c>
      <c r="R96" s="3516"/>
      <c r="S96" s="3557"/>
      <c r="T96" s="3557"/>
      <c r="U96" s="3557"/>
      <c r="V96" s="3517"/>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4624</v>
      </c>
      <c r="I97" s="84"/>
      <c r="J97" s="2358">
        <f>CY48</f>
        <v>0</v>
      </c>
      <c r="K97" s="2359">
        <f>CZ48</f>
        <v>0</v>
      </c>
      <c r="L97" s="2359">
        <f>DA48</f>
        <v>0</v>
      </c>
      <c r="M97" s="2359">
        <f>DB48</f>
        <v>0</v>
      </c>
      <c r="N97" s="2360">
        <f>DC48</f>
        <v>0</v>
      </c>
      <c r="O97" s="1110">
        <f t="shared" si="357"/>
        <v>0</v>
      </c>
      <c r="R97" s="3516"/>
      <c r="S97" s="3557"/>
      <c r="T97" s="3557"/>
      <c r="U97" s="3557"/>
      <c r="V97" s="3517"/>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4625</v>
      </c>
      <c r="I98" s="84"/>
      <c r="J98" s="2361">
        <f>CT48</f>
        <v>0</v>
      </c>
      <c r="K98" s="2362">
        <f>CU48</f>
        <v>0</v>
      </c>
      <c r="L98" s="2362">
        <f>CV48</f>
        <v>0</v>
      </c>
      <c r="M98" s="2362">
        <f>CW48</f>
        <v>0</v>
      </c>
      <c r="N98" s="2363">
        <f>CX48</f>
        <v>0</v>
      </c>
      <c r="O98" s="1111">
        <f t="shared" si="357"/>
        <v>0</v>
      </c>
      <c r="R98" s="3516"/>
      <c r="S98" s="3557"/>
      <c r="T98" s="3557"/>
      <c r="U98" s="3557"/>
      <c r="V98" s="3517"/>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58"/>
      <c r="S99" s="3559"/>
      <c r="T99" s="3559"/>
      <c r="U99" s="3559"/>
      <c r="V99" s="3560"/>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3" t="s">
        <v>38</v>
      </c>
      <c r="D101" s="3533"/>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24"/>
      <c r="S101" s="3561"/>
      <c r="T101" s="3561"/>
      <c r="U101" s="3561"/>
      <c r="V101" s="352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3"/>
      <c r="D102" s="3533"/>
      <c r="E102" s="114"/>
      <c r="F102" s="1"/>
      <c r="G102" s="84"/>
      <c r="H102" s="36" t="s">
        <v>303</v>
      </c>
      <c r="I102" s="84"/>
      <c r="J102" s="2343">
        <f>GK48</f>
        <v>0</v>
      </c>
      <c r="K102" s="2344">
        <f>GL48</f>
        <v>0</v>
      </c>
      <c r="L102" s="2344">
        <f>GM48</f>
        <v>0</v>
      </c>
      <c r="M102" s="2344">
        <f>GN48</f>
        <v>0</v>
      </c>
      <c r="N102" s="2345">
        <f>GO48</f>
        <v>0</v>
      </c>
      <c r="O102" s="1111">
        <f t="shared" si="358"/>
        <v>0</v>
      </c>
      <c r="R102" s="3516"/>
      <c r="S102" s="3557"/>
      <c r="T102" s="3557"/>
      <c r="U102" s="3557"/>
      <c r="V102" s="3517"/>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3"/>
      <c r="D103" s="3533"/>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6"/>
      <c r="S103" s="3557"/>
      <c r="T103" s="3557"/>
      <c r="U103" s="3557"/>
      <c r="V103" s="3517"/>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3"/>
      <c r="D104" s="3533"/>
      <c r="E104" s="106" t="s">
        <v>2137</v>
      </c>
      <c r="F104" s="1"/>
      <c r="G104" s="84"/>
      <c r="H104" s="36" t="s">
        <v>1432</v>
      </c>
      <c r="I104" s="84"/>
      <c r="J104" s="2337">
        <f>GU48</f>
        <v>0</v>
      </c>
      <c r="K104" s="2338">
        <f>GV48</f>
        <v>14</v>
      </c>
      <c r="L104" s="2338">
        <f>GW48</f>
        <v>30</v>
      </c>
      <c r="M104" s="2338">
        <f>GX48</f>
        <v>32</v>
      </c>
      <c r="N104" s="2339">
        <f>GY48</f>
        <v>0</v>
      </c>
      <c r="O104" s="1115">
        <f t="shared" si="358"/>
        <v>76</v>
      </c>
      <c r="R104" s="3516"/>
      <c r="S104" s="3557"/>
      <c r="T104" s="3557"/>
      <c r="U104" s="3557"/>
      <c r="V104" s="3517"/>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3"/>
      <c r="D105" s="3533"/>
      <c r="E105" s="114"/>
      <c r="F105" s="1"/>
      <c r="G105" s="84"/>
      <c r="H105" s="36" t="s">
        <v>303</v>
      </c>
      <c r="I105" s="84"/>
      <c r="J105" s="2343">
        <f>GZ48</f>
        <v>0</v>
      </c>
      <c r="K105" s="2344">
        <f>HA48</f>
        <v>0</v>
      </c>
      <c r="L105" s="2344">
        <f>HB48</f>
        <v>0</v>
      </c>
      <c r="M105" s="2344">
        <f>HC48</f>
        <v>0</v>
      </c>
      <c r="N105" s="2345">
        <f>HD48</f>
        <v>0</v>
      </c>
      <c r="O105" s="1111">
        <f t="shared" si="358"/>
        <v>0</v>
      </c>
      <c r="R105" s="3516"/>
      <c r="S105" s="3557"/>
      <c r="T105" s="3557"/>
      <c r="U105" s="3557"/>
      <c r="V105" s="3517"/>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3"/>
      <c r="D106" s="3533"/>
      <c r="E106" s="114"/>
      <c r="F106" s="1"/>
      <c r="G106" s="84"/>
      <c r="H106" s="88" t="s">
        <v>32</v>
      </c>
      <c r="I106" s="84"/>
      <c r="J106" s="2293">
        <f>SUM(J104:J105)+HE48</f>
        <v>0</v>
      </c>
      <c r="K106" s="2293">
        <f>SUM(K104:K105)+HF48</f>
        <v>14</v>
      </c>
      <c r="L106" s="2293">
        <f>SUM(L104:L105)+HG48</f>
        <v>30</v>
      </c>
      <c r="M106" s="2293">
        <f>SUM(M104:M105)+HH48</f>
        <v>32</v>
      </c>
      <c r="N106" s="2293">
        <f>SUM(N104:N105)+HI48</f>
        <v>0</v>
      </c>
      <c r="O106" s="2293">
        <f t="shared" si="358"/>
        <v>76</v>
      </c>
      <c r="R106" s="3516"/>
      <c r="S106" s="3557"/>
      <c r="T106" s="3557"/>
      <c r="U106" s="3557"/>
      <c r="V106" s="3517"/>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4" t="s">
        <v>1419</v>
      </c>
      <c r="F107" s="3534"/>
      <c r="G107" s="84"/>
      <c r="H107" s="36" t="s">
        <v>1432</v>
      </c>
      <c r="I107" s="84"/>
      <c r="J107" s="2337">
        <f>HJ48</f>
        <v>0</v>
      </c>
      <c r="K107" s="2338">
        <f>HK48</f>
        <v>0</v>
      </c>
      <c r="L107" s="2338">
        <f>HL48</f>
        <v>0</v>
      </c>
      <c r="M107" s="2338">
        <f>HM48</f>
        <v>0</v>
      </c>
      <c r="N107" s="2339">
        <f>HN48</f>
        <v>0</v>
      </c>
      <c r="O107" s="1115">
        <f t="shared" si="358"/>
        <v>0</v>
      </c>
      <c r="R107" s="3516"/>
      <c r="S107" s="3557"/>
      <c r="T107" s="3557"/>
      <c r="U107" s="3557"/>
      <c r="V107" s="3517"/>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4"/>
      <c r="F108" s="3534"/>
      <c r="G108" s="84"/>
      <c r="H108" s="36" t="s">
        <v>303</v>
      </c>
      <c r="I108" s="84"/>
      <c r="J108" s="2343">
        <f>HO48</f>
        <v>0</v>
      </c>
      <c r="K108" s="2344">
        <f>HP48</f>
        <v>0</v>
      </c>
      <c r="L108" s="2344">
        <f>HQ48</f>
        <v>0</v>
      </c>
      <c r="M108" s="2344">
        <f>HR48</f>
        <v>0</v>
      </c>
      <c r="N108" s="2345">
        <f>HS48</f>
        <v>0</v>
      </c>
      <c r="O108" s="1111">
        <f t="shared" si="358"/>
        <v>0</v>
      </c>
      <c r="R108" s="3516"/>
      <c r="S108" s="3557"/>
      <c r="T108" s="3557"/>
      <c r="U108" s="3557"/>
      <c r="V108" s="3517"/>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6"/>
      <c r="S109" s="3557"/>
      <c r="T109" s="3557"/>
      <c r="U109" s="3557"/>
      <c r="V109" s="3517"/>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6"/>
      <c r="S110" s="3557"/>
      <c r="T110" s="3557"/>
      <c r="U110" s="3557"/>
      <c r="V110" s="3517"/>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4" t="str">
        <f>IF(AND('Part IV-A-Uses of Funds'!$T$165="Yes",'Part IX Scoring Criteria'!$O$420&gt;0,O111&lt;1),"SHOW HISTORIC UNITS HERE &gt;&gt;&gt;&gt;","")</f>
        <v/>
      </c>
      <c r="B111" s="3584"/>
      <c r="C111" s="3584"/>
      <c r="D111" s="3584"/>
      <c r="E111" s="557" t="s">
        <v>3395</v>
      </c>
      <c r="F111" s="1"/>
      <c r="G111" s="192"/>
      <c r="H111" s="84"/>
      <c r="I111" s="84"/>
      <c r="J111" s="692"/>
      <c r="K111" s="692"/>
      <c r="L111" s="692"/>
      <c r="M111" s="692"/>
      <c r="N111" s="692"/>
      <c r="O111" s="688">
        <f t="shared" si="358"/>
        <v>0</v>
      </c>
      <c r="R111" s="3516"/>
      <c r="S111" s="3557"/>
      <c r="T111" s="3557"/>
      <c r="U111" s="3557"/>
      <c r="V111" s="3517"/>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6"/>
      <c r="S112" s="3557"/>
      <c r="T112" s="3557"/>
      <c r="U112" s="3557"/>
      <c r="V112" s="3517"/>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8"/>
      <c r="S113" s="3559"/>
      <c r="T113" s="3559"/>
      <c r="U113" s="3559"/>
      <c r="V113" s="3560"/>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29" t="s">
        <v>4089</v>
      </c>
      <c r="D115" s="3529"/>
      <c r="E115" s="1429" t="s">
        <v>39</v>
      </c>
      <c r="F115" s="1147"/>
      <c r="G115" s="1430"/>
      <c r="H115" s="1431"/>
      <c r="I115" s="1432"/>
      <c r="J115" s="2367">
        <f t="shared" ref="J115:O115" si="359">SUM(J116:J123)</f>
        <v>0</v>
      </c>
      <c r="K115" s="2368">
        <f t="shared" si="359"/>
        <v>14</v>
      </c>
      <c r="L115" s="2368">
        <f t="shared" si="359"/>
        <v>30</v>
      </c>
      <c r="M115" s="2368">
        <f t="shared" si="359"/>
        <v>32</v>
      </c>
      <c r="N115" s="2369">
        <f t="shared" si="359"/>
        <v>0</v>
      </c>
      <c r="O115" s="2298">
        <f t="shared" si="359"/>
        <v>76</v>
      </c>
      <c r="R115" s="3524"/>
      <c r="S115" s="3561"/>
      <c r="T115" s="3561"/>
      <c r="U115" s="3561"/>
      <c r="V115" s="352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0"/>
      <c r="D116" s="3530"/>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16"/>
      <c r="S116" s="3557"/>
      <c r="T116" s="3557"/>
      <c r="U116" s="3557"/>
      <c r="V116" s="3517"/>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0"/>
      <c r="D117" s="3530"/>
      <c r="E117" s="106"/>
      <c r="F117" s="5"/>
      <c r="G117" s="156"/>
      <c r="H117" s="97" t="s">
        <v>3356</v>
      </c>
      <c r="I117" s="1433"/>
      <c r="J117" s="2370">
        <f>JW48</f>
        <v>0</v>
      </c>
      <c r="K117" s="2371">
        <f>JX48</f>
        <v>0</v>
      </c>
      <c r="L117" s="2371">
        <f>JY48</f>
        <v>0</v>
      </c>
      <c r="M117" s="2371">
        <f>JZ48</f>
        <v>0</v>
      </c>
      <c r="N117" s="2372">
        <f>KA48</f>
        <v>0</v>
      </c>
      <c r="O117" s="690">
        <f t="shared" si="360"/>
        <v>0</v>
      </c>
      <c r="R117" s="3516"/>
      <c r="S117" s="3557"/>
      <c r="T117" s="3557"/>
      <c r="U117" s="3557"/>
      <c r="V117" s="3517"/>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0"/>
      <c r="D118" s="3530"/>
      <c r="E118" s="106"/>
      <c r="F118" s="5"/>
      <c r="G118" s="156"/>
      <c r="H118" s="1021" t="s">
        <v>2604</v>
      </c>
      <c r="I118" s="1433"/>
      <c r="J118" s="2340">
        <f>KB48</f>
        <v>0</v>
      </c>
      <c r="K118" s="2341">
        <f>KC48</f>
        <v>14</v>
      </c>
      <c r="L118" s="2341">
        <f>KD48</f>
        <v>30</v>
      </c>
      <c r="M118" s="2341">
        <f>KE48</f>
        <v>32</v>
      </c>
      <c r="N118" s="2342">
        <f>KF48</f>
        <v>0</v>
      </c>
      <c r="O118" s="693">
        <f t="shared" si="360"/>
        <v>76</v>
      </c>
      <c r="R118" s="3516"/>
      <c r="S118" s="3557"/>
      <c r="T118" s="3557"/>
      <c r="U118" s="3557"/>
      <c r="V118" s="3517"/>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0"/>
      <c r="D119" s="3530"/>
      <c r="E119" s="106"/>
      <c r="F119" s="5"/>
      <c r="G119" s="156"/>
      <c r="H119" s="97" t="s">
        <v>3356</v>
      </c>
      <c r="I119" s="1433"/>
      <c r="J119" s="2370">
        <f>KG48</f>
        <v>0</v>
      </c>
      <c r="K119" s="2371">
        <f>KH48</f>
        <v>0</v>
      </c>
      <c r="L119" s="2371">
        <f>KI48</f>
        <v>0</v>
      </c>
      <c r="M119" s="2371">
        <f>KJ48</f>
        <v>0</v>
      </c>
      <c r="N119" s="2372">
        <f>KK48</f>
        <v>0</v>
      </c>
      <c r="O119" s="690">
        <f t="shared" si="360"/>
        <v>0</v>
      </c>
      <c r="R119" s="3516"/>
      <c r="S119" s="3557"/>
      <c r="T119" s="3557"/>
      <c r="U119" s="3557"/>
      <c r="V119" s="3517"/>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0"/>
      <c r="D120" s="3530"/>
      <c r="E120" s="106"/>
      <c r="F120" s="5"/>
      <c r="G120" s="156"/>
      <c r="H120" s="1021" t="s">
        <v>2606</v>
      </c>
      <c r="I120" s="1433"/>
      <c r="J120" s="2340">
        <f>KL48</f>
        <v>0</v>
      </c>
      <c r="K120" s="2341">
        <f>KM48</f>
        <v>0</v>
      </c>
      <c r="L120" s="2341">
        <f>KN48</f>
        <v>0</v>
      </c>
      <c r="M120" s="2341">
        <f>KO48</f>
        <v>0</v>
      </c>
      <c r="N120" s="2342">
        <f>KP48</f>
        <v>0</v>
      </c>
      <c r="O120" s="693">
        <f t="shared" si="360"/>
        <v>0</v>
      </c>
      <c r="R120" s="3516"/>
      <c r="S120" s="3557"/>
      <c r="T120" s="3557"/>
      <c r="U120" s="3557"/>
      <c r="V120" s="3517"/>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0"/>
      <c r="D121" s="3530"/>
      <c r="E121" s="106"/>
      <c r="F121" s="5"/>
      <c r="G121" s="156"/>
      <c r="H121" s="97" t="s">
        <v>3356</v>
      </c>
      <c r="I121" s="1433"/>
      <c r="J121" s="2370">
        <f>KQ48</f>
        <v>0</v>
      </c>
      <c r="K121" s="2371">
        <f>KR48</f>
        <v>0</v>
      </c>
      <c r="L121" s="2371">
        <f>KS48</f>
        <v>0</v>
      </c>
      <c r="M121" s="2371">
        <f>KT48</f>
        <v>0</v>
      </c>
      <c r="N121" s="2372">
        <f>KU48</f>
        <v>0</v>
      </c>
      <c r="O121" s="690">
        <f t="shared" si="360"/>
        <v>0</v>
      </c>
      <c r="R121" s="3516"/>
      <c r="S121" s="3557"/>
      <c r="T121" s="3557"/>
      <c r="U121" s="3557"/>
      <c r="V121" s="3517"/>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0"/>
      <c r="D122" s="3530"/>
      <c r="E122" s="106"/>
      <c r="F122" s="1"/>
      <c r="G122" s="84"/>
      <c r="H122" s="40" t="s">
        <v>2605</v>
      </c>
      <c r="I122" s="84"/>
      <c r="J122" s="2340">
        <f>KV48</f>
        <v>0</v>
      </c>
      <c r="K122" s="2341">
        <f>KW48</f>
        <v>0</v>
      </c>
      <c r="L122" s="2341">
        <f>KX48</f>
        <v>0</v>
      </c>
      <c r="M122" s="2341">
        <f>KY48</f>
        <v>0</v>
      </c>
      <c r="N122" s="2342">
        <f>KZ48</f>
        <v>0</v>
      </c>
      <c r="O122" s="693">
        <f t="shared" si="360"/>
        <v>0</v>
      </c>
      <c r="R122" s="3516"/>
      <c r="S122" s="3557"/>
      <c r="T122" s="3557"/>
      <c r="U122" s="3557"/>
      <c r="V122" s="3517"/>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0"/>
      <c r="D123" s="3530"/>
      <c r="E123" s="106"/>
      <c r="F123" s="1"/>
      <c r="G123" s="84"/>
      <c r="H123" s="1017" t="s">
        <v>3356</v>
      </c>
      <c r="I123" s="84"/>
      <c r="J123" s="2340">
        <f>LA48</f>
        <v>0</v>
      </c>
      <c r="K123" s="2341">
        <f>LB48</f>
        <v>0</v>
      </c>
      <c r="L123" s="2341">
        <f>LC48</f>
        <v>0</v>
      </c>
      <c r="M123" s="2341">
        <f>LD48</f>
        <v>0</v>
      </c>
      <c r="N123" s="2342">
        <f>LE48</f>
        <v>0</v>
      </c>
      <c r="O123" s="1110">
        <f t="shared" si="360"/>
        <v>0</v>
      </c>
      <c r="R123" s="3516"/>
      <c r="S123" s="3557"/>
      <c r="T123" s="3557"/>
      <c r="U123" s="3557"/>
      <c r="V123" s="3517"/>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6"/>
      <c r="S124" s="3557"/>
      <c r="T124" s="3557"/>
      <c r="U124" s="3557"/>
      <c r="V124" s="3517"/>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16"/>
      <c r="S125" s="3557"/>
      <c r="T125" s="3557"/>
      <c r="U125" s="3557"/>
      <c r="V125" s="3517"/>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6"/>
      <c r="S126" s="3557"/>
      <c r="T126" s="3557"/>
      <c r="U126" s="3557"/>
      <c r="V126" s="3517"/>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16"/>
      <c r="S127" s="3557"/>
      <c r="T127" s="3557"/>
      <c r="U127" s="3557"/>
      <c r="V127" s="3517"/>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6"/>
      <c r="S128" s="3557"/>
      <c r="T128" s="3557"/>
      <c r="U128" s="3557"/>
      <c r="V128" s="3517"/>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16"/>
      <c r="S129" s="3557"/>
      <c r="T129" s="3557"/>
      <c r="U129" s="3557"/>
      <c r="V129" s="3517"/>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6"/>
      <c r="S130" s="3557"/>
      <c r="T130" s="3557"/>
      <c r="U130" s="3557"/>
      <c r="V130" s="3517"/>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58"/>
      <c r="S131" s="3559"/>
      <c r="T131" s="3559"/>
      <c r="U131" s="3559"/>
      <c r="V131" s="3560"/>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5005</v>
      </c>
      <c r="K133" s="3496" t="str">
        <f>K53</f>
        <v>40% of Units at 60% of AMI</v>
      </c>
      <c r="L133" s="3497"/>
      <c r="M133" s="3497"/>
      <c r="N133" s="3498"/>
      <c r="O133" s="84"/>
      <c r="R133" s="3500" t="str">
        <f>B133</f>
        <v>UNIT SUMMARY (Continued)</v>
      </c>
      <c r="S133" s="3500"/>
      <c r="T133" s="3500"/>
      <c r="U133" s="3500"/>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29" t="s">
        <v>4610</v>
      </c>
      <c r="D135" s="3529"/>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4"/>
      <c r="S135" s="3561"/>
      <c r="T135" s="3561"/>
      <c r="U135" s="3561"/>
      <c r="V135" s="352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0"/>
      <c r="D136" s="3530"/>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16"/>
      <c r="S136" s="3557"/>
      <c r="T136" s="3557"/>
      <c r="U136" s="3557"/>
      <c r="V136" s="3517"/>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0"/>
      <c r="D137" s="3530"/>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6"/>
      <c r="S137" s="3557"/>
      <c r="T137" s="3557"/>
      <c r="U137" s="3557"/>
      <c r="V137" s="3517"/>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0"/>
      <c r="D138" s="3530"/>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16"/>
      <c r="S138" s="3557"/>
      <c r="T138" s="3557"/>
      <c r="U138" s="3557"/>
      <c r="V138" s="3517"/>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0"/>
      <c r="D139" s="3530"/>
      <c r="E139" s="106" t="s">
        <v>3353</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6"/>
      <c r="S139" s="3557"/>
      <c r="T139" s="3557"/>
      <c r="U139" s="3557"/>
      <c r="V139" s="3517"/>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0"/>
      <c r="D140" s="3530"/>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16"/>
      <c r="S140" s="3557"/>
      <c r="T140" s="3557"/>
      <c r="U140" s="3557"/>
      <c r="V140" s="3517"/>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0"/>
      <c r="D141" s="3530"/>
      <c r="E141" s="106" t="s">
        <v>3354</v>
      </c>
      <c r="F141" s="563"/>
      <c r="G141" s="156"/>
      <c r="H141" s="1021"/>
      <c r="I141" s="1433"/>
      <c r="J141" s="2382">
        <f t="shared" ref="J141:N142" si="365">J118+J122</f>
        <v>0</v>
      </c>
      <c r="K141" s="2383">
        <f t="shared" si="365"/>
        <v>14</v>
      </c>
      <c r="L141" s="2383">
        <f t="shared" si="365"/>
        <v>30</v>
      </c>
      <c r="M141" s="2383">
        <f t="shared" si="365"/>
        <v>32</v>
      </c>
      <c r="N141" s="2384">
        <f t="shared" si="365"/>
        <v>0</v>
      </c>
      <c r="O141" s="1113">
        <f t="shared" si="362"/>
        <v>76</v>
      </c>
      <c r="R141" s="3516"/>
      <c r="S141" s="3557"/>
      <c r="T141" s="3557"/>
      <c r="U141" s="3557"/>
      <c r="V141" s="3517"/>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76" t="s">
        <v>5038</v>
      </c>
      <c r="R142" s="3558"/>
      <c r="S142" s="3559"/>
      <c r="T142" s="3559"/>
      <c r="U142" s="3559"/>
      <c r="V142" s="3560"/>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6"/>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6"/>
      <c r="R144" s="3572" t="str">
        <f>B144</f>
        <v>Unit Square Footage:</v>
      </c>
      <c r="S144" s="3572"/>
      <c r="T144" s="3572"/>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4621</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4"/>
      <c r="S145" s="3561"/>
      <c r="T145" s="3561"/>
      <c r="U145" s="3561"/>
      <c r="V145" s="352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8">
        <f>EM48</f>
        <v>0</v>
      </c>
      <c r="K146" s="2389">
        <f>EN48</f>
        <v>0</v>
      </c>
      <c r="L146" s="2389">
        <f>EO48</f>
        <v>0</v>
      </c>
      <c r="M146" s="2389">
        <f>EP48</f>
        <v>0</v>
      </c>
      <c r="N146" s="2390">
        <f>EQ48</f>
        <v>0</v>
      </c>
      <c r="O146" s="2288">
        <f t="shared" si="366"/>
        <v>0</v>
      </c>
      <c r="P146" s="2604" t="str">
        <f t="shared" si="367"/>
        <v/>
      </c>
      <c r="R146" s="3516"/>
      <c r="S146" s="3557"/>
      <c r="T146" s="3557"/>
      <c r="U146" s="3557"/>
      <c r="V146" s="3517"/>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8624</v>
      </c>
      <c r="L147" s="2389">
        <f>ET48</f>
        <v>24960</v>
      </c>
      <c r="M147" s="2389">
        <f>EU48</f>
        <v>30688</v>
      </c>
      <c r="N147" s="2390">
        <f>EV48</f>
        <v>0</v>
      </c>
      <c r="O147" s="2288">
        <f t="shared" si="366"/>
        <v>64272</v>
      </c>
      <c r="P147" s="2604">
        <f t="shared" si="367"/>
        <v>845.68421052631584</v>
      </c>
      <c r="R147" s="3516"/>
      <c r="S147" s="3557"/>
      <c r="T147" s="3557"/>
      <c r="U147" s="3557"/>
      <c r="V147" s="3517"/>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6"/>
      <c r="S148" s="3557"/>
      <c r="T148" s="3557"/>
      <c r="U148" s="3557"/>
      <c r="V148" s="3517"/>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3"/>
      <c r="J149" s="2388">
        <f>FB48</f>
        <v>0</v>
      </c>
      <c r="K149" s="2389">
        <f>FC48</f>
        <v>0</v>
      </c>
      <c r="L149" s="2389">
        <f>FD48</f>
        <v>0</v>
      </c>
      <c r="M149" s="2389">
        <f>FE48</f>
        <v>0</v>
      </c>
      <c r="N149" s="2390">
        <f>FF48</f>
        <v>0</v>
      </c>
      <c r="O149" s="2288">
        <f t="shared" si="366"/>
        <v>0</v>
      </c>
      <c r="P149" s="2604" t="str">
        <f t="shared" si="367"/>
        <v/>
      </c>
      <c r="R149" s="3516"/>
      <c r="S149" s="3557"/>
      <c r="T149" s="3557"/>
      <c r="U149" s="3557"/>
      <c r="V149" s="3517"/>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8">
        <f>FG48</f>
        <v>0</v>
      </c>
      <c r="K150" s="2389">
        <f>FH48</f>
        <v>0</v>
      </c>
      <c r="L150" s="2389">
        <f>FI48</f>
        <v>0</v>
      </c>
      <c r="M150" s="2389">
        <f>FJ48</f>
        <v>0</v>
      </c>
      <c r="N150" s="2390">
        <f>FK48</f>
        <v>0</v>
      </c>
      <c r="O150" s="2288">
        <f t="shared" si="366"/>
        <v>0</v>
      </c>
      <c r="P150" s="2604" t="str">
        <f t="shared" si="367"/>
        <v/>
      </c>
      <c r="R150" s="3516"/>
      <c r="S150" s="3557"/>
      <c r="T150" s="3557"/>
      <c r="U150" s="3557"/>
      <c r="V150" s="3517"/>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1">
        <f>FL48</f>
        <v>0</v>
      </c>
      <c r="K151" s="2362">
        <f>FM48</f>
        <v>0</v>
      </c>
      <c r="L151" s="2362">
        <f>FN48</f>
        <v>0</v>
      </c>
      <c r="M151" s="2362">
        <f>FO48</f>
        <v>0</v>
      </c>
      <c r="N151" s="2363">
        <f>FP48</f>
        <v>0</v>
      </c>
      <c r="O151" s="2289">
        <f t="shared" si="366"/>
        <v>0</v>
      </c>
      <c r="P151" s="2604" t="str">
        <f t="shared" si="367"/>
        <v/>
      </c>
      <c r="R151" s="3516"/>
      <c r="S151" s="3557"/>
      <c r="T151" s="3557"/>
      <c r="U151" s="3557"/>
      <c r="V151" s="3517"/>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4706</v>
      </c>
      <c r="I152" s="84"/>
      <c r="J152" s="2297">
        <f>SUM(J145:J151)</f>
        <v>0</v>
      </c>
      <c r="K152" s="2297">
        <f>SUM(K145:K151)</f>
        <v>8624</v>
      </c>
      <c r="L152" s="2297">
        <f>SUM(L145:L151)</f>
        <v>24960</v>
      </c>
      <c r="M152" s="2297">
        <f>SUM(M145:M151)</f>
        <v>30688</v>
      </c>
      <c r="N152" s="2297">
        <f>SUM(N145:N151)</f>
        <v>0</v>
      </c>
      <c r="O152" s="2297">
        <f>SUM(J152:N152)</f>
        <v>64272</v>
      </c>
      <c r="R152" s="3516"/>
      <c r="S152" s="3557"/>
      <c r="T152" s="3557"/>
      <c r="U152" s="3557"/>
      <c r="V152" s="3517"/>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6"/>
      <c r="S153" s="3557"/>
      <c r="T153" s="3557"/>
      <c r="U153" s="3557"/>
      <c r="V153" s="3517"/>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8624</v>
      </c>
      <c r="L154" s="2296">
        <f>SUM(L152:L153)</f>
        <v>24960</v>
      </c>
      <c r="M154" s="2296">
        <f>SUM(M152:M153)</f>
        <v>30688</v>
      </c>
      <c r="N154" s="2296">
        <f>SUM(N152:N153)</f>
        <v>0</v>
      </c>
      <c r="O154" s="2296">
        <f>SUM(J154:N154)</f>
        <v>64272</v>
      </c>
      <c r="R154" s="3516"/>
      <c r="S154" s="3557"/>
      <c r="T154" s="3557"/>
      <c r="U154" s="3557"/>
      <c r="V154" s="3517"/>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6"/>
      <c r="S155" s="3557"/>
      <c r="T155" s="3557"/>
      <c r="U155" s="3557"/>
      <c r="V155" s="3517"/>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8624</v>
      </c>
      <c r="L156" s="2294">
        <f>SUM(L154:L155)</f>
        <v>24960</v>
      </c>
      <c r="M156" s="2294">
        <f>SUM(M154:M155)</f>
        <v>30688</v>
      </c>
      <c r="N156" s="2294">
        <f>SUM(N154:N155)</f>
        <v>0</v>
      </c>
      <c r="O156" s="2294">
        <f>SUM(J156:N156)</f>
        <v>64272</v>
      </c>
      <c r="R156" s="3558"/>
      <c r="S156" s="3559"/>
      <c r="T156" s="3559"/>
      <c r="U156" s="3559"/>
      <c r="V156" s="3560"/>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f>IF(OR(K67="",K67=0),"",K156/K67)</f>
        <v>616</v>
      </c>
      <c r="L159" s="2603">
        <f>IF(OR(L67="",L67=0),"",L156/L67)</f>
        <v>832</v>
      </c>
      <c r="M159" s="2603">
        <f>IF(OR(M67="",M67=0),"",M156/M67)</f>
        <v>959</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1">
        <f>'Part VII-Pro Forma'!B9*L49</f>
        <v>19330.080000000002</v>
      </c>
      <c r="I173" s="3532"/>
      <c r="J173" s="91"/>
      <c r="K173" s="554" t="s">
        <v>2741</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4"/>
      <c r="S177" s="3561"/>
      <c r="T177" s="3561"/>
      <c r="U177" s="3561"/>
      <c r="V177" s="3525"/>
    </row>
    <row r="178" spans="2:22" ht="13.5" customHeight="1">
      <c r="B178" s="114" t="s">
        <v>741</v>
      </c>
      <c r="C178" s="3526"/>
      <c r="D178" s="3527"/>
      <c r="E178" s="3527"/>
      <c r="F178" s="3528"/>
      <c r="G178" s="1059"/>
      <c r="H178" s="1059"/>
      <c r="I178" s="1059"/>
      <c r="J178" s="1059"/>
      <c r="K178" s="1060"/>
      <c r="L178" s="1059"/>
      <c r="M178" s="1059"/>
      <c r="N178" s="1059"/>
      <c r="O178" s="1059"/>
      <c r="P178" s="1059"/>
      <c r="Q178" s="998"/>
      <c r="R178" s="3516"/>
      <c r="S178" s="3557"/>
      <c r="T178" s="3557"/>
      <c r="U178" s="3557"/>
      <c r="V178" s="3517"/>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8"/>
      <c r="S179" s="3559"/>
      <c r="T179" s="3559"/>
      <c r="U179" s="3559"/>
      <c r="V179" s="3560"/>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4"/>
      <c r="S181" s="3561"/>
      <c r="T181" s="3561"/>
      <c r="U181" s="3561"/>
      <c r="V181" s="3525"/>
    </row>
    <row r="182" spans="2:22" ht="13.5" customHeight="1">
      <c r="B182" s="114" t="s">
        <v>741</v>
      </c>
      <c r="C182" s="3526"/>
      <c r="D182" s="3527"/>
      <c r="E182" s="3527"/>
      <c r="F182" s="3528"/>
      <c r="G182" s="1059"/>
      <c r="H182" s="1059"/>
      <c r="I182" s="1059"/>
      <c r="J182" s="1059"/>
      <c r="K182" s="1060"/>
      <c r="L182" s="1059"/>
      <c r="M182" s="1059"/>
      <c r="N182" s="1059"/>
      <c r="O182" s="1059"/>
      <c r="P182" s="1059"/>
      <c r="Q182" s="998"/>
      <c r="R182" s="3516"/>
      <c r="S182" s="3557"/>
      <c r="T182" s="3557"/>
      <c r="U182" s="3557"/>
      <c r="V182" s="3517"/>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8"/>
      <c r="S183" s="3559"/>
      <c r="T183" s="3559"/>
      <c r="U183" s="3559"/>
      <c r="V183" s="3560"/>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4"/>
      <c r="S186" s="3561"/>
      <c r="T186" s="3561"/>
      <c r="U186" s="3561"/>
      <c r="V186" s="3525"/>
    </row>
    <row r="187" spans="2:22" ht="13.5" customHeight="1">
      <c r="B187" s="114" t="s">
        <v>741</v>
      </c>
      <c r="C187" s="3526"/>
      <c r="D187" s="3527"/>
      <c r="E187" s="3527"/>
      <c r="F187" s="3528"/>
      <c r="G187" s="1059"/>
      <c r="H187" s="1059"/>
      <c r="I187" s="1059"/>
      <c r="J187" s="1059"/>
      <c r="K187" s="1060"/>
      <c r="L187" s="1059"/>
      <c r="M187" s="1059"/>
      <c r="N187" s="1059"/>
      <c r="O187" s="1059"/>
      <c r="P187" s="1059"/>
      <c r="Q187" s="998"/>
      <c r="R187" s="3516"/>
      <c r="S187" s="3557"/>
      <c r="T187" s="3557"/>
      <c r="U187" s="3557"/>
      <c r="V187" s="3517"/>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8"/>
      <c r="S188" s="3559"/>
      <c r="T188" s="3559"/>
      <c r="U188" s="3559"/>
      <c r="V188" s="3560"/>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4"/>
      <c r="S190" s="3561"/>
      <c r="T190" s="3561"/>
      <c r="U190" s="3561"/>
      <c r="V190" s="3525"/>
    </row>
    <row r="191" spans="2:22" ht="13.5" customHeight="1">
      <c r="B191" s="114" t="s">
        <v>741</v>
      </c>
      <c r="C191" s="3526"/>
      <c r="D191" s="3527"/>
      <c r="E191" s="3527"/>
      <c r="F191" s="3528"/>
      <c r="G191" s="1059"/>
      <c r="H191" s="1059"/>
      <c r="I191" s="1059"/>
      <c r="J191" s="1059"/>
      <c r="K191" s="1060"/>
      <c r="L191" s="1059"/>
      <c r="M191" s="1059"/>
      <c r="N191" s="1059"/>
      <c r="O191" s="1059"/>
      <c r="P191" s="1059"/>
      <c r="Q191" s="998"/>
      <c r="R191" s="3516"/>
      <c r="S191" s="3557"/>
      <c r="T191" s="3557"/>
      <c r="U191" s="3557"/>
      <c r="V191" s="3517"/>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8"/>
      <c r="S192" s="3559"/>
      <c r="T192" s="3559"/>
      <c r="U192" s="3559"/>
      <c r="V192" s="3560"/>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4"/>
      <c r="S195" s="3561"/>
      <c r="T195" s="3561"/>
      <c r="U195" s="3561"/>
      <c r="V195" s="3525"/>
    </row>
    <row r="196" spans="2:22" ht="13.5" customHeight="1">
      <c r="B196" s="114" t="s">
        <v>741</v>
      </c>
      <c r="C196" s="3526"/>
      <c r="D196" s="3527"/>
      <c r="E196" s="3527"/>
      <c r="F196" s="3528"/>
      <c r="G196" s="1059"/>
      <c r="H196" s="1059"/>
      <c r="I196" s="1059"/>
      <c r="J196" s="1059"/>
      <c r="K196" s="1060"/>
      <c r="L196" s="1059"/>
      <c r="M196" s="1059"/>
      <c r="N196" s="1059"/>
      <c r="O196" s="1059"/>
      <c r="P196" s="1059"/>
      <c r="Q196" s="998"/>
      <c r="R196" s="3516"/>
      <c r="S196" s="3557"/>
      <c r="T196" s="3557"/>
      <c r="U196" s="3557"/>
      <c r="V196" s="3517"/>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8"/>
      <c r="S197" s="3559"/>
      <c r="T197" s="3559"/>
      <c r="U197" s="3559"/>
      <c r="V197" s="3560"/>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4"/>
      <c r="S199" s="3561"/>
      <c r="T199" s="3561"/>
      <c r="U199" s="3561"/>
      <c r="V199" s="3525"/>
    </row>
    <row r="200" spans="2:22" ht="13.5" customHeight="1">
      <c r="B200" s="114" t="s">
        <v>741</v>
      </c>
      <c r="C200" s="3526"/>
      <c r="D200" s="3527"/>
      <c r="E200" s="3527"/>
      <c r="F200" s="3528"/>
      <c r="G200" s="1059"/>
      <c r="H200" s="1059"/>
      <c r="I200" s="1059"/>
      <c r="J200" s="1059"/>
      <c r="K200" s="1060"/>
      <c r="L200" s="1059"/>
      <c r="M200" s="1059"/>
      <c r="N200" s="1059"/>
      <c r="O200" s="1059"/>
      <c r="P200" s="1059"/>
      <c r="Q200" s="998"/>
      <c r="R200" s="3516"/>
      <c r="S200" s="3557"/>
      <c r="T200" s="3557"/>
      <c r="U200" s="3557"/>
      <c r="V200" s="3517"/>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8"/>
      <c r="S201" s="3559"/>
      <c r="T201" s="3559"/>
      <c r="U201" s="3559"/>
      <c r="V201" s="3560"/>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4"/>
      <c r="S204" s="3561"/>
      <c r="T204" s="3561"/>
      <c r="U204" s="3561"/>
      <c r="V204" s="3525"/>
    </row>
    <row r="205" spans="2:22" ht="13.5" customHeight="1">
      <c r="B205" s="114" t="s">
        <v>741</v>
      </c>
      <c r="C205" s="3526"/>
      <c r="D205" s="3527"/>
      <c r="E205" s="3527"/>
      <c r="F205" s="3528"/>
      <c r="G205" s="1059"/>
      <c r="H205" s="1059"/>
      <c r="I205" s="1059"/>
      <c r="J205" s="1059"/>
      <c r="K205" s="1060"/>
      <c r="L205" s="91"/>
      <c r="M205" s="91"/>
      <c r="N205" s="91"/>
      <c r="O205" s="91"/>
      <c r="P205" s="91"/>
      <c r="Q205" s="8"/>
      <c r="R205" s="3516"/>
      <c r="S205" s="3557"/>
      <c r="T205" s="3557"/>
      <c r="U205" s="3557"/>
      <c r="V205" s="3517"/>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8"/>
      <c r="S206" s="3559"/>
      <c r="T206" s="3559"/>
      <c r="U206" s="3559"/>
      <c r="V206" s="3560"/>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4"/>
      <c r="S208" s="3561"/>
      <c r="T208" s="3561"/>
      <c r="U208" s="3561"/>
      <c r="V208" s="3525"/>
    </row>
    <row r="209" spans="1:492" ht="13.5" customHeight="1">
      <c r="B209" s="114" t="s">
        <v>741</v>
      </c>
      <c r="C209" s="3526"/>
      <c r="D209" s="3527"/>
      <c r="E209" s="3527"/>
      <c r="F209" s="3528"/>
      <c r="G209" s="1059"/>
      <c r="H209" s="1059"/>
      <c r="I209" s="1059"/>
      <c r="J209" s="1059"/>
      <c r="K209" s="1060"/>
      <c r="L209" s="91"/>
      <c r="M209" s="91"/>
      <c r="N209" s="91"/>
      <c r="O209" s="91"/>
      <c r="P209" s="91"/>
      <c r="Q209" s="8"/>
      <c r="R209" s="3516"/>
      <c r="S209" s="3557"/>
      <c r="T209" s="3557"/>
      <c r="U209" s="3557"/>
      <c r="V209" s="3517"/>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8"/>
      <c r="S210" s="3559"/>
      <c r="T210" s="3559"/>
      <c r="U210" s="3559"/>
      <c r="V210" s="356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4"/>
      <c r="S214" s="3561"/>
      <c r="T214" s="3561"/>
      <c r="U214" s="3561"/>
      <c r="V214" s="352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5">
        <v>32000</v>
      </c>
      <c r="G215" s="3536"/>
      <c r="H215" s="1"/>
      <c r="I215" s="1" t="s">
        <v>1378</v>
      </c>
      <c r="J215" s="1"/>
      <c r="K215" s="3535"/>
      <c r="L215" s="3536"/>
      <c r="M215" s="1"/>
      <c r="N215" s="1" t="s">
        <v>929</v>
      </c>
      <c r="O215" s="1"/>
      <c r="P215" s="2543">
        <v>48000</v>
      </c>
      <c r="Q215" s="998"/>
      <c r="R215" s="3516"/>
      <c r="S215" s="3557"/>
      <c r="T215" s="3557"/>
      <c r="U215" s="3557"/>
      <c r="V215" s="3517"/>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7">
        <v>32000</v>
      </c>
      <c r="G216" s="3538"/>
      <c r="H216" s="1"/>
      <c r="I216" s="1" t="s">
        <v>1379</v>
      </c>
      <c r="J216" s="1"/>
      <c r="K216" s="3539">
        <v>3000</v>
      </c>
      <c r="L216" s="3540"/>
      <c r="M216" s="1"/>
      <c r="N216" s="1" t="s">
        <v>147</v>
      </c>
      <c r="O216" s="1"/>
      <c r="P216" s="2544">
        <v>22800</v>
      </c>
      <c r="Q216" s="998"/>
      <c r="R216" s="3516"/>
      <c r="S216" s="3557"/>
      <c r="T216" s="3557"/>
      <c r="U216" s="3557"/>
      <c r="V216" s="3517"/>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7"/>
      <c r="G217" s="3538"/>
      <c r="H217" s="1"/>
      <c r="I217" s="1"/>
      <c r="J217" s="126" t="s">
        <v>191</v>
      </c>
      <c r="K217" s="3549">
        <f>SUM(K215:L216)</f>
        <v>3000</v>
      </c>
      <c r="L217" s="3550"/>
      <c r="M217" s="1"/>
      <c r="N217" s="3541" t="s">
        <v>51</v>
      </c>
      <c r="O217" s="3542"/>
      <c r="P217" s="2545"/>
      <c r="Q217" s="998"/>
      <c r="R217" s="3516"/>
      <c r="S217" s="3557"/>
      <c r="T217" s="3557"/>
      <c r="U217" s="3557"/>
      <c r="V217" s="3517"/>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1" t="s">
        <v>5336</v>
      </c>
      <c r="C218" s="3552"/>
      <c r="D218" s="3552"/>
      <c r="E218" s="3553"/>
      <c r="F218" s="3539">
        <v>19200</v>
      </c>
      <c r="G218" s="3540"/>
      <c r="H218" s="1"/>
      <c r="I218" s="1"/>
      <c r="J218" s="1"/>
      <c r="K218" s="1"/>
      <c r="L218" s="1"/>
      <c r="M218" s="1"/>
      <c r="N218" s="11" t="s">
        <v>191</v>
      </c>
      <c r="O218" s="1"/>
      <c r="P218" s="464">
        <f>SUM(P215:P217)</f>
        <v>70800</v>
      </c>
      <c r="Q218" s="993"/>
      <c r="R218" s="3516"/>
      <c r="S218" s="3557"/>
      <c r="T218" s="3557"/>
      <c r="U218" s="3557"/>
      <c r="V218" s="3517"/>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9">
        <f>SUM(F215:G218)</f>
        <v>83200</v>
      </c>
      <c r="G219" s="3550"/>
      <c r="H219" s="1"/>
      <c r="I219" s="1"/>
      <c r="J219" s="12"/>
      <c r="K219" s="1"/>
      <c r="L219" s="1"/>
      <c r="M219" s="1"/>
      <c r="N219" s="1"/>
      <c r="O219" s="1"/>
      <c r="P219" s="1"/>
      <c r="Q219" s="1"/>
      <c r="R219" s="3516"/>
      <c r="S219" s="3557"/>
      <c r="T219" s="3557"/>
      <c r="U219" s="3557"/>
      <c r="V219" s="3517"/>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6"/>
      <c r="S220" s="3557"/>
      <c r="T220" s="3557"/>
      <c r="U220" s="3557"/>
      <c r="V220" s="3517"/>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45841</v>
      </c>
      <c r="Q221" s="994"/>
      <c r="R221" s="3516"/>
      <c r="S221" s="3557"/>
      <c r="T221" s="3557"/>
      <c r="U221" s="3557"/>
      <c r="V221" s="3517"/>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4316">
        <f>1000+300</f>
        <v>1300</v>
      </c>
      <c r="G222" s="3536"/>
      <c r="H222" s="1"/>
      <c r="I222" s="1" t="s">
        <v>1602</v>
      </c>
      <c r="J222" s="1"/>
      <c r="K222" s="3545">
        <v>5000</v>
      </c>
      <c r="L222" s="3546"/>
      <c r="M222" s="1"/>
      <c r="N222" s="452">
        <f>+P221/(O67*0.93)</f>
        <v>648.5710243350311</v>
      </c>
      <c r="O222" s="67" t="s">
        <v>2755</v>
      </c>
      <c r="P222" s="1"/>
      <c r="Q222" s="1"/>
      <c r="R222" s="3516"/>
      <c r="S222" s="3557"/>
      <c r="T222" s="3557"/>
      <c r="U222" s="3557"/>
      <c r="V222" s="3517"/>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7">
        <v>1200</v>
      </c>
      <c r="G223" s="3538"/>
      <c r="H223" s="1"/>
      <c r="I223" s="1" t="s">
        <v>2049</v>
      </c>
      <c r="J223" s="1"/>
      <c r="K223" s="3547"/>
      <c r="L223" s="3548"/>
      <c r="M223" s="1"/>
      <c r="N223" s="452">
        <f>+P221/(O67*0.93)/12</f>
        <v>54.047585361252594</v>
      </c>
      <c r="O223" s="67" t="s">
        <v>2756</v>
      </c>
      <c r="P223" s="1"/>
      <c r="Q223" s="1"/>
      <c r="R223" s="3516"/>
      <c r="S223" s="3557"/>
      <c r="T223" s="3557"/>
      <c r="U223" s="3557"/>
      <c r="V223" s="3517"/>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7">
        <v>600</v>
      </c>
      <c r="G224" s="3538"/>
      <c r="H224" s="1"/>
      <c r="I224" s="1" t="s">
        <v>1603</v>
      </c>
      <c r="J224" s="1"/>
      <c r="K224" s="3547">
        <v>12000</v>
      </c>
      <c r="L224" s="3548"/>
      <c r="M224" s="1"/>
      <c r="N224" s="36" t="s">
        <v>3728</v>
      </c>
      <c r="O224" s="1129"/>
      <c r="P224" s="1129"/>
      <c r="Q224" s="1427"/>
      <c r="R224" s="3516"/>
      <c r="S224" s="3557"/>
      <c r="T224" s="3557"/>
      <c r="U224" s="3557"/>
      <c r="V224" s="3517"/>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7">
        <v>1000</v>
      </c>
      <c r="G225" s="3538"/>
      <c r="H225" s="1"/>
      <c r="I225" s="3541" t="s">
        <v>51</v>
      </c>
      <c r="J225" s="3542"/>
      <c r="K225" s="3543"/>
      <c r="L225" s="3544"/>
      <c r="M225" s="1"/>
      <c r="N225" s="1129"/>
      <c r="O225" s="1129"/>
      <c r="P225" s="1129"/>
      <c r="Q225" s="1427"/>
      <c r="R225" s="3516"/>
      <c r="S225" s="3557"/>
      <c r="T225" s="3557"/>
      <c r="U225" s="3557"/>
      <c r="V225" s="3517"/>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7"/>
      <c r="G226" s="3538"/>
      <c r="H226" s="1"/>
      <c r="I226" s="10"/>
      <c r="J226" s="11" t="s">
        <v>191</v>
      </c>
      <c r="K226" s="3554">
        <f>SUM(K222:K225)</f>
        <v>17000</v>
      </c>
      <c r="L226" s="3555"/>
      <c r="M226" s="3556" t="str">
        <f>IF(P228="","",IF(P226&lt;P228, "WARNING! OE below required minimum.",""))</f>
        <v/>
      </c>
      <c r="N226" s="10" t="s">
        <v>2186</v>
      </c>
      <c r="O226" s="5"/>
      <c r="P226" s="462">
        <f>F219+F228+F239+K217+K226+K236+P218+P221</f>
        <v>373361</v>
      </c>
      <c r="R226" s="3516"/>
      <c r="S226" s="3557"/>
      <c r="T226" s="3557"/>
      <c r="U226" s="3557"/>
      <c r="V226" s="3517"/>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1" t="s">
        <v>5337</v>
      </c>
      <c r="C227" s="3552"/>
      <c r="D227" s="3552"/>
      <c r="E227" s="3553"/>
      <c r="F227" s="3539">
        <f>4560+4560</f>
        <v>9120</v>
      </c>
      <c r="G227" s="3540"/>
      <c r="H227" s="1"/>
      <c r="I227" s="1"/>
      <c r="J227" s="12"/>
      <c r="K227" s="1"/>
      <c r="L227" s="1"/>
      <c r="M227" s="3556"/>
      <c r="N227" s="67" t="s">
        <v>2757</v>
      </c>
      <c r="O227" s="452">
        <f>+P226/O67</f>
        <v>4912.644736842105</v>
      </c>
      <c r="Q227" s="993"/>
      <c r="R227" s="3516"/>
      <c r="S227" s="3557"/>
      <c r="T227" s="3557"/>
      <c r="U227" s="3557"/>
      <c r="V227" s="3517"/>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9">
        <f>SUM(F222:G227)</f>
        <v>13220</v>
      </c>
      <c r="G228" s="3550"/>
      <c r="H228" s="1"/>
      <c r="I228" s="1"/>
      <c r="J228" s="12"/>
      <c r="K228" s="1"/>
      <c r="L228" s="1"/>
      <c r="M228" s="3556"/>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228000</v>
      </c>
      <c r="R228" s="3516"/>
      <c r="S228" s="3557"/>
      <c r="T228" s="3557"/>
      <c r="U228" s="3557"/>
      <c r="V228" s="3517"/>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6"/>
      <c r="N229" s="1"/>
      <c r="O229" s="1"/>
      <c r="P229" s="5"/>
      <c r="Q229" s="5"/>
      <c r="R229" s="3516"/>
      <c r="S229" s="3557"/>
      <c r="T229" s="3557"/>
      <c r="U229" s="3557"/>
      <c r="V229" s="3517"/>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5017</v>
      </c>
      <c r="K230" s="1"/>
      <c r="L230" s="1"/>
      <c r="M230" s="1"/>
      <c r="N230" s="10" t="s">
        <v>3480</v>
      </c>
      <c r="O230" s="10"/>
      <c r="P230" s="1449">
        <f>P239</f>
        <v>26600</v>
      </c>
      <c r="Q230" s="994"/>
      <c r="R230" s="3516"/>
      <c r="S230" s="3557"/>
      <c r="T230" s="3557"/>
      <c r="U230" s="3557"/>
      <c r="V230" s="3517"/>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8">
        <v>20000</v>
      </c>
      <c r="G231" s="3569"/>
      <c r="H231" s="1"/>
      <c r="I231" s="1" t="s">
        <v>1368</v>
      </c>
      <c r="J231" s="524">
        <f>K231/12/O67</f>
        <v>8.5526315789473681</v>
      </c>
      <c r="K231" s="3545">
        <v>7800</v>
      </c>
      <c r="L231" s="3546"/>
      <c r="M231" s="3564" t="str">
        <f>IF(P230&lt;P239, "WARNING! RR proposed is below the DCA required minimum.","")</f>
        <v/>
      </c>
      <c r="N231" s="1152" t="s">
        <v>5016</v>
      </c>
      <c r="O231" s="1147"/>
      <c r="P231" s="1153">
        <f>P230/O239</f>
        <v>350</v>
      </c>
      <c r="Q231" s="999"/>
      <c r="R231" s="3516"/>
      <c r="S231" s="3557"/>
      <c r="T231" s="3557"/>
      <c r="U231" s="3557"/>
      <c r="V231" s="3517"/>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0">
        <v>23500</v>
      </c>
      <c r="G232" s="3571"/>
      <c r="H232" s="1"/>
      <c r="I232" s="1" t="s">
        <v>1369</v>
      </c>
      <c r="J232" s="524">
        <f>K232/12/O67</f>
        <v>0</v>
      </c>
      <c r="K232" s="3547"/>
      <c r="L232" s="3548"/>
      <c r="M232" s="3564"/>
      <c r="N232" s="3565" t="s">
        <v>3738</v>
      </c>
      <c r="O232" s="3566"/>
      <c r="P232" s="3567"/>
      <c r="R232" s="3516"/>
      <c r="S232" s="3557"/>
      <c r="T232" s="3557"/>
      <c r="U232" s="3557"/>
      <c r="V232" s="3517"/>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0">
        <v>7000</v>
      </c>
      <c r="G233" s="3571"/>
      <c r="H233" s="1"/>
      <c r="I233" s="1" t="s">
        <v>2352</v>
      </c>
      <c r="J233" s="524">
        <f>K233/12/O67</f>
        <v>65.78947368421052</v>
      </c>
      <c r="K233" s="3547">
        <f>18000+36000+6000</f>
        <v>60000</v>
      </c>
      <c r="L233" s="3548"/>
      <c r="M233" s="3564"/>
      <c r="N233" s="1146" t="s">
        <v>2713</v>
      </c>
      <c r="O233" s="990" t="s">
        <v>3850</v>
      </c>
      <c r="P233" s="1148" t="s">
        <v>3437</v>
      </c>
      <c r="Q233" s="990"/>
      <c r="R233" s="3516"/>
      <c r="S233" s="3557"/>
      <c r="T233" s="3557"/>
      <c r="U233" s="3557"/>
      <c r="V233" s="3517"/>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7">
        <v>3500</v>
      </c>
      <c r="G234" s="3538"/>
      <c r="H234" s="1"/>
      <c r="I234" s="1" t="s">
        <v>1371</v>
      </c>
      <c r="J234" s="1"/>
      <c r="K234" s="3547">
        <v>13000</v>
      </c>
      <c r="L234" s="3548"/>
      <c r="M234" s="3564"/>
      <c r="N234" s="731" t="s">
        <v>39</v>
      </c>
      <c r="O234" s="732"/>
      <c r="P234" s="733"/>
      <c r="Q234" s="732"/>
      <c r="R234" s="3516"/>
      <c r="S234" s="3557"/>
      <c r="T234" s="3557"/>
      <c r="U234" s="3557"/>
      <c r="V234" s="3517"/>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7">
        <v>4000</v>
      </c>
      <c r="G235" s="3538"/>
      <c r="H235" s="1"/>
      <c r="I235" s="3541" t="s">
        <v>51</v>
      </c>
      <c r="J235" s="3542"/>
      <c r="K235" s="3543"/>
      <c r="L235" s="3544"/>
      <c r="M235" s="3564"/>
      <c r="N235" s="562" t="s">
        <v>3429</v>
      </c>
      <c r="O235" s="996" t="str">
        <f>CONCATENATE(SUM(ME48:MI48)," units x $",'DCA Underwriting Assumptions'!$Q$64," =")</f>
        <v>76 units x $350 =</v>
      </c>
      <c r="P235" s="734">
        <f>SUM(ME48:MI48)*'DCA Underwriting Assumptions'!$Q$64</f>
        <v>26600</v>
      </c>
      <c r="Q235" s="996"/>
      <c r="R235" s="3516"/>
      <c r="S235" s="3557"/>
      <c r="T235" s="3557"/>
      <c r="U235" s="3557"/>
      <c r="V235" s="3517"/>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7"/>
      <c r="G236" s="3538"/>
      <c r="H236" s="1"/>
      <c r="I236" s="1"/>
      <c r="J236" s="11" t="s">
        <v>191</v>
      </c>
      <c r="K236" s="3554">
        <f>SUM(K231:K235)</f>
        <v>80800</v>
      </c>
      <c r="L236" s="3555"/>
      <c r="M236" s="3564"/>
      <c r="N236" s="562" t="s">
        <v>3428</v>
      </c>
      <c r="O236" s="996" t="str">
        <f>CONCATENATE(SUM(MJ48:MN48)," units x $",'DCA Underwriting Assumptions'!$Q$65," =")</f>
        <v>0 units x $250 =</v>
      </c>
      <c r="P236" s="734">
        <f>SUM(MJ48:MN48)*'DCA Underwriting Assumptions'!$Q$65</f>
        <v>0</v>
      </c>
      <c r="Q236" s="996"/>
      <c r="R236" s="3516"/>
      <c r="S236" s="3557"/>
      <c r="T236" s="3557"/>
      <c r="U236" s="3557"/>
      <c r="V236" s="3517"/>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7">
        <v>1500</v>
      </c>
      <c r="G237" s="3538"/>
      <c r="H237" s="1"/>
      <c r="I237" s="1"/>
      <c r="J237" s="12"/>
      <c r="K237" s="1"/>
      <c r="L237" s="1"/>
      <c r="M237" s="3564"/>
      <c r="N237" s="735" t="s">
        <v>3432</v>
      </c>
      <c r="O237" s="996" t="str">
        <f>CONCATENATE(SUM(MO48:MS48)," units x $",'DCA Underwriting Assumptions'!$Q$66," =")</f>
        <v>0 units x $420 =</v>
      </c>
      <c r="P237" s="734">
        <f>SUM(MO48:MS48)*'DCA Underwriting Assumptions'!$Q$66</f>
        <v>0</v>
      </c>
      <c r="Q237" s="996"/>
      <c r="R237" s="3516"/>
      <c r="S237" s="3557"/>
      <c r="T237" s="3557"/>
      <c r="U237" s="3557"/>
      <c r="V237" s="3517"/>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1" t="s">
        <v>51</v>
      </c>
      <c r="C238" s="3552"/>
      <c r="D238" s="3552"/>
      <c r="E238" s="3553"/>
      <c r="F238" s="3539"/>
      <c r="G238" s="3540"/>
      <c r="H238" s="1"/>
      <c r="I238" s="1"/>
      <c r="J238" s="12"/>
      <c r="K238" s="1"/>
      <c r="L238" s="1"/>
      <c r="M238" s="1"/>
      <c r="N238" s="735" t="s">
        <v>3427</v>
      </c>
      <c r="O238" s="996" t="str">
        <f>CONCATENATE(O113," units x $",'DCA Underwriting Assumptions'!$Q$66," =")</f>
        <v>0 units x $420 =</v>
      </c>
      <c r="P238" s="734">
        <f>O113*'DCA Underwriting Assumptions'!$Q$66</f>
        <v>0</v>
      </c>
      <c r="Q238" s="996"/>
      <c r="R238" s="3516"/>
      <c r="S238" s="3557"/>
      <c r="T238" s="3557"/>
      <c r="U238" s="3557"/>
      <c r="V238" s="3517"/>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2">
        <f>SUM(F231:G238)</f>
        <v>59500</v>
      </c>
      <c r="G239" s="3563"/>
      <c r="H239" s="1"/>
      <c r="I239" s="1"/>
      <c r="J239" s="12"/>
      <c r="K239" s="1"/>
      <c r="L239" s="1"/>
      <c r="M239" s="1"/>
      <c r="N239" s="1149" t="s">
        <v>2716</v>
      </c>
      <c r="O239" s="1150">
        <f>SUM(ME48:MI48)+SUM(MJ48:MN48)+SUM(MO48:MS48)+O113</f>
        <v>76</v>
      </c>
      <c r="P239" s="1151">
        <f>SUM(P235:P238)</f>
        <v>26600</v>
      </c>
      <c r="Q239" s="996"/>
      <c r="R239" s="3558"/>
      <c r="S239" s="3559"/>
      <c r="T239" s="3559"/>
      <c r="U239" s="3559"/>
      <c r="V239" s="356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399961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494">
        <v>1</v>
      </c>
      <c r="I243" s="3495"/>
      <c r="J243" s="2702" t="s">
        <v>5077</v>
      </c>
      <c r="K243" s="2582">
        <v>99</v>
      </c>
      <c r="N243" s="10" t="s">
        <v>5006</v>
      </c>
      <c r="O243" s="1"/>
      <c r="P243" s="2617">
        <f>H243*K243</f>
        <v>99</v>
      </c>
      <c r="Q243" s="993"/>
      <c r="R243" s="3579"/>
      <c r="S243" s="3580"/>
      <c r="T243" s="3580"/>
      <c r="U243" s="3580"/>
      <c r="V243" s="358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83" t="s">
        <v>2992</v>
      </c>
      <c r="J245" s="2581" t="s">
        <v>5080</v>
      </c>
      <c r="K245" s="2683" t="s">
        <v>1771</v>
      </c>
      <c r="L245" s="73" t="s">
        <v>5081</v>
      </c>
      <c r="M245" s="2582"/>
      <c r="N245" s="533" t="s">
        <v>5079</v>
      </c>
      <c r="O245" s="1"/>
      <c r="P245" s="2703"/>
      <c r="Q245" s="993"/>
      <c r="R245" s="3579"/>
      <c r="S245" s="3580"/>
      <c r="T245" s="3580"/>
      <c r="U245" s="3580"/>
      <c r="V245" s="358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5001</v>
      </c>
      <c r="N247" s="13"/>
    </row>
    <row r="248" spans="1:492" ht="408.75" customHeight="1">
      <c r="A248" s="3287" t="s">
        <v>3735</v>
      </c>
      <c r="B248" s="3287"/>
      <c r="C248" s="3287"/>
      <c r="D248" s="3287"/>
      <c r="E248" s="3287"/>
      <c r="F248" s="3287"/>
      <c r="G248" s="3287"/>
      <c r="H248" s="3287"/>
      <c r="I248" s="3287"/>
      <c r="J248" s="3287"/>
      <c r="K248" s="3287"/>
      <c r="L248" s="3287"/>
      <c r="M248" s="3286"/>
      <c r="N248" s="3286"/>
      <c r="O248" s="3286"/>
      <c r="P248" s="3286"/>
      <c r="Q248" s="3573" t="s">
        <v>4107</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9" t="str">
        <f>CONCATENATE("PART SEVEN - OPERATING PRO FORMA","  -  ",'Part I-Project Information'!$O$6," ",'Part I-Project Information'!$F$34,", ",'Part I-Project Information'!F38,", ",'Part I-Project Information'!J39," County")</f>
        <v>PART SEVEN - OPERATING PRO FORMA  -  2019-5 Enclave at Milledgeville, Milledgeville, Baldwin County</v>
      </c>
      <c r="B1" s="3590"/>
      <c r="C1" s="3590"/>
      <c r="D1" s="3590"/>
      <c r="E1" s="3590"/>
      <c r="F1" s="3590"/>
      <c r="G1" s="3590"/>
      <c r="H1" s="3590"/>
      <c r="I1" s="3590"/>
      <c r="J1" s="3590"/>
      <c r="K1" s="3591"/>
      <c r="L1" s="10"/>
      <c r="M1" s="10"/>
      <c r="N1" s="3592" t="str">
        <f>A1</f>
        <v>PART SEVEN - OPERATING PRO FORMA  -  2019-5 Enclave at Milledgeville, Milledgeville, Baldwin County</v>
      </c>
      <c r="O1" s="3592"/>
      <c r="P1" s="10"/>
    </row>
    <row r="2" spans="1:19" ht="13.5" customHeight="1">
      <c r="A2" s="556"/>
      <c r="B2" s="556"/>
      <c r="C2" s="556"/>
      <c r="D2" s="556"/>
      <c r="E2" s="556"/>
      <c r="F2" s="556"/>
      <c r="G2" s="556"/>
      <c r="H2" s="556"/>
      <c r="I2" s="556"/>
      <c r="J2" s="556"/>
      <c r="K2" s="556"/>
      <c r="N2" s="3593" t="s">
        <v>1845</v>
      </c>
      <c r="O2" s="3593"/>
    </row>
    <row r="3" spans="1:19" ht="13.5" customHeight="1">
      <c r="A3" s="13" t="s">
        <v>90</v>
      </c>
      <c r="C3" s="3594" t="str">
        <f>'Part I-Project Information'!$B$6</f>
        <v>May 2019 Final</v>
      </c>
      <c r="D3" s="1526" t="s">
        <v>80</v>
      </c>
      <c r="E3" s="243"/>
      <c r="F3" s="1527" t="s">
        <v>4183</v>
      </c>
      <c r="N3" s="13" t="str">
        <f>A3</f>
        <v>I.  OPERATING ASSUMPTIONS</v>
      </c>
      <c r="O3" s="31"/>
    </row>
    <row r="4" spans="1:19" ht="2.4500000000000002" customHeight="1">
      <c r="A4" s="16"/>
      <c r="B4" s="16"/>
      <c r="C4" s="3594"/>
      <c r="H4" s="16"/>
      <c r="I4" s="16"/>
    </row>
    <row r="5" spans="1:19" ht="13.5" customHeight="1">
      <c r="A5" s="16" t="s">
        <v>2188</v>
      </c>
      <c r="B5" s="78">
        <v>0.02</v>
      </c>
      <c r="C5" s="3594"/>
      <c r="D5" s="3530" t="s">
        <v>4184</v>
      </c>
      <c r="E5" s="3530"/>
      <c r="F5" s="3530"/>
      <c r="G5" s="81">
        <v>7500</v>
      </c>
      <c r="H5" s="99" t="s">
        <v>1907</v>
      </c>
      <c r="K5" s="104">
        <f>IF(($B$14+$B$15+$B$16+$B$17)=0,"",B30/($B$14+$B$15+$B$16+$B$17))</f>
        <v>-8.1803990069325445E-3</v>
      </c>
      <c r="N5" s="3524"/>
      <c r="O5" s="3525"/>
    </row>
    <row r="6" spans="1:19">
      <c r="A6" s="16" t="s">
        <v>2189</v>
      </c>
      <c r="B6" s="78">
        <v>0.03</v>
      </c>
      <c r="C6" s="3594"/>
      <c r="D6" s="3530"/>
      <c r="E6" s="3530"/>
      <c r="F6" s="3530"/>
      <c r="G6" s="1528">
        <f>IF(OR('Part III-Sources of Funds'!E5="Yes",'Part III-Sources of Funds'!H5&gt;0),'DCA Underwriting Assumptions'!$Q$96,0)</f>
        <v>0</v>
      </c>
      <c r="H6" s="16"/>
      <c r="I6" s="16"/>
      <c r="J6" s="16"/>
      <c r="K6" s="16"/>
      <c r="N6" s="3516"/>
      <c r="O6" s="3517"/>
    </row>
    <row r="7" spans="1:19">
      <c r="A7" s="16" t="s">
        <v>2191</v>
      </c>
      <c r="B7" s="78">
        <v>0.03</v>
      </c>
      <c r="C7" s="3594"/>
      <c r="D7" s="80" t="s">
        <v>270</v>
      </c>
      <c r="G7" s="83"/>
      <c r="H7" s="99" t="s">
        <v>2374</v>
      </c>
      <c r="K7" s="104">
        <f>IF(($B$14+$B$15+$B$16+$B$17)=0,"",-B21/($B$14+$B$15+$B$16+$B$17))</f>
        <v>4.9999689450239304E-2</v>
      </c>
      <c r="N7" s="3516"/>
      <c r="O7" s="3517"/>
    </row>
    <row r="8" spans="1:19" ht="13.35" customHeight="1">
      <c r="A8" s="16" t="s">
        <v>2190</v>
      </c>
      <c r="B8" s="249">
        <v>7.0000000000000007E-2</v>
      </c>
      <c r="C8" s="2560" t="str">
        <f>IF(B8&lt;0.07, "Must be &gt;= 7%!","")</f>
        <v/>
      </c>
      <c r="D8" s="79" t="s">
        <v>2507</v>
      </c>
      <c r="G8" s="2592" t="s">
        <v>2992</v>
      </c>
      <c r="H8" s="182" t="s">
        <v>1444</v>
      </c>
      <c r="K8" s="2594"/>
      <c r="N8" s="3516"/>
      <c r="O8" s="3517"/>
    </row>
    <row r="9" spans="1:19">
      <c r="A9" s="16" t="s">
        <v>1418</v>
      </c>
      <c r="B9" s="78">
        <v>0.02</v>
      </c>
      <c r="D9" s="79" t="s">
        <v>1718</v>
      </c>
      <c r="G9" s="2593" t="s">
        <v>2989</v>
      </c>
      <c r="H9" s="182" t="s">
        <v>2356</v>
      </c>
      <c r="K9" s="2595">
        <v>0.05</v>
      </c>
      <c r="N9" s="3558"/>
      <c r="O9" s="3560"/>
    </row>
    <row r="10" spans="1:19" ht="9" customHeight="1"/>
    <row r="11" spans="1:19">
      <c r="A11" s="13" t="s">
        <v>91</v>
      </c>
      <c r="D11" s="1323"/>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2623</v>
      </c>
      <c r="O13" s="3168"/>
    </row>
    <row r="14" spans="1:19" ht="13.35" customHeight="1">
      <c r="A14" s="18" t="s">
        <v>2404</v>
      </c>
      <c r="B14" s="19">
        <f>'Part VI-Revenues &amp; Expenses'!$L$49</f>
        <v>966504</v>
      </c>
      <c r="C14" s="19">
        <f t="shared" ref="C14:K14" si="1">$B$14*(1+$B$5)^(C13-1)</f>
        <v>985834.08000000007</v>
      </c>
      <c r="D14" s="19">
        <f t="shared" si="1"/>
        <v>1005550.7616</v>
      </c>
      <c r="E14" s="19">
        <f t="shared" si="1"/>
        <v>1025661.7768319999</v>
      </c>
      <c r="F14" s="19">
        <f t="shared" si="1"/>
        <v>1046175.0123686399</v>
      </c>
      <c r="G14" s="19">
        <f t="shared" si="1"/>
        <v>1067098.5126160127</v>
      </c>
      <c r="H14" s="19">
        <f t="shared" si="1"/>
        <v>1088440.4828683331</v>
      </c>
      <c r="I14" s="19">
        <f t="shared" si="1"/>
        <v>1110209.2925256996</v>
      </c>
      <c r="J14" s="19">
        <f t="shared" si="1"/>
        <v>1132413.4783762137</v>
      </c>
      <c r="K14" s="20">
        <f t="shared" si="1"/>
        <v>1155061.747943738</v>
      </c>
      <c r="N14" s="3524"/>
      <c r="O14" s="3525"/>
      <c r="S14" s="3585" t="s">
        <v>4189</v>
      </c>
    </row>
    <row r="15" spans="1:19" ht="13.35" customHeight="1">
      <c r="A15" s="21" t="s">
        <v>1016</v>
      </c>
      <c r="B15" s="22">
        <f>MIN(B14*B9,'Part VI-Revenues &amp; Expenses'!$H$173)</f>
        <v>19330.080000000002</v>
      </c>
      <c r="C15" s="22">
        <f t="shared" ref="C15:K15" si="2">$B$15*(1+$B$5)^(C13-1)</f>
        <v>19716.681600000004</v>
      </c>
      <c r="D15" s="22">
        <f t="shared" si="2"/>
        <v>20111.015232000002</v>
      </c>
      <c r="E15" s="22">
        <f t="shared" si="2"/>
        <v>20513.235536640001</v>
      </c>
      <c r="F15" s="22">
        <f t="shared" si="2"/>
        <v>20923.500247372802</v>
      </c>
      <c r="G15" s="22">
        <f t="shared" si="2"/>
        <v>21341.970252320258</v>
      </c>
      <c r="H15" s="22">
        <f t="shared" si="2"/>
        <v>21768.809657366666</v>
      </c>
      <c r="I15" s="22">
        <f t="shared" si="2"/>
        <v>22204.185850513994</v>
      </c>
      <c r="J15" s="22">
        <f t="shared" si="2"/>
        <v>22648.269567524276</v>
      </c>
      <c r="K15" s="23">
        <f t="shared" si="2"/>
        <v>23101.23495887476</v>
      </c>
      <c r="N15" s="3516"/>
      <c r="O15" s="3517"/>
      <c r="S15" s="3586"/>
    </row>
    <row r="16" spans="1:19" ht="13.35" customHeight="1">
      <c r="A16" s="21" t="s">
        <v>2405</v>
      </c>
      <c r="B16" s="22">
        <f t="shared" ref="B16:K16" si="3">-(B14+B15)*$B$8</f>
        <v>-69008.385600000009</v>
      </c>
      <c r="C16" s="22">
        <f t="shared" si="3"/>
        <v>-70388.553312000018</v>
      </c>
      <c r="D16" s="22">
        <f t="shared" si="3"/>
        <v>-71796.32437824001</v>
      </c>
      <c r="E16" s="22">
        <f t="shared" si="3"/>
        <v>-73232.250865804803</v>
      </c>
      <c r="F16" s="22">
        <f t="shared" si="3"/>
        <v>-74696.895883120902</v>
      </c>
      <c r="G16" s="22">
        <f t="shared" si="3"/>
        <v>-76190.833800783308</v>
      </c>
      <c r="H16" s="22">
        <f t="shared" si="3"/>
        <v>-77714.650476798997</v>
      </c>
      <c r="I16" s="22">
        <f t="shared" si="3"/>
        <v>-79268.94348633496</v>
      </c>
      <c r="J16" s="22">
        <f t="shared" si="3"/>
        <v>-80854.322356061675</v>
      </c>
      <c r="K16" s="23">
        <f t="shared" si="3"/>
        <v>-82471.408803182901</v>
      </c>
      <c r="N16" s="3516"/>
      <c r="O16" s="3517"/>
      <c r="Q16" s="3588" t="s">
        <v>3885</v>
      </c>
      <c r="R16" s="3588" t="s">
        <v>4188</v>
      </c>
      <c r="S16" s="358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6"/>
      <c r="O17" s="3517"/>
      <c r="Q17" s="3588"/>
      <c r="R17" s="3588"/>
      <c r="S17" s="358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6"/>
      <c r="O18" s="3517"/>
    </row>
    <row r="19" spans="1:19" ht="13.35" customHeight="1">
      <c r="A19" s="483" t="s">
        <v>4944</v>
      </c>
      <c r="B19" s="22">
        <f>SUM(B14:B18)</f>
        <v>916825.69439999992</v>
      </c>
      <c r="C19" s="22">
        <f t="shared" ref="C19:K19" si="4">SUM(C14:C18)</f>
        <v>935162.20828800008</v>
      </c>
      <c r="D19" s="22">
        <f t="shared" si="4"/>
        <v>953865.45245375996</v>
      </c>
      <c r="E19" s="22">
        <f t="shared" si="4"/>
        <v>972942.76150283508</v>
      </c>
      <c r="F19" s="22">
        <f t="shared" si="4"/>
        <v>992401.61673289177</v>
      </c>
      <c r="G19" s="22">
        <f t="shared" si="4"/>
        <v>1012249.6490675496</v>
      </c>
      <c r="H19" s="22">
        <f t="shared" si="4"/>
        <v>1032494.6420489008</v>
      </c>
      <c r="I19" s="22">
        <f t="shared" si="4"/>
        <v>1053144.5348898787</v>
      </c>
      <c r="J19" s="22">
        <f t="shared" si="4"/>
        <v>1074207.4255876762</v>
      </c>
      <c r="K19" s="23">
        <f t="shared" si="4"/>
        <v>1095691.5740994299</v>
      </c>
      <c r="N19" s="3516"/>
      <c r="O19" s="3517"/>
    </row>
    <row r="20" spans="1:19" ht="13.35" customHeight="1">
      <c r="A20" s="21" t="s">
        <v>614</v>
      </c>
      <c r="B20" s="22">
        <f>-('Part VI-Revenues &amp; Expenses'!$P$226-'Part VI-Revenues &amp; Expenses'!$P$221)</f>
        <v>-327520</v>
      </c>
      <c r="C20" s="22">
        <f t="shared" ref="C20:K20" si="5">$B$20*(1+$B$6)^(C13-1)</f>
        <v>-337345.60000000003</v>
      </c>
      <c r="D20" s="22">
        <f t="shared" si="5"/>
        <v>-347465.96799999999</v>
      </c>
      <c r="E20" s="22">
        <f t="shared" si="5"/>
        <v>-357889.94704</v>
      </c>
      <c r="F20" s="22">
        <f t="shared" si="5"/>
        <v>-368626.64545119996</v>
      </c>
      <c r="G20" s="22">
        <f t="shared" si="5"/>
        <v>-379685.44481473597</v>
      </c>
      <c r="H20" s="22">
        <f t="shared" si="5"/>
        <v>-391076.00815917808</v>
      </c>
      <c r="I20" s="22">
        <f t="shared" si="5"/>
        <v>-402808.28840395343</v>
      </c>
      <c r="J20" s="22">
        <f t="shared" si="5"/>
        <v>-414892.53705607197</v>
      </c>
      <c r="K20" s="23">
        <f t="shared" si="5"/>
        <v>-427339.31316775415</v>
      </c>
      <c r="N20" s="3516"/>
      <c r="O20" s="3517"/>
      <c r="Q20" s="62">
        <v>1</v>
      </c>
      <c r="R20" s="1333">
        <f>-B31</f>
        <v>0</v>
      </c>
      <c r="S20" s="1333">
        <f>B32+R20</f>
        <v>89231.359340868425</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-45841</v>
      </c>
      <c r="C21" s="22">
        <f>IF(AND('Part VII-Pro Forma'!$G$8="Yes",'Part VII-Pro Forma'!$G$9="Yes"),"Choose One!",IF('Part VII-Pro Forma'!$G$8="Yes",ROUND((-$K$8*(1+'Part VII-Pro Forma'!$B$6)^('Part VII-Pro Forma'!C13-1)),),IF('Part VII-Pro Forma'!$G$9="Yes",ROUND((-(SUM(C14:C17)*'Part VII-Pro Forma'!$K$9)),),"Choose mgt fee")))</f>
        <v>-46758</v>
      </c>
      <c r="D21" s="22">
        <f>IF(AND('Part VII-Pro Forma'!$G$8="Yes",'Part VII-Pro Forma'!$G$9="Yes"),"Choose One!",IF('Part VII-Pro Forma'!$G$8="Yes",ROUND((-$K$8*(1+'Part VII-Pro Forma'!$B$6)^('Part VII-Pro Forma'!D13-1)),),IF('Part VII-Pro Forma'!$G$9="Yes",ROUND((-(SUM(D14:D17)*'Part VII-Pro Forma'!$K$9)),),"Choose mgt fee")))</f>
        <v>-47693</v>
      </c>
      <c r="E21" s="22">
        <f>IF(AND('Part VII-Pro Forma'!$G$8="Yes",'Part VII-Pro Forma'!$G$9="Yes"),"Choose One!",IF('Part VII-Pro Forma'!$G$8="Yes",ROUND((-$K$8*(1+'Part VII-Pro Forma'!$B$6)^('Part VII-Pro Forma'!E13-1)),),IF('Part VII-Pro Forma'!$G$9="Yes",ROUND((-(SUM(E14:E17)*'Part VII-Pro Forma'!$K$9)),),"Choose mgt fee")))</f>
        <v>-48647</v>
      </c>
      <c r="F21" s="22">
        <f>IF(AND('Part VII-Pro Forma'!$G$8="Yes",'Part VII-Pro Forma'!$G$9="Yes"),"Choose One!",IF('Part VII-Pro Forma'!$G$8="Yes",ROUND((-$K$8*(1+'Part VII-Pro Forma'!$B$6)^('Part VII-Pro Forma'!F13-1)),),IF('Part VII-Pro Forma'!$G$9="Yes",ROUND((-(SUM(F14:F17)*'Part VII-Pro Forma'!$K$9)),),"Choose mgt fee")))</f>
        <v>-49620</v>
      </c>
      <c r="G21" s="22">
        <f>IF(AND('Part VII-Pro Forma'!$G$8="Yes",'Part VII-Pro Forma'!$G$9="Yes"),"Choose One!",IF('Part VII-Pro Forma'!$G$8="Yes",ROUND((-$K$8*(1+'Part VII-Pro Forma'!$B$6)^('Part VII-Pro Forma'!G13-1)),),IF('Part VII-Pro Forma'!$G$9="Yes",ROUND((-(SUM(G14:G17)*'Part VII-Pro Forma'!$K$9)),),"Choose mgt fee")))</f>
        <v>-50612</v>
      </c>
      <c r="H21" s="22">
        <f>IF(AND('Part VII-Pro Forma'!$G$8="Yes",'Part VII-Pro Forma'!$G$9="Yes"),"Choose One!",IF('Part VII-Pro Forma'!$G$8="Yes",ROUND((-$K$8*(1+'Part VII-Pro Forma'!$B$6)^('Part VII-Pro Forma'!H13-1)),),IF('Part VII-Pro Forma'!$G$9="Yes",ROUND((-(SUM(H14:H17)*'Part VII-Pro Forma'!$K$9)),),"Choose mgt fee")))</f>
        <v>-51625</v>
      </c>
      <c r="I21" s="22">
        <f>IF(AND('Part VII-Pro Forma'!$G$8="Yes",'Part VII-Pro Forma'!$G$9="Yes"),"Choose One!",IF('Part VII-Pro Forma'!$G$8="Yes",ROUND((-$K$8*(1+'Part VII-Pro Forma'!$B$6)^('Part VII-Pro Forma'!I13-1)),),IF('Part VII-Pro Forma'!$G$9="Yes",ROUND((-(SUM(I14:I17)*'Part VII-Pro Forma'!$K$9)),),"Choose mgt fee")))</f>
        <v>-52657</v>
      </c>
      <c r="J21" s="22">
        <f>IF(AND('Part VII-Pro Forma'!$G$8="Yes",'Part VII-Pro Forma'!$G$9="Yes"),"Choose One!",IF('Part VII-Pro Forma'!$G$8="Yes",ROUND((-$K$8*(1+'Part VII-Pro Forma'!$B$6)^('Part VII-Pro Forma'!J13-1)),),IF('Part VII-Pro Forma'!$G$9="Yes",ROUND((-(SUM(J14:J17)*'Part VII-Pro Forma'!$K$9)),),"Choose mgt fee")))</f>
        <v>-53710</v>
      </c>
      <c r="K21" s="23">
        <f>IF(AND('Part VII-Pro Forma'!$G$8="Yes",'Part VII-Pro Forma'!$G$9="Yes"),"Choose One!",IF('Part VII-Pro Forma'!$G$8="Yes",ROUND((-$K$8*(1+'Part VII-Pro Forma'!$B$6)^('Part VII-Pro Forma'!K13-1)),),IF('Part VII-Pro Forma'!$G$9="Yes",ROUND((-(SUM(K14:K17)*'Part VII-Pro Forma'!$K$9)),),"Choose mgt fee")))</f>
        <v>-54785</v>
      </c>
      <c r="N21" s="3516"/>
      <c r="O21" s="3517"/>
      <c r="Q21" s="62">
        <v>2</v>
      </c>
      <c r="R21" s="1333">
        <f>-SUM(B31:C31)</f>
        <v>0</v>
      </c>
      <c r="S21" s="1333">
        <f>SUM(B32:C32)+R21</f>
        <v>185258.63256973703</v>
      </c>
    </row>
    <row r="22" spans="1:19" ht="13.35" customHeight="1">
      <c r="A22" s="21" t="s">
        <v>1202</v>
      </c>
      <c r="B22" s="22">
        <f>-('Part VI-Revenues &amp; Expenses'!$P$230)</f>
        <v>-26600</v>
      </c>
      <c r="C22" s="22">
        <f t="shared" ref="C22:K22" si="6">$B$22*(1+$B$7)^(C13-1)</f>
        <v>-27398</v>
      </c>
      <c r="D22" s="22">
        <f t="shared" si="6"/>
        <v>-28219.94</v>
      </c>
      <c r="E22" s="22">
        <f t="shared" si="6"/>
        <v>-29066.538199999999</v>
      </c>
      <c r="F22" s="22">
        <f t="shared" si="6"/>
        <v>-29938.534345999997</v>
      </c>
      <c r="G22" s="22">
        <f t="shared" si="6"/>
        <v>-30836.690376379996</v>
      </c>
      <c r="H22" s="22">
        <f t="shared" si="6"/>
        <v>-31761.791087671398</v>
      </c>
      <c r="I22" s="22">
        <f t="shared" si="6"/>
        <v>-32714.644820301542</v>
      </c>
      <c r="J22" s="22">
        <f t="shared" si="6"/>
        <v>-33696.084164910586</v>
      </c>
      <c r="K22" s="23">
        <f t="shared" si="6"/>
        <v>-34706.966689857902</v>
      </c>
      <c r="N22" s="3516"/>
      <c r="O22" s="3517"/>
      <c r="Q22" s="62">
        <v>3</v>
      </c>
      <c r="R22" s="1333">
        <f>-SUM(B31:D31)</f>
        <v>0</v>
      </c>
      <c r="S22" s="1333">
        <f>SUM(B32:D32)+R22</f>
        <v>288111.84196436557</v>
      </c>
    </row>
    <row r="23" spans="1:19" ht="13.35" customHeight="1">
      <c r="A23" s="483" t="s">
        <v>4943</v>
      </c>
      <c r="B23" s="2704">
        <f>IF(B13&lt;=+'Part VI-Revenues &amp; Expenses'!$K$243,-'Part VI-Revenues &amp; Expenses'!$H$243,0)</f>
        <v>-1</v>
      </c>
      <c r="C23" s="2704">
        <f>IF(C13&lt;=+'Part VI-Revenues &amp; Expenses'!$K$243,-'Part VI-Revenues &amp; Expenses'!$H$243,0)</f>
        <v>-1</v>
      </c>
      <c r="D23" s="2704">
        <f>IF(D13&lt;=+'Part VI-Revenues &amp; Expenses'!$K$243,-'Part VI-Revenues &amp; Expenses'!$H$243,0)</f>
        <v>-1</v>
      </c>
      <c r="E23" s="2704">
        <f>IF(E13&lt;=+'Part VI-Revenues &amp; Expenses'!$K$243,-'Part VI-Revenues &amp; Expenses'!$H$243,0)</f>
        <v>-1</v>
      </c>
      <c r="F23" s="2704">
        <f>IF(F13&lt;=+'Part VI-Revenues &amp; Expenses'!$K$243,-'Part VI-Revenues &amp; Expenses'!$H$243,0)</f>
        <v>-1</v>
      </c>
      <c r="G23" s="2704">
        <f>IF(G13&lt;=+'Part VI-Revenues &amp; Expenses'!$K$243,-'Part VI-Revenues &amp; Expenses'!$H$243,0)</f>
        <v>-1</v>
      </c>
      <c r="H23" s="2704">
        <f>IF(H13&lt;=+'Part VI-Revenues &amp; Expenses'!$K$243,-'Part VI-Revenues &amp; Expenses'!$H$243,0)</f>
        <v>-1</v>
      </c>
      <c r="I23" s="2704">
        <f>IF(I13&lt;=+'Part VI-Revenues &amp; Expenses'!$K$243,-'Part VI-Revenues &amp; Expenses'!$H$243,0)</f>
        <v>-1</v>
      </c>
      <c r="J23" s="2704">
        <f>IF(J13&lt;=+'Part VI-Revenues &amp; Expenses'!$K$243,-'Part VI-Revenues &amp; Expenses'!$H$243,0)</f>
        <v>-1</v>
      </c>
      <c r="K23" s="2704">
        <f>IF(K13&lt;=+'Part VI-Revenues &amp; Expenses'!$K$243,-'Part VI-Revenues &amp; Expenses'!$H$243,0)</f>
        <v>-1</v>
      </c>
      <c r="N23" s="3516"/>
      <c r="O23" s="3517"/>
      <c r="Q23" s="1125">
        <v>10</v>
      </c>
      <c r="R23" s="1333">
        <f>-SUM(B28:K28)</f>
        <v>0</v>
      </c>
      <c r="S23" s="1333">
        <f>SUM(B29:K29)+R23</f>
        <v>0</v>
      </c>
    </row>
    <row r="24" spans="1:19" ht="13.35" customHeight="1">
      <c r="A24" s="21" t="s">
        <v>1203</v>
      </c>
      <c r="B24" s="22">
        <f>SUM(B19:B23)</f>
        <v>516863.69439999992</v>
      </c>
      <c r="C24" s="22">
        <f t="shared" ref="C24:J24" si="7">SUM(C19:C23)</f>
        <v>523659.6082880001</v>
      </c>
      <c r="D24" s="22">
        <f t="shared" si="7"/>
        <v>530485.54445376003</v>
      </c>
      <c r="E24" s="22">
        <f t="shared" si="7"/>
        <v>537338.27626283513</v>
      </c>
      <c r="F24" s="22">
        <f t="shared" si="7"/>
        <v>544215.43693569186</v>
      </c>
      <c r="G24" s="22">
        <f t="shared" si="7"/>
        <v>551114.51387643372</v>
      </c>
      <c r="H24" s="22">
        <f t="shared" si="7"/>
        <v>558030.84280205134</v>
      </c>
      <c r="I24" s="22">
        <f t="shared" si="7"/>
        <v>564963.60166562372</v>
      </c>
      <c r="J24" s="22">
        <f t="shared" si="7"/>
        <v>571907.80436669372</v>
      </c>
      <c r="K24" s="2567">
        <f>SUM(K19:K23)</f>
        <v>578859.2942418179</v>
      </c>
      <c r="N24" s="3516"/>
      <c r="O24" s="3517"/>
      <c r="Q24" s="1125">
        <v>4</v>
      </c>
      <c r="R24" s="1333">
        <f>-SUM(B31:E31)</f>
        <v>0</v>
      </c>
      <c r="S24" s="1333">
        <f>SUM(B32:E32)+R24</f>
        <v>397817.7831680692</v>
      </c>
    </row>
    <row r="25" spans="1:19" ht="13.35" customHeight="1">
      <c r="A25" s="483" t="s">
        <v>1591</v>
      </c>
      <c r="B25" s="485">
        <f>IF('Part III-Sources of Funds'!$P$38="", 0,-'Part III-Sources of Funds'!$P$38)</f>
        <v>-420132.3350591315</v>
      </c>
      <c r="C25" s="485">
        <f>IF('Part III-Sources of Funds'!$P$38="", 0,-'Part III-Sources of Funds'!$P$38)</f>
        <v>-420132.3350591315</v>
      </c>
      <c r="D25" s="485">
        <f>IF('Part III-Sources of Funds'!$P$38="", 0,-'Part III-Sources of Funds'!$P$38)</f>
        <v>-420132.3350591315</v>
      </c>
      <c r="E25" s="485">
        <f>IF('Part III-Sources of Funds'!$P$38="", 0,-'Part III-Sources of Funds'!$P$38)</f>
        <v>-420132.3350591315</v>
      </c>
      <c r="F25" s="485">
        <f>IF('Part III-Sources of Funds'!$P$38="", 0,-'Part III-Sources of Funds'!$P$38)</f>
        <v>-420132.3350591315</v>
      </c>
      <c r="G25" s="485">
        <f>IF('Part III-Sources of Funds'!$P$38="", 0,-'Part III-Sources of Funds'!$P$38)</f>
        <v>-420132.3350591315</v>
      </c>
      <c r="H25" s="485">
        <f>IF('Part III-Sources of Funds'!$P$38="", 0,-'Part III-Sources of Funds'!$P$38)</f>
        <v>-420132.3350591315</v>
      </c>
      <c r="I25" s="485">
        <f>IF('Part III-Sources of Funds'!$P$38="", 0,-'Part III-Sources of Funds'!$P$38)</f>
        <v>-420132.3350591315</v>
      </c>
      <c r="J25" s="485">
        <f>IF('Part III-Sources of Funds'!$P$38="", 0,-'Part III-Sources of Funds'!$P$38)</f>
        <v>-420132.3350591315</v>
      </c>
      <c r="K25" s="485">
        <f>IF('Part III-Sources of Funds'!$P$38="", 0,-'Part III-Sources of Funds'!$P$38)</f>
        <v>-420132.3350591315</v>
      </c>
      <c r="N25" s="3516"/>
      <c r="O25" s="3517"/>
      <c r="Q25" s="1125">
        <v>5</v>
      </c>
      <c r="R25" s="1333">
        <f>-SUM(B31:F31)</f>
        <v>0</v>
      </c>
      <c r="S25" s="1333">
        <f>SUM(B32:F32)+R25</f>
        <v>514400.88504462957</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6"/>
      <c r="O26" s="3517"/>
      <c r="Q26" s="1125">
        <v>6</v>
      </c>
      <c r="R26" s="1333">
        <f>-SUM(B31:G31)</f>
        <v>0</v>
      </c>
      <c r="S26" s="1333">
        <f>SUM(B32:G32)+R26</f>
        <v>637883.06386193179</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6"/>
      <c r="O27" s="3517"/>
      <c r="Q27" s="1125">
        <v>7</v>
      </c>
      <c r="R27" s="1333">
        <f>-SUM(B31:H31)</f>
        <v>0</v>
      </c>
      <c r="S27" s="1333">
        <f>SUM(B32:H32)+R27</f>
        <v>768281.57160485163</v>
      </c>
    </row>
    <row r="28" spans="1:19" ht="13.35" customHeight="1">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6"/>
      <c r="O28" s="3517"/>
      <c r="Q28" s="1125">
        <v>8</v>
      </c>
      <c r="R28" s="1333">
        <f>-SUM(B31:I31)</f>
        <v>0</v>
      </c>
      <c r="S28" s="1333">
        <f>SUM(B32:I32)+R28</f>
        <v>905612.83821134386</v>
      </c>
    </row>
    <row r="29" spans="1:19" ht="13.35" customHeight="1">
      <c r="A29" s="21" t="s">
        <v>763</v>
      </c>
      <c r="B29" s="180"/>
      <c r="C29" s="180"/>
      <c r="D29" s="180"/>
      <c r="E29" s="180"/>
      <c r="F29" s="180"/>
      <c r="G29" s="180"/>
      <c r="H29" s="180"/>
      <c r="I29" s="180"/>
      <c r="J29" s="180"/>
      <c r="K29" s="180"/>
      <c r="N29" s="3516"/>
      <c r="O29" s="3517"/>
      <c r="Q29" s="1125">
        <v>9</v>
      </c>
      <c r="R29" s="1333">
        <f>-SUM(B31:J31)</f>
        <v>0</v>
      </c>
      <c r="S29" s="1333">
        <f>SUM(B32:J32)+R29</f>
        <v>1049888.307518906</v>
      </c>
    </row>
    <row r="30" spans="1:19" ht="13.35" customHeight="1">
      <c r="A30" s="483" t="s">
        <v>1163</v>
      </c>
      <c r="B30" s="1428">
        <f>-$G$5</f>
        <v>-7500</v>
      </c>
      <c r="C30" s="1428">
        <f t="shared" ref="C30:K30" si="8">+B30</f>
        <v>-7500</v>
      </c>
      <c r="D30" s="1428">
        <f t="shared" si="8"/>
        <v>-7500</v>
      </c>
      <c r="E30" s="1428">
        <f t="shared" si="8"/>
        <v>-7500</v>
      </c>
      <c r="F30" s="1428">
        <f t="shared" si="8"/>
        <v>-7500</v>
      </c>
      <c r="G30" s="1428">
        <f t="shared" si="8"/>
        <v>-7500</v>
      </c>
      <c r="H30" s="1428">
        <f t="shared" si="8"/>
        <v>-7500</v>
      </c>
      <c r="I30" s="1428">
        <f t="shared" si="8"/>
        <v>-7500</v>
      </c>
      <c r="J30" s="1428">
        <f t="shared" si="8"/>
        <v>-7500</v>
      </c>
      <c r="K30" s="1428">
        <f t="shared" si="8"/>
        <v>-7500</v>
      </c>
      <c r="N30" s="3516"/>
      <c r="O30" s="3517"/>
      <c r="Q30" s="1125">
        <v>10</v>
      </c>
      <c r="R30" s="1333">
        <f>-SUM(B31:K31)</f>
        <v>0</v>
      </c>
      <c r="S30" s="1333">
        <f>SUM(B32:K32)+R30</f>
        <v>1201115.2667015924</v>
      </c>
    </row>
    <row r="31" spans="1:19" ht="13.35" customHeight="1">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6"/>
      <c r="O31" s="3517"/>
      <c r="Q31" s="1125">
        <v>11</v>
      </c>
      <c r="R31" s="1333">
        <f>-SUM(B31:K31)-B63</f>
        <v>0</v>
      </c>
      <c r="S31" s="1333">
        <f>SUM(B32:K32)+B64+R31</f>
        <v>1359299.6689705392</v>
      </c>
    </row>
    <row r="32" spans="1:19" ht="13.35" customHeight="1">
      <c r="A32" s="21" t="s">
        <v>1164</v>
      </c>
      <c r="B32" s="22">
        <f t="shared" ref="B32:K32" si="9">SUM(B24:B31)</f>
        <v>89231.359340868425</v>
      </c>
      <c r="C32" s="22">
        <f t="shared" si="9"/>
        <v>96027.273228868609</v>
      </c>
      <c r="D32" s="22">
        <f t="shared" si="9"/>
        <v>102853.20939462853</v>
      </c>
      <c r="E32" s="22">
        <f t="shared" si="9"/>
        <v>109705.94120370364</v>
      </c>
      <c r="F32" s="22">
        <f t="shared" si="9"/>
        <v>116583.10187656037</v>
      </c>
      <c r="G32" s="22">
        <f t="shared" si="9"/>
        <v>123482.17881730222</v>
      </c>
      <c r="H32" s="22">
        <f t="shared" si="9"/>
        <v>130398.50774291984</v>
      </c>
      <c r="I32" s="22">
        <f t="shared" si="9"/>
        <v>137331.26660649222</v>
      </c>
      <c r="J32" s="22">
        <f t="shared" si="9"/>
        <v>144275.46930756222</v>
      </c>
      <c r="K32" s="23">
        <f t="shared" si="9"/>
        <v>151226.95918268641</v>
      </c>
      <c r="N32" s="3516"/>
      <c r="O32" s="3517"/>
      <c r="Q32" s="1125">
        <v>12</v>
      </c>
      <c r="R32" s="1333">
        <f>-SUM(B31:K31) - SUM(B63:C63)</f>
        <v>0</v>
      </c>
      <c r="S32" s="1333">
        <f>SUM(B32:K32) + SUM(B64:C64)+R32</f>
        <v>1524440.9493035134</v>
      </c>
    </row>
    <row r="33" spans="1:19" ht="13.35" customHeight="1">
      <c r="A33" s="21" t="str">
        <f>IF('Part III-Sources of Funds'!$E$38 = "Neither", "", "DCR Mortgage A")</f>
        <v>DCR Mortgage A</v>
      </c>
      <c r="B33" s="24">
        <f t="shared" ref="B33:K33" si="10">IF(B25=0,"",-B24/B25)</f>
        <v>1.2302402154484349</v>
      </c>
      <c r="C33" s="24">
        <f t="shared" si="10"/>
        <v>1.2464158661206062</v>
      </c>
      <c r="D33" s="24">
        <f t="shared" si="10"/>
        <v>1.2626629758909103</v>
      </c>
      <c r="E33" s="24">
        <f t="shared" si="10"/>
        <v>1.2789738647162388</v>
      </c>
      <c r="F33" s="24">
        <f t="shared" si="10"/>
        <v>1.2953428991822216</v>
      </c>
      <c r="G33" s="24">
        <f t="shared" si="10"/>
        <v>1.3117640988020289</v>
      </c>
      <c r="H33" s="24">
        <f t="shared" si="10"/>
        <v>1.3282263616379619</v>
      </c>
      <c r="I33" s="24">
        <f t="shared" si="10"/>
        <v>1.3447277310519505</v>
      </c>
      <c r="J33" s="24">
        <f t="shared" si="10"/>
        <v>1.3612563391156278</v>
      </c>
      <c r="K33" s="25">
        <f t="shared" si="10"/>
        <v>1.3778022921286133</v>
      </c>
      <c r="N33" s="3516"/>
      <c r="O33" s="3517"/>
      <c r="Q33" s="1125">
        <v>13</v>
      </c>
      <c r="R33" s="1333">
        <f>-SUM(B31:K31) - SUM(B63:D63)</f>
        <v>0</v>
      </c>
      <c r="S33" s="1333">
        <f>SUM(B32:K32) + SUM(B64:D64)+R33</f>
        <v>1696535.8329613209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6"/>
      <c r="O34" s="3517"/>
      <c r="Q34" s="1125">
        <v>14</v>
      </c>
      <c r="R34" s="1333">
        <f>-SUM(B31:K31) - SUM(B63:E63)</f>
        <v>0</v>
      </c>
      <c r="S34" s="1333">
        <f>SUM(B32:K32) + SUM(B64:E64)+R34</f>
        <v>1875576.136540967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6"/>
      <c r="O35" s="3517"/>
      <c r="Q35" s="1125">
        <v>15</v>
      </c>
      <c r="R35" s="1333">
        <f>-SUM(B31:K31) - SUM(B63:F63)</f>
        <v>0</v>
      </c>
      <c r="S35" s="1333">
        <f>SUM(B32:K32) + SUM(B64:F64)+R35</f>
        <v>2061549.5613073148</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6"/>
      <c r="O36" s="3517"/>
      <c r="Q36" s="62">
        <v>16</v>
      </c>
      <c r="R36" s="1333">
        <f>-SUM(B31:K31) - SUM(B63:G63)</f>
        <v>0</v>
      </c>
      <c r="S36" s="1333">
        <f>SUM(B32:K32) + SUM(B64:G64)+R36</f>
        <v>2254439.4785365146</v>
      </c>
    </row>
    <row r="37" spans="1:19" ht="13.35" customHeight="1">
      <c r="A37" s="483" t="s">
        <v>3712</v>
      </c>
      <c r="B37" s="24">
        <f t="shared" ref="B37:K37" si="14">IF(AND(B25=0,B26=0,B27=0,B28=0),"",-B24/(B25+B26+B27+B28))</f>
        <v>1.2302402154484349</v>
      </c>
      <c r="C37" s="24">
        <f t="shared" si="14"/>
        <v>1.2464158661206062</v>
      </c>
      <c r="D37" s="24">
        <f t="shared" si="14"/>
        <v>1.2626629758909103</v>
      </c>
      <c r="E37" s="24">
        <f t="shared" si="14"/>
        <v>1.2789738647162388</v>
      </c>
      <c r="F37" s="24">
        <f t="shared" si="14"/>
        <v>1.2953428991822216</v>
      </c>
      <c r="G37" s="24">
        <f t="shared" si="14"/>
        <v>1.3117640988020289</v>
      </c>
      <c r="H37" s="24">
        <f t="shared" si="14"/>
        <v>1.3282263616379619</v>
      </c>
      <c r="I37" s="24">
        <f t="shared" si="14"/>
        <v>1.3447277310519505</v>
      </c>
      <c r="J37" s="24">
        <f t="shared" si="14"/>
        <v>1.3612563391156278</v>
      </c>
      <c r="K37" s="25">
        <f t="shared" si="14"/>
        <v>1.3778022921286133</v>
      </c>
      <c r="N37" s="3516"/>
      <c r="O37" s="3517"/>
      <c r="Q37" s="62">
        <v>17</v>
      </c>
      <c r="R37" s="1333">
        <f>-SUM(B31:K31) - SUM(B63:H63)</f>
        <v>0</v>
      </c>
      <c r="S37" s="1333">
        <f>SUM(B32:K32) + SUM(B64:H64)+R37</f>
        <v>2454222.7065958143</v>
      </c>
    </row>
    <row r="38" spans="1:19" ht="13.35" customHeight="1">
      <c r="A38" s="21" t="s">
        <v>770</v>
      </c>
      <c r="B38" s="296">
        <f t="shared" ref="B38:K38" si="15">IF(OR(B21="Choose mgt fee",B21="Choose One!"),"",(B14+B15+B16+B17+B18) / -(B20+B21+B22))</f>
        <v>2.2922877340540699</v>
      </c>
      <c r="C38" s="296">
        <f t="shared" si="15"/>
        <v>2.2725603212429792</v>
      </c>
      <c r="D38" s="296">
        <f t="shared" si="15"/>
        <v>2.2529829295458432</v>
      </c>
      <c r="E38" s="296">
        <f t="shared" si="15"/>
        <v>2.2335513706158312</v>
      </c>
      <c r="F38" s="296">
        <f t="shared" si="15"/>
        <v>2.2142669179332195</v>
      </c>
      <c r="G38" s="296">
        <f t="shared" si="15"/>
        <v>2.1951305961074103</v>
      </c>
      <c r="H38" s="296">
        <f t="shared" si="15"/>
        <v>2.176134027131015</v>
      </c>
      <c r="I38" s="296">
        <f t="shared" si="15"/>
        <v>2.1572876376426069</v>
      </c>
      <c r="J38" s="296">
        <f t="shared" si="15"/>
        <v>2.1385832654218784</v>
      </c>
      <c r="K38" s="297">
        <f t="shared" si="15"/>
        <v>2.1200179184226133</v>
      </c>
      <c r="N38" s="3516"/>
      <c r="O38" s="3517"/>
      <c r="Q38" s="62">
        <v>18</v>
      </c>
      <c r="R38" s="1333">
        <f>-SUM(B31:K31) - SUM(B63:I63)</f>
        <v>0</v>
      </c>
      <c r="S38" s="1333">
        <f>SUM(B32:K32) + SUM(B64:I64)+R38</f>
        <v>2660871.2794753462</v>
      </c>
    </row>
    <row r="39" spans="1:19" ht="13.35" customHeight="1">
      <c r="A39" s="483" t="s">
        <v>2616</v>
      </c>
      <c r="B39" s="240">
        <f>IF('Part III-Sources of Funds'!$I$38="","",-FV('Part III-Sources of Funds'!$K$38/12,12,B25/12,'Part III-Sources of Funds'!$I$38))</f>
        <v>8508153.5298310425</v>
      </c>
      <c r="C39" s="240">
        <f>IF('Part III-Sources of Funds'!$I$38="","",-FV('Part III-Sources of Funds'!$K$38/12,12,C25/12,B39))</f>
        <v>8371808.154852747</v>
      </c>
      <c r="D39" s="240">
        <f>IF('Part III-Sources of Funds'!$I$38="","",-FV('Part III-Sources of Funds'!$K$38/12,12,D25/12,C39))</f>
        <v>8230810.3620855259</v>
      </c>
      <c r="E39" s="240">
        <f>IF('Part III-Sources of Funds'!$I$38="","",-FV('Part III-Sources of Funds'!$K$38/12,12,E25/12,D39))</f>
        <v>8085001.4003338506</v>
      </c>
      <c r="F39" s="240">
        <f>IF('Part III-Sources of Funds'!$I$38="","",-FV('Part III-Sources of Funds'!$K$38/12,12,F25/12,E39))</f>
        <v>7934217.1014462709</v>
      </c>
      <c r="G39" s="240">
        <f>IF('Part III-Sources of Funds'!$I$38="","",-FV('Part III-Sources of Funds'!$K$38/12,12,G25/12,F39))</f>
        <v>7778287.6954764239</v>
      </c>
      <c r="H39" s="240">
        <f>IF('Part III-Sources of Funds'!$I$38="","",-FV('Part III-Sources of Funds'!$K$38/12,12,H25/12,G39))</f>
        <v>7617037.6195369055</v>
      </c>
      <c r="I39" s="240">
        <f>IF('Part III-Sources of Funds'!$I$38="","",-FV('Part III-Sources of Funds'!$K$38/12,12,I25/12,H39))</f>
        <v>7450285.3201307971</v>
      </c>
      <c r="J39" s="240">
        <f>IF('Part III-Sources of Funds'!$I$38="","",-FV('Part III-Sources of Funds'!$K$38/12,12,J25/12,I39))</f>
        <v>7277843.0487382933</v>
      </c>
      <c r="K39" s="240">
        <f>IF('Part III-Sources of Funds'!$I$38="","",-FV('Part III-Sources of Funds'!$K$38/12,12,K25/12,J39))</f>
        <v>7099516.6504282691</v>
      </c>
      <c r="N39" s="3516"/>
      <c r="O39" s="3517"/>
      <c r="Q39" s="1125">
        <v>19</v>
      </c>
      <c r="R39" s="1333">
        <f>-SUM(B31:K31) - SUM(B63:J63)</f>
        <v>0</v>
      </c>
      <c r="S39" s="1333">
        <f>SUM(B32:K32) + SUM(B64:J64)+R39</f>
        <v>2874352.2064782511</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6"/>
      <c r="O40" s="3517"/>
      <c r="Q40" s="1125">
        <v>20</v>
      </c>
      <c r="R40" s="1333">
        <f>-SUM(B31:K31) - SUM(B63:K63)</f>
        <v>0</v>
      </c>
      <c r="S40" s="1333">
        <f>SUM(B32:K32) + SUM(B64:K64)+R40</f>
        <v>3094627.2227659337</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6"/>
      <c r="O41" s="3517"/>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6"/>
      <c r="O42" s="3517"/>
    </row>
    <row r="43" spans="1:19" ht="13.35" customHeight="1">
      <c r="A43" s="483" t="s">
        <v>4087</v>
      </c>
      <c r="B43" s="242">
        <f>IF('Part III-Sources of Funds'!$I$43="","",-FV('Part III-Sources of Funds'!$K$43/12,12,B31/12,'Part III-Sources of Funds'!$I$43))</f>
        <v>800</v>
      </c>
      <c r="C43" s="242">
        <f>IF('Part III-Sources of Funds'!$I$43="","",IF(-FV('Part III-Sources of Funds'!$K$43/12,12,C31/12,B43)&gt;0,-FV('Part III-Sources of Funds'!$K$43/12,12,C31/12,B43),0))</f>
        <v>800</v>
      </c>
      <c r="D43" s="242">
        <f>IF('Part III-Sources of Funds'!$I$43="","",IF(-FV('Part III-Sources of Funds'!$K$43/12,12,D31/12,C43)&gt;0,-FV('Part III-Sources of Funds'!$K$43/12,12,D31/12,C43),0))</f>
        <v>800</v>
      </c>
      <c r="E43" s="242">
        <f>IF('Part III-Sources of Funds'!$I$43="","",IF(-FV('Part III-Sources of Funds'!$K$43/12,12,E31/12,D43)&gt;0,-FV('Part III-Sources of Funds'!$K$43/12,12,E31/12,D43),0))</f>
        <v>800</v>
      </c>
      <c r="F43" s="242">
        <f>IF('Part III-Sources of Funds'!$I$43="","",IF(-FV('Part III-Sources of Funds'!$K$43/12,12,F31/12,E43)&gt;0,-FV('Part III-Sources of Funds'!$K$43/12,12,F31/12,E43),0))</f>
        <v>800</v>
      </c>
      <c r="G43" s="242">
        <f>IF('Part III-Sources of Funds'!$I$43="","",IF(-FV('Part III-Sources of Funds'!$K$43/12,12,G31/12,F43)&gt;0,-FV('Part III-Sources of Funds'!$K$43/12,12,G31/12,F43),0))</f>
        <v>800</v>
      </c>
      <c r="H43" s="242">
        <f>IF('Part III-Sources of Funds'!$I$43="","",IF(-FV('Part III-Sources of Funds'!$K$43/12,12,H31/12,G43)&gt;0,-FV('Part III-Sources of Funds'!$K$43/12,12,H31/12,G43),0))</f>
        <v>800</v>
      </c>
      <c r="I43" s="242">
        <f>IF('Part III-Sources of Funds'!$I$43="","",IF(-FV('Part III-Sources of Funds'!$K$43/12,12,I31/12,H43)&gt;0,-FV('Part III-Sources of Funds'!$K$43/12,12,I31/12,H43),0))</f>
        <v>800</v>
      </c>
      <c r="J43" s="242">
        <f>IF('Part III-Sources of Funds'!$I$43="","",IF(-FV('Part III-Sources of Funds'!$K$43/12,12,J31/12,I43)&gt;0,-FV('Part III-Sources of Funds'!$K$43/12,12,J31/12,I43),0))</f>
        <v>800</v>
      </c>
      <c r="K43" s="242">
        <f>IF('Part III-Sources of Funds'!$I$43="","",IF(-FV('Part III-Sources of Funds'!$K$43/12,12,K31/12,J43)&gt;0,-FV('Part III-Sources of Funds'!$K$43/12,12,K31/12,J43),0))</f>
        <v>800</v>
      </c>
      <c r="N43" s="3558"/>
      <c r="O43" s="3560"/>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2621</v>
      </c>
      <c r="O45" s="3168"/>
    </row>
    <row r="46" spans="1:19" ht="13.35" customHeight="1">
      <c r="A46" s="18" t="s">
        <v>2404</v>
      </c>
      <c r="B46" s="19">
        <f t="shared" ref="B46:K46" si="17">$B$14*(1+$B$5)^(B45-1)</f>
        <v>1178162.9829026128</v>
      </c>
      <c r="C46" s="19">
        <f t="shared" si="17"/>
        <v>1201726.2425606647</v>
      </c>
      <c r="D46" s="19">
        <f t="shared" si="17"/>
        <v>1225760.7674118783</v>
      </c>
      <c r="E46" s="19">
        <f t="shared" si="17"/>
        <v>1250275.9827601158</v>
      </c>
      <c r="F46" s="19">
        <f t="shared" si="17"/>
        <v>1275281.5024153183</v>
      </c>
      <c r="G46" s="19">
        <f t="shared" si="17"/>
        <v>1300787.1324636242</v>
      </c>
      <c r="H46" s="19">
        <f t="shared" si="17"/>
        <v>1326802.8751128968</v>
      </c>
      <c r="I46" s="19">
        <f t="shared" si="17"/>
        <v>1353338.9326151549</v>
      </c>
      <c r="J46" s="19">
        <f t="shared" si="17"/>
        <v>1380405.7112674578</v>
      </c>
      <c r="K46" s="20">
        <f t="shared" si="17"/>
        <v>1408013.825492807</v>
      </c>
      <c r="N46" s="3524"/>
      <c r="O46" s="3525"/>
    </row>
    <row r="47" spans="1:19" ht="13.35" customHeight="1">
      <c r="A47" s="21" t="s">
        <v>1016</v>
      </c>
      <c r="B47" s="22">
        <f t="shared" ref="B47:K47" si="18">$B$15*(1+$B$5)^(B45-1)</f>
        <v>23563.259658052255</v>
      </c>
      <c r="C47" s="22">
        <f t="shared" si="18"/>
        <v>24034.524851213297</v>
      </c>
      <c r="D47" s="22">
        <f t="shared" si="18"/>
        <v>24515.215348237569</v>
      </c>
      <c r="E47" s="22">
        <f t="shared" si="18"/>
        <v>25005.519655202315</v>
      </c>
      <c r="F47" s="22">
        <f t="shared" si="18"/>
        <v>25505.630048306368</v>
      </c>
      <c r="G47" s="22">
        <f t="shared" si="18"/>
        <v>26015.742649272484</v>
      </c>
      <c r="H47" s="22">
        <f t="shared" si="18"/>
        <v>26536.05750225794</v>
      </c>
      <c r="I47" s="22">
        <f t="shared" si="18"/>
        <v>27066.778652303103</v>
      </c>
      <c r="J47" s="22">
        <f t="shared" si="18"/>
        <v>27608.11422534916</v>
      </c>
      <c r="K47" s="23">
        <f t="shared" si="18"/>
        <v>28160.276509856143</v>
      </c>
      <c r="N47" s="3516"/>
      <c r="O47" s="3517"/>
    </row>
    <row r="48" spans="1:19" ht="13.35" customHeight="1">
      <c r="A48" s="21" t="s">
        <v>2405</v>
      </c>
      <c r="B48" s="22">
        <f t="shared" ref="B48:K48" si="19">-(B46+B47)*$B$8</f>
        <v>-84120.836979246567</v>
      </c>
      <c r="C48" s="22">
        <f t="shared" si="19"/>
        <v>-85803.25371883146</v>
      </c>
      <c r="D48" s="22">
        <f t="shared" si="19"/>
        <v>-87519.318793208135</v>
      </c>
      <c r="E48" s="22">
        <f t="shared" si="19"/>
        <v>-89269.705169072273</v>
      </c>
      <c r="F48" s="22">
        <f t="shared" si="19"/>
        <v>-91055.099272453735</v>
      </c>
      <c r="G48" s="22">
        <f t="shared" si="19"/>
        <v>-92876.20125790278</v>
      </c>
      <c r="H48" s="22">
        <f t="shared" si="19"/>
        <v>-94733.725283060834</v>
      </c>
      <c r="I48" s="22">
        <f t="shared" si="19"/>
        <v>-96628.399788722076</v>
      </c>
      <c r="J48" s="22">
        <f t="shared" si="19"/>
        <v>-98560.96778449649</v>
      </c>
      <c r="K48" s="23">
        <f t="shared" si="19"/>
        <v>-100532.18714018642</v>
      </c>
      <c r="N48" s="3516"/>
      <c r="O48" s="3517"/>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6"/>
      <c r="O49" s="3517"/>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6"/>
      <c r="O50" s="3517"/>
    </row>
    <row r="51" spans="1:19" ht="13.35" customHeight="1">
      <c r="A51" s="483" t="s">
        <v>4944</v>
      </c>
      <c r="B51" s="22">
        <f t="shared" ref="B51:K51" si="20">SUM(B46:B50)</f>
        <v>1117605.4055814187</v>
      </c>
      <c r="C51" s="22">
        <f t="shared" si="20"/>
        <v>1139957.5136930463</v>
      </c>
      <c r="D51" s="22">
        <f t="shared" si="20"/>
        <v>1162756.6639669079</v>
      </c>
      <c r="E51" s="22">
        <f t="shared" si="20"/>
        <v>1186011.7972462457</v>
      </c>
      <c r="F51" s="22">
        <f t="shared" si="20"/>
        <v>1209732.033191171</v>
      </c>
      <c r="G51" s="22">
        <f t="shared" si="20"/>
        <v>1233926.6738549941</v>
      </c>
      <c r="H51" s="22">
        <f t="shared" si="20"/>
        <v>1258605.2073320937</v>
      </c>
      <c r="I51" s="22">
        <f t="shared" si="20"/>
        <v>1283777.3114787359</v>
      </c>
      <c r="J51" s="22">
        <f t="shared" si="20"/>
        <v>1309452.8577083105</v>
      </c>
      <c r="K51" s="23">
        <f t="shared" si="20"/>
        <v>1335641.9148624768</v>
      </c>
      <c r="N51" s="3516"/>
      <c r="O51" s="3517"/>
    </row>
    <row r="52" spans="1:19" ht="13.35" customHeight="1">
      <c r="A52" s="21" t="s">
        <v>614</v>
      </c>
      <c r="B52" s="22">
        <f t="shared" ref="B52:K52" si="21">$B$20*(1+$B$6)^(B45-1)</f>
        <v>-440159.49256278679</v>
      </c>
      <c r="C52" s="22">
        <f t="shared" si="21"/>
        <v>-453364.2773396704</v>
      </c>
      <c r="D52" s="22">
        <f t="shared" si="21"/>
        <v>-466965.20565986045</v>
      </c>
      <c r="E52" s="22">
        <f t="shared" si="21"/>
        <v>-480974.16182965622</v>
      </c>
      <c r="F52" s="22">
        <f t="shared" si="21"/>
        <v>-495403.38668454596</v>
      </c>
      <c r="G52" s="22">
        <f t="shared" si="21"/>
        <v>-510265.48828508239</v>
      </c>
      <c r="H52" s="22">
        <f t="shared" si="21"/>
        <v>-525573.45293363475</v>
      </c>
      <c r="I52" s="22">
        <f t="shared" si="21"/>
        <v>-541340.65652164374</v>
      </c>
      <c r="J52" s="22">
        <f t="shared" si="21"/>
        <v>-557580.87621729309</v>
      </c>
      <c r="K52" s="23">
        <f t="shared" si="21"/>
        <v>-574308.30250381189</v>
      </c>
      <c r="N52" s="3516"/>
      <c r="O52" s="3517"/>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-55880</v>
      </c>
      <c r="C53" s="22">
        <f>IF(AND('Part VII-Pro Forma'!$G$8="Yes",'Part VII-Pro Forma'!$G$9="Yes"),"Choose One!",IF('Part VII-Pro Forma'!$G$8="Yes",ROUND((-$K$8*(1+'Part VII-Pro Forma'!$B$6)^('Part VII-Pro Forma'!C45-1)),),IF('Part VII-Pro Forma'!$G$9="Yes",ROUND((-(SUM(C46:C49)*'Part VII-Pro Forma'!$K$9)),),"Choose mgt fee")))</f>
        <v>-56998</v>
      </c>
      <c r="D53" s="22">
        <f>IF(AND('Part VII-Pro Forma'!$G$8="Yes",'Part VII-Pro Forma'!$G$9="Yes"),"Choose One!",IF('Part VII-Pro Forma'!$G$8="Yes",ROUND((-$K$8*(1+'Part VII-Pro Forma'!$B$6)^('Part VII-Pro Forma'!D45-1)),),IF('Part VII-Pro Forma'!$G$9="Yes",ROUND((-(SUM(D46:D49)*'Part VII-Pro Forma'!$K$9)),),"Choose mgt fee")))</f>
        <v>-58138</v>
      </c>
      <c r="E53" s="22">
        <f>IF(AND('Part VII-Pro Forma'!$G$8="Yes",'Part VII-Pro Forma'!$G$9="Yes"),"Choose One!",IF('Part VII-Pro Forma'!$G$8="Yes",ROUND((-$K$8*(1+'Part VII-Pro Forma'!$B$6)^('Part VII-Pro Forma'!E45-1)),),IF('Part VII-Pro Forma'!$G$9="Yes",ROUND((-(SUM(E46:E49)*'Part VII-Pro Forma'!$K$9)),),"Choose mgt fee")))</f>
        <v>-59301</v>
      </c>
      <c r="F53" s="22">
        <f>IF(AND('Part VII-Pro Forma'!$G$8="Yes",'Part VII-Pro Forma'!$G$9="Yes"),"Choose One!",IF('Part VII-Pro Forma'!$G$8="Yes",ROUND((-$K$8*(1+'Part VII-Pro Forma'!$B$6)^('Part VII-Pro Forma'!F45-1)),),IF('Part VII-Pro Forma'!$G$9="Yes",ROUND((-(SUM(F46:F49)*'Part VII-Pro Forma'!$K$9)),),"Choose mgt fee")))</f>
        <v>-60487</v>
      </c>
      <c r="G53" s="22">
        <f>IF(AND('Part VII-Pro Forma'!$G$8="Yes",'Part VII-Pro Forma'!$G$9="Yes"),"Choose One!",IF('Part VII-Pro Forma'!$G$8="Yes",ROUND((-$K$8*(1+'Part VII-Pro Forma'!$B$6)^('Part VII-Pro Forma'!G45-1)),),IF('Part VII-Pro Forma'!$G$9="Yes",ROUND((-(SUM(G46:G49)*'Part VII-Pro Forma'!$K$9)),),"Choose mgt fee")))</f>
        <v>-61696</v>
      </c>
      <c r="H53" s="22">
        <f>IF(AND('Part VII-Pro Forma'!$G$8="Yes",'Part VII-Pro Forma'!$G$9="Yes"),"Choose One!",IF('Part VII-Pro Forma'!$G$8="Yes",ROUND((-$K$8*(1+'Part VII-Pro Forma'!$B$6)^('Part VII-Pro Forma'!H45-1)),),IF('Part VII-Pro Forma'!$G$9="Yes",ROUND((-(SUM(H46:H49)*'Part VII-Pro Forma'!$K$9)),),"Choose mgt fee")))</f>
        <v>-62930</v>
      </c>
      <c r="I53" s="22">
        <f>IF(AND('Part VII-Pro Forma'!$G$8="Yes",'Part VII-Pro Forma'!$G$9="Yes"),"Choose One!",IF('Part VII-Pro Forma'!$G$8="Yes",ROUND((-$K$8*(1+'Part VII-Pro Forma'!$B$6)^('Part VII-Pro Forma'!I45-1)),),IF('Part VII-Pro Forma'!$G$9="Yes",ROUND((-(SUM(I46:I49)*'Part VII-Pro Forma'!$K$9)),),"Choose mgt fee")))</f>
        <v>-64189</v>
      </c>
      <c r="J53" s="22">
        <f>IF(AND('Part VII-Pro Forma'!$G$8="Yes",'Part VII-Pro Forma'!$G$9="Yes"),"Choose One!",IF('Part VII-Pro Forma'!$G$8="Yes",ROUND((-$K$8*(1+'Part VII-Pro Forma'!$B$6)^('Part VII-Pro Forma'!J45-1)),),IF('Part VII-Pro Forma'!$G$9="Yes",ROUND((-(SUM(J46:J49)*'Part VII-Pro Forma'!$K$9)),),"Choose mgt fee")))</f>
        <v>-65473</v>
      </c>
      <c r="K53" s="23">
        <f>IF(AND('Part VII-Pro Forma'!$G$8="Yes",'Part VII-Pro Forma'!$G$9="Yes"),"Choose One!",IF('Part VII-Pro Forma'!$G$8="Yes",ROUND((-$K$8*(1+'Part VII-Pro Forma'!$B$6)^('Part VII-Pro Forma'!K45-1)),),IF('Part VII-Pro Forma'!$G$9="Yes",ROUND((-(SUM(K46:K49)*'Part VII-Pro Forma'!$K$9)),),"Choose mgt fee")))</f>
        <v>-66782</v>
      </c>
      <c r="N53" s="3516"/>
      <c r="O53" s="3517"/>
    </row>
    <row r="54" spans="1:19" ht="13.35" customHeight="1">
      <c r="A54" s="21" t="s">
        <v>1202</v>
      </c>
      <c r="B54" s="22">
        <f t="shared" ref="B54:K54" si="22">$B$22*(1+$B$7)^(B45-1)</f>
        <v>-35748.175690553639</v>
      </c>
      <c r="C54" s="22">
        <f t="shared" si="22"/>
        <v>-36820.620961270251</v>
      </c>
      <c r="D54" s="22">
        <f t="shared" si="22"/>
        <v>-37925.239590108351</v>
      </c>
      <c r="E54" s="22">
        <f t="shared" si="22"/>
        <v>-39062.996777811597</v>
      </c>
      <c r="F54" s="22">
        <f t="shared" si="22"/>
        <v>-40234.886681145952</v>
      </c>
      <c r="G54" s="22">
        <f t="shared" si="22"/>
        <v>-41441.933281580335</v>
      </c>
      <c r="H54" s="22">
        <f t="shared" si="22"/>
        <v>-42685.191280027735</v>
      </c>
      <c r="I54" s="22">
        <f t="shared" si="22"/>
        <v>-43965.74701842857</v>
      </c>
      <c r="J54" s="22">
        <f t="shared" si="22"/>
        <v>-45284.719428981429</v>
      </c>
      <c r="K54" s="23">
        <f t="shared" si="22"/>
        <v>-46643.261011850867</v>
      </c>
      <c r="N54" s="3516"/>
      <c r="O54" s="3517"/>
    </row>
    <row r="55" spans="1:19" ht="13.35" customHeight="1">
      <c r="A55" s="483" t="s">
        <v>4943</v>
      </c>
      <c r="B55" s="2704">
        <f>IF(B45&lt;=+'Part VI-Revenues &amp; Expenses'!$K$243,-'Part VI-Revenues &amp; Expenses'!$H$243,0)</f>
        <v>-1</v>
      </c>
      <c r="C55" s="2704">
        <f>IF(C45&lt;=+'Part VI-Revenues &amp; Expenses'!$K$243,-'Part VI-Revenues &amp; Expenses'!$H$243,0)</f>
        <v>-1</v>
      </c>
      <c r="D55" s="2704">
        <f>IF(D45&lt;=+'Part VI-Revenues &amp; Expenses'!$K$243,-'Part VI-Revenues &amp; Expenses'!$H$243,0)</f>
        <v>-1</v>
      </c>
      <c r="E55" s="2704">
        <f>IF(E45&lt;=+'Part VI-Revenues &amp; Expenses'!$K$243,-'Part VI-Revenues &amp; Expenses'!$H$243,0)</f>
        <v>-1</v>
      </c>
      <c r="F55" s="2704">
        <f>IF(F45&lt;=+'Part VI-Revenues &amp; Expenses'!$K$243,-'Part VI-Revenues &amp; Expenses'!$H$243,0)</f>
        <v>-1</v>
      </c>
      <c r="G55" s="2704">
        <f>IF(G45&lt;=+'Part VI-Revenues &amp; Expenses'!$K$243,-'Part VI-Revenues &amp; Expenses'!$H$243,0)</f>
        <v>-1</v>
      </c>
      <c r="H55" s="2704">
        <f>IF(H45&lt;=+'Part VI-Revenues &amp; Expenses'!$K$243,-'Part VI-Revenues &amp; Expenses'!$H$243,0)</f>
        <v>-1</v>
      </c>
      <c r="I55" s="2704">
        <f>IF(I45&lt;=+'Part VI-Revenues &amp; Expenses'!$K$243,-'Part VI-Revenues &amp; Expenses'!$H$243,0)</f>
        <v>-1</v>
      </c>
      <c r="J55" s="2704">
        <f>IF(J45&lt;=+'Part VI-Revenues &amp; Expenses'!$K$243,-'Part VI-Revenues &amp; Expenses'!$H$243,0)</f>
        <v>-1</v>
      </c>
      <c r="K55" s="2704">
        <f>IF(K45&lt;=+'Part VI-Revenues &amp; Expenses'!$K$243,-'Part VI-Revenues &amp; Expenses'!$H$243,0)</f>
        <v>-1</v>
      </c>
      <c r="N55" s="3516"/>
      <c r="O55" s="3517"/>
      <c r="Q55" s="1125">
        <v>10</v>
      </c>
      <c r="R55" s="1333">
        <f>-SUM(B60:K60)</f>
        <v>0</v>
      </c>
      <c r="S55" s="1333">
        <f>SUM(B61:K61)+R55</f>
        <v>0</v>
      </c>
    </row>
    <row r="56" spans="1:19" ht="13.35" customHeight="1">
      <c r="A56" s="21" t="s">
        <v>1203</v>
      </c>
      <c r="B56" s="22">
        <f>SUM(B51:B55)</f>
        <v>585816.73732807825</v>
      </c>
      <c r="C56" s="22">
        <f t="shared" ref="C56" si="23">SUM(C51:C55)</f>
        <v>592773.61539210565</v>
      </c>
      <c r="D56" s="22">
        <f t="shared" ref="D56" si="24">SUM(D51:D55)</f>
        <v>599727.21871693898</v>
      </c>
      <c r="E56" s="22">
        <f t="shared" ref="E56" si="25">SUM(E51:E55)</f>
        <v>606672.63863877789</v>
      </c>
      <c r="F56" s="22">
        <f t="shared" ref="F56" si="26">SUM(F51:F55)</f>
        <v>613605.75982547901</v>
      </c>
      <c r="G56" s="22">
        <f t="shared" ref="G56" si="27">SUM(G51:G55)</f>
        <v>620522.25228833139</v>
      </c>
      <c r="H56" s="22">
        <f t="shared" ref="H56" si="28">SUM(H51:H55)</f>
        <v>627415.56311843125</v>
      </c>
      <c r="I56" s="22">
        <f t="shared" ref="I56" si="29">SUM(I51:I55)</f>
        <v>634280.90793866361</v>
      </c>
      <c r="J56" s="22">
        <f t="shared" ref="J56" si="30">SUM(J51:J55)</f>
        <v>641113.26206203597</v>
      </c>
      <c r="K56" s="2567">
        <f>SUM(K51:K55)</f>
        <v>647907.35134681396</v>
      </c>
      <c r="N56" s="3516"/>
      <c r="O56" s="3517"/>
    </row>
    <row r="57" spans="1:19" ht="13.35" customHeight="1">
      <c r="A57" s="21" t="str">
        <f>$A25</f>
        <v>Mortgage A</v>
      </c>
      <c r="B57" s="485">
        <f>IF('Part III-Sources of Funds'!$P$38="", 0,-'Part III-Sources of Funds'!$P$38)</f>
        <v>-420132.3350591315</v>
      </c>
      <c r="C57" s="485">
        <f>IF('Part III-Sources of Funds'!$P$38="", 0,-'Part III-Sources of Funds'!$P$38)</f>
        <v>-420132.3350591315</v>
      </c>
      <c r="D57" s="485">
        <f>IF('Part III-Sources of Funds'!$P$38="", 0,-'Part III-Sources of Funds'!$P$38)</f>
        <v>-420132.3350591315</v>
      </c>
      <c r="E57" s="485">
        <f>IF('Part III-Sources of Funds'!$P$38="", 0,-'Part III-Sources of Funds'!$P$38)</f>
        <v>-420132.3350591315</v>
      </c>
      <c r="F57" s="485">
        <f>IF('Part III-Sources of Funds'!$P$38="", 0,-'Part III-Sources of Funds'!$P$38)</f>
        <v>-420132.3350591315</v>
      </c>
      <c r="G57" s="485">
        <f>IF('Part III-Sources of Funds'!$P$38="", 0,-'Part III-Sources of Funds'!$P$38)</f>
        <v>-420132.3350591315</v>
      </c>
      <c r="H57" s="485">
        <f>IF('Part III-Sources of Funds'!$P$38="", 0,-'Part III-Sources of Funds'!$P$38)</f>
        <v>-420132.3350591315</v>
      </c>
      <c r="I57" s="485">
        <f>IF('Part III-Sources of Funds'!$P$38="", 0,-'Part III-Sources of Funds'!$P$38)</f>
        <v>-420132.3350591315</v>
      </c>
      <c r="J57" s="485">
        <f>IF('Part III-Sources of Funds'!$P$38="", 0,-'Part III-Sources of Funds'!$P$38)</f>
        <v>-420132.3350591315</v>
      </c>
      <c r="K57" s="485">
        <f>IF('Part III-Sources of Funds'!$P$38="", 0,-'Part III-Sources of Funds'!$P$38)</f>
        <v>-420132.3350591315</v>
      </c>
      <c r="N57" s="3516"/>
      <c r="O57" s="3517"/>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6"/>
      <c r="O58" s="3517"/>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6"/>
      <c r="O59" s="3517"/>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6"/>
      <c r="O60" s="3517"/>
    </row>
    <row r="61" spans="1:19" ht="13.35" customHeight="1">
      <c r="A61" s="21" t="s">
        <v>763</v>
      </c>
      <c r="B61" s="180"/>
      <c r="C61" s="180"/>
      <c r="D61" s="180"/>
      <c r="E61" s="180"/>
      <c r="F61" s="180"/>
      <c r="G61" s="180"/>
      <c r="H61" s="180"/>
      <c r="I61" s="180"/>
      <c r="J61" s="180"/>
      <c r="K61" s="180"/>
      <c r="N61" s="3516"/>
      <c r="O61" s="3517"/>
    </row>
    <row r="62" spans="1:19" ht="13.35" customHeight="1">
      <c r="A62" s="483" t="s">
        <v>1163</v>
      </c>
      <c r="B62" s="241">
        <f>+K30</f>
        <v>-7500</v>
      </c>
      <c r="C62" s="241">
        <f t="shared" ref="C62:K62" si="31">+B62</f>
        <v>-7500</v>
      </c>
      <c r="D62" s="241">
        <f t="shared" si="31"/>
        <v>-7500</v>
      </c>
      <c r="E62" s="241">
        <f t="shared" si="31"/>
        <v>-7500</v>
      </c>
      <c r="F62" s="241">
        <f t="shared" si="31"/>
        <v>-7500</v>
      </c>
      <c r="G62" s="241">
        <f t="shared" si="31"/>
        <v>-7500</v>
      </c>
      <c r="H62" s="241">
        <f t="shared" si="31"/>
        <v>-7500</v>
      </c>
      <c r="I62" s="241">
        <f t="shared" si="31"/>
        <v>-7500</v>
      </c>
      <c r="J62" s="241">
        <f t="shared" si="31"/>
        <v>-7500</v>
      </c>
      <c r="K62" s="241">
        <f t="shared" si="31"/>
        <v>-7500</v>
      </c>
      <c r="N62" s="3516"/>
      <c r="O62" s="3517"/>
      <c r="Q62" s="1125"/>
      <c r="R62" s="1333"/>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6"/>
      <c r="O63" s="3517"/>
    </row>
    <row r="64" spans="1:19" ht="13.35" customHeight="1">
      <c r="A64" s="21" t="s">
        <v>1164</v>
      </c>
      <c r="B64" s="22">
        <f t="shared" ref="B64:K64" si="32">SUM(B56:B63)</f>
        <v>158184.40226894675</v>
      </c>
      <c r="C64" s="22">
        <f t="shared" si="32"/>
        <v>165141.28033297416</v>
      </c>
      <c r="D64" s="22">
        <f t="shared" si="32"/>
        <v>172094.88365780748</v>
      </c>
      <c r="E64" s="22">
        <f t="shared" si="32"/>
        <v>179040.3035796464</v>
      </c>
      <c r="F64" s="22">
        <f t="shared" si="32"/>
        <v>185973.42476634751</v>
      </c>
      <c r="G64" s="22">
        <f t="shared" si="32"/>
        <v>192889.9172291999</v>
      </c>
      <c r="H64" s="22">
        <f t="shared" si="32"/>
        <v>199783.22805929976</v>
      </c>
      <c r="I64" s="22">
        <f t="shared" si="32"/>
        <v>206648.57287953212</v>
      </c>
      <c r="J64" s="22">
        <f t="shared" si="32"/>
        <v>213480.92700290447</v>
      </c>
      <c r="K64" s="729">
        <f t="shared" si="32"/>
        <v>220275.01628768246</v>
      </c>
      <c r="N64" s="3516"/>
      <c r="O64" s="3517"/>
    </row>
    <row r="65" spans="1:15" ht="13.35" customHeight="1">
      <c r="A65" s="21" t="str">
        <f>$A33</f>
        <v>DCR Mortgage A</v>
      </c>
      <c r="B65" s="24">
        <f t="shared" ref="B65:K65" si="33">IF(B57=0,"",-B56/B57)</f>
        <v>1.3943624149891427</v>
      </c>
      <c r="C65" s="24">
        <f t="shared" si="33"/>
        <v>1.4109211929823868</v>
      </c>
      <c r="D65" s="24">
        <f t="shared" si="33"/>
        <v>1.4274721764334812</v>
      </c>
      <c r="E65" s="24">
        <f t="shared" si="33"/>
        <v>1.4440036817289768</v>
      </c>
      <c r="F65" s="24">
        <f t="shared" si="33"/>
        <v>1.4605059135453526</v>
      </c>
      <c r="G65" s="24">
        <f t="shared" si="33"/>
        <v>1.4769685656330072</v>
      </c>
      <c r="H65" s="24">
        <f t="shared" si="33"/>
        <v>1.4933760407423191</v>
      </c>
      <c r="I65" s="24">
        <f t="shared" si="33"/>
        <v>1.5097169510873087</v>
      </c>
      <c r="J65" s="24">
        <f t="shared" si="33"/>
        <v>1.5259793368958439</v>
      </c>
      <c r="K65" s="25">
        <f t="shared" si="33"/>
        <v>1.5421506446430129</v>
      </c>
      <c r="N65" s="3516"/>
      <c r="O65" s="3517"/>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6"/>
      <c r="O66" s="3517"/>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6"/>
      <c r="O67" s="3517"/>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6"/>
      <c r="O68" s="3517"/>
    </row>
    <row r="69" spans="1:15" ht="13.35" customHeight="1">
      <c r="A69" s="483" t="s">
        <v>3712</v>
      </c>
      <c r="B69" s="24">
        <f t="shared" ref="B69:K69" si="37">IF(AND(B57=0,B58=0,B59=0,B60=0),"",-B56/(B57+B58+B59+B60))</f>
        <v>1.3943624149891427</v>
      </c>
      <c r="C69" s="24">
        <f t="shared" si="37"/>
        <v>1.4109211929823868</v>
      </c>
      <c r="D69" s="24">
        <f t="shared" si="37"/>
        <v>1.4274721764334812</v>
      </c>
      <c r="E69" s="24">
        <f t="shared" si="37"/>
        <v>1.4440036817289768</v>
      </c>
      <c r="F69" s="24">
        <f t="shared" si="37"/>
        <v>1.4605059135453526</v>
      </c>
      <c r="G69" s="24">
        <f t="shared" si="37"/>
        <v>1.4769685656330072</v>
      </c>
      <c r="H69" s="24">
        <f t="shared" si="37"/>
        <v>1.4933760407423191</v>
      </c>
      <c r="I69" s="24">
        <f t="shared" si="37"/>
        <v>1.5097169510873087</v>
      </c>
      <c r="J69" s="24">
        <f t="shared" si="37"/>
        <v>1.5259793368958439</v>
      </c>
      <c r="K69" s="25">
        <f t="shared" si="37"/>
        <v>1.5421506446430129</v>
      </c>
      <c r="N69" s="3516"/>
      <c r="O69" s="3517"/>
    </row>
    <row r="70" spans="1:15" ht="13.35" customHeight="1">
      <c r="A70" s="21" t="s">
        <v>770</v>
      </c>
      <c r="B70" s="296">
        <f t="shared" ref="B70:K70" si="38">IF(OR(B53="Choose mgt fee",B53="Choose One!"),"",(B46+B47+B48+B49+B50) / -(B52+B53+B54))</f>
        <v>2.1016008311215639</v>
      </c>
      <c r="C70" s="296">
        <f t="shared" si="38"/>
        <v>2.0833208004722588</v>
      </c>
      <c r="D70" s="296">
        <f t="shared" si="38"/>
        <v>2.065182805196772</v>
      </c>
      <c r="E70" s="296">
        <f t="shared" si="38"/>
        <v>2.0471839799004701</v>
      </c>
      <c r="F70" s="296">
        <f t="shared" si="38"/>
        <v>2.0293251892527344</v>
      </c>
      <c r="G70" s="296">
        <f t="shared" si="38"/>
        <v>2.0116070932625125</v>
      </c>
      <c r="H70" s="296">
        <f t="shared" si="38"/>
        <v>1.9940238451217218</v>
      </c>
      <c r="I70" s="296">
        <f t="shared" si="38"/>
        <v>1.9765764383881894</v>
      </c>
      <c r="J70" s="296">
        <f t="shared" si="38"/>
        <v>1.9592656570163915</v>
      </c>
      <c r="K70" s="297">
        <f t="shared" si="38"/>
        <v>1.9420920916448163</v>
      </c>
      <c r="N70" s="3516"/>
      <c r="O70" s="3517"/>
    </row>
    <row r="71" spans="1:15" ht="13.35" customHeight="1">
      <c r="A71" s="483" t="s">
        <v>2616</v>
      </c>
      <c r="B71" s="240">
        <f>IF('Part III-Sources of Funds'!$I$38="","",-FV('Part III-Sources of Funds'!$K$38/12,12,B57/12,K39))</f>
        <v>6915105.3452567942</v>
      </c>
      <c r="C71" s="240">
        <f>IF('Part III-Sources of Funds'!$I$38="","",-FV('Part III-Sources of Funds'!$K$38/12,12,C57/12,B71))</f>
        <v>6724401.5022064568</v>
      </c>
      <c r="D71" s="240">
        <f>IF('Part III-Sources of Funds'!$I$38="","",-FV('Part III-Sources of Funds'!$K$38/12,12,D57/12,C71))</f>
        <v>6527190.4054119783</v>
      </c>
      <c r="E71" s="240">
        <f>IF('Part III-Sources of Funds'!$I$38="","",-FV('Part III-Sources of Funds'!$K$38/12,12,E57/12,D71))</f>
        <v>6323250.0124089113</v>
      </c>
      <c r="F71" s="240">
        <f>IF('Part III-Sources of Funds'!$I$38="","",-FV('Part III-Sources of Funds'!$K$38/12,12,F57/12,E71))</f>
        <v>6112350.7041332219</v>
      </c>
      <c r="G71" s="240">
        <f>IF('Part III-Sources of Funds'!$I$38="","",-FV('Part III-Sources of Funds'!$K$38/12,12,G57/12,F71))</f>
        <v>5894255.026390288</v>
      </c>
      <c r="H71" s="240">
        <f>IF('Part III-Sources of Funds'!$I$38="","",-FV('Part III-Sources of Funds'!$K$38/12,12,H57/12,G71))</f>
        <v>5668717.4225022215</v>
      </c>
      <c r="I71" s="240">
        <f>IF('Part III-Sources of Funds'!$I$38="","",-FV('Part III-Sources of Funds'!$K$38/12,12,I57/12,H71))</f>
        <v>5435483.9568325039</v>
      </c>
      <c r="J71" s="240">
        <f>IF('Part III-Sources of Funds'!$I$38="","",-FV('Part III-Sources of Funds'!$K$38/12,12,J57/12,I71))</f>
        <v>5194292.0288766455</v>
      </c>
      <c r="K71" s="240">
        <f>IF('Part III-Sources of Funds'!$I$38="","",-FV('Part III-Sources of Funds'!$K$38/12,12,K57/12,J71))</f>
        <v>4944870.0775969625</v>
      </c>
      <c r="N71" s="3516"/>
      <c r="O71" s="3517"/>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6"/>
      <c r="O72" s="3517"/>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6"/>
      <c r="O73" s="3517"/>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6"/>
      <c r="O74" s="3517"/>
    </row>
    <row r="75" spans="1:15" ht="13.35" customHeight="1">
      <c r="A75" s="483" t="s">
        <v>4087</v>
      </c>
      <c r="B75" s="242">
        <f>IF('Part III-Sources of Funds'!$I$43="","",IF(-FV('Part III-Sources of Funds'!$K$43/12,12,B63/12,K43)&gt;0,-FV('Part III-Sources of Funds'!$K$43/12,12,B63/12,K43),0))</f>
        <v>800</v>
      </c>
      <c r="C75" s="242">
        <f>IF('Part III-Sources of Funds'!$I$43="","",IF(-FV('Part III-Sources of Funds'!$K$43/12,12,C63/12,B75)&gt;0,-FV('Part III-Sources of Funds'!$K$43/12,12,C63/12,B75),0))</f>
        <v>800</v>
      </c>
      <c r="D75" s="242">
        <f>IF('Part III-Sources of Funds'!$I$43="","",IF(-FV('Part III-Sources of Funds'!$K$43/12,12,D63/12,C75)&gt;0,-FV('Part III-Sources of Funds'!$K$43/12,12,D63/12,C75),0))</f>
        <v>800</v>
      </c>
      <c r="E75" s="242">
        <f>IF('Part III-Sources of Funds'!$I$43="","",IF(-FV('Part III-Sources of Funds'!$K$43/12,12,E63/12,D75)&gt;0,-FV('Part III-Sources of Funds'!$K$43/12,12,E63/12,D75),0))</f>
        <v>800</v>
      </c>
      <c r="F75" s="242">
        <f>IF('Part III-Sources of Funds'!$I$43="","",IF(-FV('Part III-Sources of Funds'!$K$43/12,12,F63/12,E75)&gt;0,-FV('Part III-Sources of Funds'!$K$43/12,12,F63/12,E75),0))</f>
        <v>800</v>
      </c>
      <c r="G75" s="242">
        <f>IF('Part III-Sources of Funds'!$I$43="","",IF(-FV('Part III-Sources of Funds'!$K$43/12,12,G63/12,F75)&gt;0,-FV('Part III-Sources of Funds'!$K$43/12,12,G63/12,F75),0))</f>
        <v>800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8"/>
      <c r="O75" s="3560"/>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2622</v>
      </c>
      <c r="O77" s="3168"/>
    </row>
    <row r="78" spans="1:15" ht="13.35" customHeight="1">
      <c r="A78" s="18" t="s">
        <v>2404</v>
      </c>
      <c r="B78" s="19">
        <f t="shared" ref="B78:K78" si="40">$B$14*(1+$B$5)^(B77-1)</f>
        <v>1436174.1020026633</v>
      </c>
      <c r="C78" s="19">
        <f t="shared" si="40"/>
        <v>1464897.5840427165</v>
      </c>
      <c r="D78" s="19">
        <f t="shared" si="40"/>
        <v>1494195.535723571</v>
      </c>
      <c r="E78" s="19">
        <f t="shared" si="40"/>
        <v>1524079.446438042</v>
      </c>
      <c r="F78" s="19">
        <f t="shared" si="40"/>
        <v>1554561.0353668029</v>
      </c>
      <c r="G78" s="19">
        <f t="shared" si="40"/>
        <v>1585652.2560741389</v>
      </c>
      <c r="H78" s="19">
        <f t="shared" si="40"/>
        <v>1617365.301195622</v>
      </c>
      <c r="I78" s="19">
        <f t="shared" si="40"/>
        <v>1649712.607219534</v>
      </c>
      <c r="J78" s="19">
        <f t="shared" si="40"/>
        <v>1682706.8593639252</v>
      </c>
      <c r="K78" s="20">
        <f t="shared" si="40"/>
        <v>1716360.9965512033</v>
      </c>
      <c r="N78" s="3524"/>
      <c r="O78" s="3525"/>
    </row>
    <row r="79" spans="1:15" ht="13.35" customHeight="1">
      <c r="A79" s="21" t="s">
        <v>1016</v>
      </c>
      <c r="B79" s="22">
        <f t="shared" ref="B79:K79" si="41">$B$15*(1+$B$5)^(B77-1)</f>
        <v>28723.48204005327</v>
      </c>
      <c r="C79" s="22">
        <f t="shared" si="41"/>
        <v>29297.95168085433</v>
      </c>
      <c r="D79" s="22">
        <f t="shared" si="41"/>
        <v>29883.910714471418</v>
      </c>
      <c r="E79" s="22">
        <f t="shared" si="41"/>
        <v>30481.588928760844</v>
      </c>
      <c r="F79" s="22">
        <f t="shared" si="41"/>
        <v>31091.220707336062</v>
      </c>
      <c r="G79" s="22">
        <f t="shared" si="41"/>
        <v>31713.045121482781</v>
      </c>
      <c r="H79" s="22">
        <f t="shared" si="41"/>
        <v>32347.306023912442</v>
      </c>
      <c r="I79" s="22">
        <f t="shared" si="41"/>
        <v>32994.252144390681</v>
      </c>
      <c r="J79" s="22">
        <f t="shared" si="41"/>
        <v>33654.137187278502</v>
      </c>
      <c r="K79" s="23">
        <f t="shared" si="41"/>
        <v>34327.219931024069</v>
      </c>
      <c r="N79" s="3516"/>
      <c r="O79" s="3517"/>
    </row>
    <row r="80" spans="1:15" ht="13.35" customHeight="1">
      <c r="A80" s="21" t="s">
        <v>2405</v>
      </c>
      <c r="B80" s="22">
        <f t="shared" ref="B80:K80" si="42">-(B78+B79)*$B$8</f>
        <v>-102542.83088299017</v>
      </c>
      <c r="C80" s="22">
        <f t="shared" si="42"/>
        <v>-104593.68750064998</v>
      </c>
      <c r="D80" s="22">
        <f t="shared" si="42"/>
        <v>-106685.56125066298</v>
      </c>
      <c r="E80" s="22">
        <f t="shared" si="42"/>
        <v>-108819.27247567622</v>
      </c>
      <c r="F80" s="22">
        <f t="shared" si="42"/>
        <v>-110995.65792518973</v>
      </c>
      <c r="G80" s="22">
        <f t="shared" si="42"/>
        <v>-113215.57108369353</v>
      </c>
      <c r="H80" s="22">
        <f t="shared" si="42"/>
        <v>-115479.88250536742</v>
      </c>
      <c r="I80" s="22">
        <f t="shared" si="42"/>
        <v>-117789.48015547474</v>
      </c>
      <c r="J80" s="22">
        <f t="shared" si="42"/>
        <v>-120145.26975858427</v>
      </c>
      <c r="K80" s="23">
        <f t="shared" si="42"/>
        <v>-122548.17515375593</v>
      </c>
      <c r="N80" s="3516"/>
      <c r="O80" s="3517"/>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6"/>
      <c r="O81" s="3517"/>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6"/>
      <c r="O82" s="3517"/>
    </row>
    <row r="83" spans="1:19" ht="13.35" customHeight="1">
      <c r="A83" s="483" t="s">
        <v>4944</v>
      </c>
      <c r="B83" s="22">
        <f t="shared" ref="B83:K83" si="43">SUM(B78:B82)</f>
        <v>1362354.7531597263</v>
      </c>
      <c r="C83" s="22">
        <f t="shared" si="43"/>
        <v>1389601.8482229209</v>
      </c>
      <c r="D83" s="22">
        <f t="shared" si="43"/>
        <v>1417393.8851873796</v>
      </c>
      <c r="E83" s="22">
        <f t="shared" si="43"/>
        <v>1445741.7628911268</v>
      </c>
      <c r="F83" s="22">
        <f t="shared" si="43"/>
        <v>1474656.5981489492</v>
      </c>
      <c r="G83" s="22">
        <f t="shared" si="43"/>
        <v>1504149.7301119282</v>
      </c>
      <c r="H83" s="22">
        <f t="shared" si="43"/>
        <v>1534232.724714167</v>
      </c>
      <c r="I83" s="22">
        <f t="shared" si="43"/>
        <v>1564917.37920845</v>
      </c>
      <c r="J83" s="22">
        <f t="shared" si="43"/>
        <v>1596215.7267926196</v>
      </c>
      <c r="K83" s="23">
        <f t="shared" si="43"/>
        <v>1628140.0413284716</v>
      </c>
      <c r="N83" s="3516"/>
      <c r="O83" s="3517"/>
    </row>
    <row r="84" spans="1:19" ht="13.35" customHeight="1">
      <c r="A84" s="21" t="s">
        <v>614</v>
      </c>
      <c r="B84" s="22">
        <f t="shared" ref="B84:K84" si="44">$B$20*(1+$B$6)^(B77-1)</f>
        <v>-591537.55157892627</v>
      </c>
      <c r="C84" s="22">
        <f t="shared" si="44"/>
        <v>-609283.67812629393</v>
      </c>
      <c r="D84" s="22">
        <f t="shared" si="44"/>
        <v>-627562.18847008282</v>
      </c>
      <c r="E84" s="22">
        <f t="shared" si="44"/>
        <v>-646389.05412418535</v>
      </c>
      <c r="F84" s="22">
        <f t="shared" si="44"/>
        <v>-665780.72574791079</v>
      </c>
      <c r="G84" s="22">
        <f t="shared" si="44"/>
        <v>-685754.14752034808</v>
      </c>
      <c r="H84" s="22">
        <f t="shared" si="44"/>
        <v>-706326.77194595861</v>
      </c>
      <c r="I84" s="22">
        <f t="shared" si="44"/>
        <v>-727516.5751043373</v>
      </c>
      <c r="J84" s="22">
        <f t="shared" si="44"/>
        <v>-749342.07235746749</v>
      </c>
      <c r="K84" s="23">
        <f t="shared" si="44"/>
        <v>-771822.33452819136</v>
      </c>
      <c r="N84" s="3516"/>
      <c r="O84" s="3517"/>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-68118</v>
      </c>
      <c r="C85" s="22">
        <f>IF(AND('Part VII-Pro Forma'!$G$8="Yes",'Part VII-Pro Forma'!$G$9="Yes"),"Choose One!",IF('Part VII-Pro Forma'!$G$8="Yes",ROUND((-$K$8*(1+'Part VII-Pro Forma'!$B$6)^('Part VII-Pro Forma'!C77-1)),),IF('Part VII-Pro Forma'!$G$9="Yes",ROUND((-(SUM(C78:C81)*'Part VII-Pro Forma'!$K$9)),),"Choose mgt fee")))</f>
        <v>-69480</v>
      </c>
      <c r="D85" s="22">
        <f>IF(AND('Part VII-Pro Forma'!$G$8="Yes",'Part VII-Pro Forma'!$G$9="Yes"),"Choose One!",IF('Part VII-Pro Forma'!$G$8="Yes",ROUND((-$K$8*(1+'Part VII-Pro Forma'!$B$6)^('Part VII-Pro Forma'!D77-1)),),IF('Part VII-Pro Forma'!$G$9="Yes",ROUND((-(SUM(D78:D81)*'Part VII-Pro Forma'!$K$9)),),"Choose mgt fee")))</f>
        <v>-70870</v>
      </c>
      <c r="E85" s="22">
        <f>IF(AND('Part VII-Pro Forma'!$G$8="Yes",'Part VII-Pro Forma'!$G$9="Yes"),"Choose One!",IF('Part VII-Pro Forma'!$G$8="Yes",ROUND((-$K$8*(1+'Part VII-Pro Forma'!$B$6)^('Part VII-Pro Forma'!E77-1)),),IF('Part VII-Pro Forma'!$G$9="Yes",ROUND((-(SUM(E78:E81)*'Part VII-Pro Forma'!$K$9)),),"Choose mgt fee")))</f>
        <v>-72287</v>
      </c>
      <c r="F85" s="22">
        <f>IF(AND('Part VII-Pro Forma'!$G$8="Yes",'Part VII-Pro Forma'!$G$9="Yes"),"Choose One!",IF('Part VII-Pro Forma'!$G$8="Yes",ROUND((-$K$8*(1+'Part VII-Pro Forma'!$B$6)^('Part VII-Pro Forma'!F77-1)),),IF('Part VII-Pro Forma'!$G$9="Yes",ROUND((-(SUM(F78:F81)*'Part VII-Pro Forma'!$K$9)),),"Choose mgt fee")))</f>
        <v>-73733</v>
      </c>
      <c r="G85" s="22">
        <f>IF(AND('Part VII-Pro Forma'!$G$8="Yes",'Part VII-Pro Forma'!$G$9="Yes"),"Choose One!",IF('Part VII-Pro Forma'!$G$8="Yes",ROUND((-$K$8*(1+'Part VII-Pro Forma'!$B$6)^('Part VII-Pro Forma'!G77-1)),),IF('Part VII-Pro Forma'!$G$9="Yes",ROUND((-(SUM(G78:G81)*'Part VII-Pro Forma'!$K$9)),),"Choose mgt fee")))</f>
        <v>-75207</v>
      </c>
      <c r="H85" s="22">
        <f>IF(AND('Part VII-Pro Forma'!$G$8="Yes",'Part VII-Pro Forma'!$G$9="Yes"),"Choose One!",IF('Part VII-Pro Forma'!$G$8="Yes",ROUND((-$K$8*(1+'Part VII-Pro Forma'!$B$6)^('Part VII-Pro Forma'!H77-1)),),IF('Part VII-Pro Forma'!$G$9="Yes",ROUND((-(SUM(H78:H81)*'Part VII-Pro Forma'!$K$9)),),"Choose mgt fee")))</f>
        <v>-76712</v>
      </c>
      <c r="I85" s="22">
        <f>IF(AND('Part VII-Pro Forma'!$G$8="Yes",'Part VII-Pro Forma'!$G$9="Yes"),"Choose One!",IF('Part VII-Pro Forma'!$G$8="Yes",ROUND((-$K$8*(1+'Part VII-Pro Forma'!$B$6)^('Part VII-Pro Forma'!I77-1)),),IF('Part VII-Pro Forma'!$G$9="Yes",ROUND((-(SUM(I78:I81)*'Part VII-Pro Forma'!$K$9)),),"Choose mgt fee")))</f>
        <v>-78246</v>
      </c>
      <c r="J85" s="22">
        <f>IF(AND('Part VII-Pro Forma'!$G$8="Yes",'Part VII-Pro Forma'!$G$9="Yes"),"Choose One!",IF('Part VII-Pro Forma'!$G$8="Yes",ROUND((-$K$8*(1+'Part VII-Pro Forma'!$B$6)^('Part VII-Pro Forma'!J77-1)),),IF('Part VII-Pro Forma'!$G$9="Yes",ROUND((-(SUM(J78:J81)*'Part VII-Pro Forma'!$K$9)),),"Choose mgt fee")))</f>
        <v>-79811</v>
      </c>
      <c r="K85" s="23">
        <f>IF(AND('Part VII-Pro Forma'!$G$8="Yes",'Part VII-Pro Forma'!$G$9="Yes"),"Choose One!",IF('Part VII-Pro Forma'!$G$8="Yes",ROUND((-$K$8*(1+'Part VII-Pro Forma'!$B$6)^('Part VII-Pro Forma'!K77-1)),),IF('Part VII-Pro Forma'!$G$9="Yes",ROUND((-(SUM(K78:K81)*'Part VII-Pro Forma'!$K$9)),),"Choose mgt fee")))</f>
        <v>-81407</v>
      </c>
      <c r="N85" s="3516"/>
      <c r="O85" s="3517"/>
    </row>
    <row r="86" spans="1:19" ht="13.35" customHeight="1">
      <c r="A86" s="21" t="s">
        <v>1202</v>
      </c>
      <c r="B86" s="22">
        <f t="shared" ref="B86:K86" si="45">$B$22*(1+$B$7)^(B77-1)</f>
        <v>-48042.558842206396</v>
      </c>
      <c r="C86" s="22">
        <f t="shared" si="45"/>
        <v>-49483.835607472582</v>
      </c>
      <c r="D86" s="22">
        <f t="shared" si="45"/>
        <v>-50968.350675696762</v>
      </c>
      <c r="E86" s="22">
        <f t="shared" si="45"/>
        <v>-52497.401195967665</v>
      </c>
      <c r="F86" s="22">
        <f t="shared" si="45"/>
        <v>-54072.323231846691</v>
      </c>
      <c r="G86" s="22">
        <f t="shared" si="45"/>
        <v>-55694.492928802087</v>
      </c>
      <c r="H86" s="22">
        <f t="shared" si="45"/>
        <v>-57365.327716666157</v>
      </c>
      <c r="I86" s="22">
        <f t="shared" si="45"/>
        <v>-59086.287548166139</v>
      </c>
      <c r="J86" s="22">
        <f t="shared" si="45"/>
        <v>-60858.876174611119</v>
      </c>
      <c r="K86" s="23">
        <f t="shared" si="45"/>
        <v>-62684.642459849449</v>
      </c>
      <c r="N86" s="3516"/>
      <c r="O86" s="3517"/>
    </row>
    <row r="87" spans="1:19" ht="13.35" customHeight="1">
      <c r="A87" s="483" t="s">
        <v>4943</v>
      </c>
      <c r="B87" s="2704">
        <f>IF(B77&lt;=+'Part VI-Revenues &amp; Expenses'!$K$243,-'Part VI-Revenues &amp; Expenses'!$H$243,0)</f>
        <v>-1</v>
      </c>
      <c r="C87" s="2704">
        <f>IF(C77&lt;=+'Part VI-Revenues &amp; Expenses'!$K$243,-'Part VI-Revenues &amp; Expenses'!$H$243,0)</f>
        <v>-1</v>
      </c>
      <c r="D87" s="2704">
        <f>IF(D77&lt;=+'Part VI-Revenues &amp; Expenses'!$K$243,-'Part VI-Revenues &amp; Expenses'!$H$243,0)</f>
        <v>-1</v>
      </c>
      <c r="E87" s="2704">
        <f>IF(E77&lt;=+'Part VI-Revenues &amp; Expenses'!$K$243,-'Part VI-Revenues &amp; Expenses'!$H$243,0)</f>
        <v>-1</v>
      </c>
      <c r="F87" s="2704">
        <f>IF(F77&lt;=+'Part VI-Revenues &amp; Expenses'!$K$243,-'Part VI-Revenues &amp; Expenses'!$H$243,0)</f>
        <v>-1</v>
      </c>
      <c r="G87" s="2704">
        <f>IF(G77&lt;=+'Part VI-Revenues &amp; Expenses'!$K$243,-'Part VI-Revenues &amp; Expenses'!$H$243,0)</f>
        <v>-1</v>
      </c>
      <c r="H87" s="2704">
        <f>IF(H77&lt;=+'Part VI-Revenues &amp; Expenses'!$K$243,-'Part VI-Revenues &amp; Expenses'!$H$243,0)</f>
        <v>-1</v>
      </c>
      <c r="I87" s="2704">
        <f>IF(I77&lt;=+'Part VI-Revenues &amp; Expenses'!$K$243,-'Part VI-Revenues &amp; Expenses'!$H$243,0)</f>
        <v>-1</v>
      </c>
      <c r="J87" s="2704">
        <f>IF(J77&lt;=+'Part VI-Revenues &amp; Expenses'!$K$243,-'Part VI-Revenues &amp; Expenses'!$H$243,0)</f>
        <v>-1</v>
      </c>
      <c r="K87" s="2704">
        <f>IF(K77&lt;=+'Part VI-Revenues &amp; Expenses'!$K$243,-'Part VI-Revenues &amp; Expenses'!$H$243,0)</f>
        <v>-1</v>
      </c>
      <c r="N87" s="3516"/>
      <c r="O87" s="3517"/>
      <c r="Q87" s="1125">
        <v>10</v>
      </c>
      <c r="R87" s="1333">
        <f>-SUM(B92:K92)</f>
        <v>0</v>
      </c>
      <c r="S87" s="1333">
        <f>SUM(B93:K93)+R87</f>
        <v>0</v>
      </c>
    </row>
    <row r="88" spans="1:19" ht="13.35" customHeight="1">
      <c r="A88" s="21" t="s">
        <v>1203</v>
      </c>
      <c r="B88" s="22">
        <f>SUM(B83:B87)</f>
        <v>654655.64273859363</v>
      </c>
      <c r="C88" s="22">
        <f t="shared" ref="C88" si="46">SUM(C83:C87)</f>
        <v>661353.3344891544</v>
      </c>
      <c r="D88" s="22">
        <f t="shared" ref="D88" si="47">SUM(D83:D87)</f>
        <v>667992.34604159999</v>
      </c>
      <c r="E88" s="22">
        <f t="shared" ref="E88" si="48">SUM(E83:E87)</f>
        <v>674567.30757097376</v>
      </c>
      <c r="F88" s="22">
        <f t="shared" ref="F88" si="49">SUM(F83:F87)</f>
        <v>681069.54916919174</v>
      </c>
      <c r="G88" s="22">
        <f t="shared" ref="G88" si="50">SUM(G83:G87)</f>
        <v>687493.08966277807</v>
      </c>
      <c r="H88" s="22">
        <f t="shared" ref="H88" si="51">SUM(H83:H87)</f>
        <v>693827.62505154219</v>
      </c>
      <c r="I88" s="22">
        <f t="shared" ref="I88" si="52">SUM(I83:I87)</f>
        <v>700067.51655594655</v>
      </c>
      <c r="J88" s="22">
        <f t="shared" ref="J88" si="53">SUM(J83:J87)</f>
        <v>706202.77826054092</v>
      </c>
      <c r="K88" s="2567">
        <f>SUM(K83:K87)</f>
        <v>712225.06434043078</v>
      </c>
      <c r="N88" s="3516"/>
      <c r="O88" s="3517"/>
    </row>
    <row r="89" spans="1:19" ht="13.35" customHeight="1">
      <c r="A89" s="21" t="str">
        <f>$A57</f>
        <v>Mortgage A</v>
      </c>
      <c r="B89" s="485">
        <f>IF('Part III-Sources of Funds'!$P$38="", 0,-'Part III-Sources of Funds'!$P$38)</f>
        <v>-420132.3350591315</v>
      </c>
      <c r="C89" s="485">
        <f>IF('Part III-Sources of Funds'!$P$38="", 0,-'Part III-Sources of Funds'!$P$38)</f>
        <v>-420132.3350591315</v>
      </c>
      <c r="D89" s="485">
        <f>IF('Part III-Sources of Funds'!$P$38="", 0,-'Part III-Sources of Funds'!$P$38)</f>
        <v>-420132.3350591315</v>
      </c>
      <c r="E89" s="485">
        <f>IF('Part III-Sources of Funds'!$P$38="", 0,-'Part III-Sources of Funds'!$P$38)</f>
        <v>-420132.3350591315</v>
      </c>
      <c r="F89" s="485">
        <f>IF('Part III-Sources of Funds'!$P$38="", 0,-'Part III-Sources of Funds'!$P$38)</f>
        <v>-420132.3350591315</v>
      </c>
      <c r="G89" s="485">
        <f>IF('Part III-Sources of Funds'!$P$38="", 0,-'Part III-Sources of Funds'!$P$38)</f>
        <v>-420132.3350591315</v>
      </c>
      <c r="H89" s="485">
        <f>IF('Part III-Sources of Funds'!$P$38="", 0,-'Part III-Sources of Funds'!$P$38)</f>
        <v>-420132.3350591315</v>
      </c>
      <c r="I89" s="485">
        <f>IF('Part III-Sources of Funds'!$P$38="", 0,-'Part III-Sources of Funds'!$P$38)</f>
        <v>-420132.3350591315</v>
      </c>
      <c r="J89" s="485">
        <f>IF('Part III-Sources of Funds'!$P$38="", 0,-'Part III-Sources of Funds'!$P$38)</f>
        <v>-420132.3350591315</v>
      </c>
      <c r="K89" s="485">
        <f>IF('Part III-Sources of Funds'!$P$38="", 0,-'Part III-Sources of Funds'!$P$38)</f>
        <v>-420132.3350591315</v>
      </c>
      <c r="N89" s="3516"/>
      <c r="O89" s="3517"/>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6"/>
      <c r="O90" s="3517"/>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6"/>
      <c r="O91" s="3517"/>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6"/>
      <c r="O92" s="3517"/>
    </row>
    <row r="93" spans="1:19" ht="13.35" customHeight="1">
      <c r="A93" s="21" t="s">
        <v>763</v>
      </c>
      <c r="B93" s="180"/>
      <c r="C93" s="180"/>
      <c r="D93" s="180"/>
      <c r="E93" s="180"/>
      <c r="F93" s="180"/>
      <c r="G93" s="180"/>
      <c r="H93" s="180"/>
      <c r="I93" s="180"/>
      <c r="J93" s="180"/>
      <c r="K93" s="180"/>
      <c r="N93" s="3516"/>
      <c r="O93" s="3517"/>
    </row>
    <row r="94" spans="1:19" ht="13.35" customHeight="1">
      <c r="A94" s="483" t="s">
        <v>1163</v>
      </c>
      <c r="B94" s="242">
        <f>+K62</f>
        <v>-7500</v>
      </c>
      <c r="C94" s="242">
        <f t="shared" ref="C94:K94" si="54">+B94</f>
        <v>-7500</v>
      </c>
      <c r="D94" s="242">
        <f t="shared" si="54"/>
        <v>-7500</v>
      </c>
      <c r="E94" s="242">
        <f t="shared" si="54"/>
        <v>-7500</v>
      </c>
      <c r="F94" s="242">
        <f t="shared" si="54"/>
        <v>-7500</v>
      </c>
      <c r="G94" s="242">
        <f t="shared" si="54"/>
        <v>-7500</v>
      </c>
      <c r="H94" s="242">
        <f t="shared" si="54"/>
        <v>-7500</v>
      </c>
      <c r="I94" s="242">
        <f t="shared" si="54"/>
        <v>-7500</v>
      </c>
      <c r="J94" s="242">
        <f t="shared" si="54"/>
        <v>-7500</v>
      </c>
      <c r="K94" s="242">
        <f t="shared" si="54"/>
        <v>-7500</v>
      </c>
      <c r="N94" s="3516"/>
      <c r="O94" s="3517"/>
    </row>
    <row r="95" spans="1:19" ht="13.35" customHeight="1">
      <c r="A95" s="21" t="s">
        <v>1164</v>
      </c>
      <c r="B95" s="22">
        <f t="shared" ref="B95:K95" si="55">SUM(B88:B94)</f>
        <v>227023.30767946213</v>
      </c>
      <c r="C95" s="22">
        <f t="shared" si="55"/>
        <v>233720.9994300229</v>
      </c>
      <c r="D95" s="22">
        <f t="shared" si="55"/>
        <v>240360.01098246849</v>
      </c>
      <c r="E95" s="22">
        <f t="shared" si="55"/>
        <v>246934.97251184226</v>
      </c>
      <c r="F95" s="22">
        <f t="shared" si="55"/>
        <v>253437.21411006025</v>
      </c>
      <c r="G95" s="22">
        <f t="shared" si="55"/>
        <v>259860.75460364658</v>
      </c>
      <c r="H95" s="22">
        <f t="shared" si="55"/>
        <v>266195.28999241069</v>
      </c>
      <c r="I95" s="22">
        <f t="shared" si="55"/>
        <v>272435.18149681506</v>
      </c>
      <c r="J95" s="22">
        <f t="shared" si="55"/>
        <v>278570.44320140942</v>
      </c>
      <c r="K95" s="23">
        <f t="shared" si="55"/>
        <v>284592.72928129928</v>
      </c>
      <c r="N95" s="3516"/>
      <c r="O95" s="3517"/>
    </row>
    <row r="96" spans="1:19" ht="13.35" customHeight="1">
      <c r="A96" s="21" t="str">
        <f>$A65</f>
        <v>DCR Mortgage A</v>
      </c>
      <c r="B96" s="24">
        <f t="shared" ref="B96:K96" si="56">IF(B89=0,"",-B88/B89)</f>
        <v>1.558212944134505</v>
      </c>
      <c r="C96" s="24">
        <f t="shared" si="56"/>
        <v>1.5741548062375925</v>
      </c>
      <c r="D96" s="24">
        <f t="shared" si="56"/>
        <v>1.5899569975912076</v>
      </c>
      <c r="E96" s="24">
        <f t="shared" si="56"/>
        <v>1.605606736925002</v>
      </c>
      <c r="F96" s="24">
        <f t="shared" si="56"/>
        <v>1.621083388102786</v>
      </c>
      <c r="G96" s="24">
        <f t="shared" si="56"/>
        <v>1.6363727147209866</v>
      </c>
      <c r="H96" s="24">
        <f t="shared" si="56"/>
        <v>1.6514501911734298</v>
      </c>
      <c r="I96" s="24">
        <f t="shared" si="56"/>
        <v>1.6663023960234233</v>
      </c>
      <c r="J96" s="24">
        <f t="shared" si="56"/>
        <v>1.6809055607708616</v>
      </c>
      <c r="K96" s="25">
        <f t="shared" si="56"/>
        <v>1.6952398206631458</v>
      </c>
      <c r="N96" s="3516"/>
      <c r="O96" s="3517"/>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6"/>
      <c r="O97" s="3517"/>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6"/>
      <c r="O98" s="3517"/>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6"/>
      <c r="O99" s="3517"/>
    </row>
    <row r="100" spans="1:15" ht="13.35" customHeight="1">
      <c r="A100" s="483" t="s">
        <v>3712</v>
      </c>
      <c r="B100" s="24">
        <f t="shared" ref="B100:K100" si="60">IF(AND(B89=0,B90=0,B91=0,B92=0),"",-B88/(B89+B90+B91+B92))</f>
        <v>1.558212944134505</v>
      </c>
      <c r="C100" s="24">
        <f t="shared" si="60"/>
        <v>1.5741548062375925</v>
      </c>
      <c r="D100" s="24">
        <f t="shared" si="60"/>
        <v>1.5899569975912076</v>
      </c>
      <c r="E100" s="24">
        <f t="shared" si="60"/>
        <v>1.605606736925002</v>
      </c>
      <c r="F100" s="24">
        <f t="shared" si="60"/>
        <v>1.621083388102786</v>
      </c>
      <c r="G100" s="24">
        <f t="shared" si="60"/>
        <v>1.6363727147209866</v>
      </c>
      <c r="H100" s="24">
        <f t="shared" si="60"/>
        <v>1.6514501911734298</v>
      </c>
      <c r="I100" s="24">
        <f t="shared" si="60"/>
        <v>1.6663023960234233</v>
      </c>
      <c r="J100" s="24">
        <f t="shared" si="60"/>
        <v>1.6809055607708616</v>
      </c>
      <c r="K100" s="25">
        <f t="shared" si="60"/>
        <v>1.6952398206631458</v>
      </c>
      <c r="N100" s="3516"/>
      <c r="O100" s="3517"/>
    </row>
    <row r="101" spans="1:15" ht="13.35" customHeight="1">
      <c r="A101" s="21" t="s">
        <v>770</v>
      </c>
      <c r="B101" s="296">
        <f>IF(OR(B85="Choose mgt fee",B85="Choose One!"),"",(B78+B79+B80+B81+B82) / -(B84+B85+B86))</f>
        <v>1.9250507145610782</v>
      </c>
      <c r="C101" s="296">
        <f t="shared" ref="C101:K101" si="61">IF(OR(C85="Choose mgt fee",C85="Choose One!"),"",(C78+C79+C80+C81+C82) / -(C84+C85+C86))</f>
        <v>1.9081449946850528</v>
      </c>
      <c r="D101" s="296">
        <f t="shared" si="61"/>
        <v>1.8913702501509095</v>
      </c>
      <c r="E101" s="296">
        <f t="shared" si="61"/>
        <v>1.8747296771138555</v>
      </c>
      <c r="F101" s="296">
        <f t="shared" si="61"/>
        <v>1.8582189039799568</v>
      </c>
      <c r="G101" s="296">
        <f t="shared" si="61"/>
        <v>1.8418408636529653</v>
      </c>
      <c r="H101" s="296">
        <f t="shared" si="61"/>
        <v>1.8255892913064984</v>
      </c>
      <c r="I101" s="296">
        <f t="shared" si="61"/>
        <v>1.8094691995186611</v>
      </c>
      <c r="J101" s="296">
        <f t="shared" si="61"/>
        <v>1.7934767386272761</v>
      </c>
      <c r="K101" s="297">
        <f t="shared" si="61"/>
        <v>1.7776123983636187</v>
      </c>
      <c r="N101" s="3516"/>
      <c r="O101" s="3517"/>
    </row>
    <row r="102" spans="1:15" ht="13.35" customHeight="1">
      <c r="A102" s="483" t="s">
        <v>2616</v>
      </c>
      <c r="B102" s="240">
        <f>IF('Part III-Sources of Funds'!$I$38="","",-FV('Part III-Sources of Funds'!$K$38/12,12,B89/12,K71))</f>
        <v>4686937.2756685736</v>
      </c>
      <c r="C102" s="240">
        <f>IF('Part III-Sources of Funds'!$I$38="","",-FV('Part III-Sources of Funds'!$K$38/12,12,C89/12,B102))</f>
        <v>4420203.2132923706</v>
      </c>
      <c r="D102" s="240">
        <f>IF('Part III-Sources of Funds'!$I$38="","",-FV('Part III-Sources of Funds'!$K$38/12,12,D89/12,C102))</f>
        <v>4144367.5712189544</v>
      </c>
      <c r="E102" s="240">
        <f>IF('Part III-Sources of Funds'!$I$38="","",-FV('Part III-Sources of Funds'!$K$38/12,12,E89/12,D102))</f>
        <v>3859119.7826154027</v>
      </c>
      <c r="F102" s="240">
        <f>IF('Part III-Sources of Funds'!$I$38="","",-FV('Part III-Sources of Funds'!$K$38/12,12,F89/12,E102))</f>
        <v>3564138.6833941499</v>
      </c>
      <c r="G102" s="240">
        <f>IF('Part III-Sources of Funds'!$I$38="","",-FV('Part III-Sources of Funds'!$K$38/12,12,G89/12,F102))</f>
        <v>3259092.150610283</v>
      </c>
      <c r="H102" s="240">
        <f>IF('Part III-Sources of Funds'!$I$38="","",-FV('Part III-Sources of Funds'!$K$38/12,12,H89/12,G102))</f>
        <v>2943636.728520127</v>
      </c>
      <c r="I102" s="240">
        <f>IF('Part III-Sources of Funds'!$I$38="","",-FV('Part III-Sources of Funds'!$K$38/12,12,I89/12,H102))</f>
        <v>2617417.2418800825</v>
      </c>
      <c r="J102" s="240">
        <f>IF('Part III-Sources of Funds'!$I$38="","",-FV('Part III-Sources of Funds'!$K$38/12,12,J89/12,I102))</f>
        <v>2280066.3960503349</v>
      </c>
      <c r="K102" s="240">
        <f>IF('Part III-Sources of Funds'!$I$38="","",-FV('Part III-Sources of Funds'!$K$38/12,12,K89/12,J102))</f>
        <v>1931204.3634531808</v>
      </c>
      <c r="N102" s="3516"/>
      <c r="O102" s="3517"/>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6"/>
      <c r="O103" s="3517"/>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6"/>
      <c r="O104" s="3517"/>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8"/>
      <c r="O105" s="3560"/>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68" t="s">
        <v>3702</v>
      </c>
      <c r="O107" s="3168"/>
    </row>
    <row r="108" spans="1:15" ht="13.35" customHeight="1">
      <c r="A108" s="18" t="s">
        <v>2404</v>
      </c>
      <c r="B108" s="19">
        <f>$B$14*(1+$B$5)^(B107-1)</f>
        <v>1750688.2164822274</v>
      </c>
      <c r="C108" s="19">
        <f>$B$14*(1+$B$5)^(C107-1)</f>
        <v>1785701.9808118716</v>
      </c>
      <c r="D108" s="19">
        <f>$B$14*(1+$B$5)^(D107-1)</f>
        <v>1821416.0204281094</v>
      </c>
      <c r="E108" s="19">
        <f>$B$14*(1+$B$5)^(E107-1)</f>
        <v>1857844.3408366719</v>
      </c>
      <c r="F108" s="729">
        <f>$B$14*(1+$B$5)^(F107-1)</f>
        <v>1895001.2276534052</v>
      </c>
      <c r="G108" s="17"/>
      <c r="H108" s="17"/>
      <c r="I108" s="17"/>
      <c r="J108" s="17"/>
      <c r="K108" s="17"/>
      <c r="N108" s="3524"/>
      <c r="O108" s="3525"/>
    </row>
    <row r="109" spans="1:15" ht="13.35" customHeight="1">
      <c r="A109" s="21" t="s">
        <v>1016</v>
      </c>
      <c r="B109" s="22">
        <f>$B$15*(1+$B$5)^(B107-1)</f>
        <v>35013.764329644553</v>
      </c>
      <c r="C109" s="22">
        <f>$B$15*(1+$B$5)^(C107-1)</f>
        <v>35714.039616237438</v>
      </c>
      <c r="D109" s="22">
        <f>$B$15*(1+$B$5)^(D107-1)</f>
        <v>36428.320408562191</v>
      </c>
      <c r="E109" s="22">
        <f>$B$15*(1+$B$5)^(E107-1)</f>
        <v>37156.886816733437</v>
      </c>
      <c r="F109" s="23">
        <f>$B$15*(1+$B$5)^(F107-1)</f>
        <v>37900.024553068106</v>
      </c>
      <c r="G109" s="17"/>
      <c r="H109" s="17"/>
      <c r="I109" s="17"/>
      <c r="J109" s="17"/>
      <c r="K109" s="17"/>
      <c r="N109" s="3516"/>
      <c r="O109" s="3517"/>
    </row>
    <row r="110" spans="1:15" ht="13.35" customHeight="1">
      <c r="A110" s="21" t="s">
        <v>2405</v>
      </c>
      <c r="B110" s="22">
        <f>-(B108+B109)*$B$8</f>
        <v>-124999.13865683106</v>
      </c>
      <c r="C110" s="22">
        <f>-(C108+C109)*$B$8</f>
        <v>-127499.12142996764</v>
      </c>
      <c r="D110" s="22">
        <f>-(D108+D109)*$B$8</f>
        <v>-130049.10385856703</v>
      </c>
      <c r="E110" s="22">
        <f>-(E108+E109)*$B$8</f>
        <v>-132650.0859357384</v>
      </c>
      <c r="F110" s="23">
        <f>-(F108+F109)*$B$8</f>
        <v>-135303.08765445315</v>
      </c>
      <c r="G110" s="17"/>
      <c r="H110" s="17"/>
      <c r="I110" s="17"/>
      <c r="J110" s="17"/>
      <c r="K110" s="17"/>
      <c r="N110" s="3516"/>
      <c r="O110" s="3517"/>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6"/>
      <c r="O111" s="3517"/>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6"/>
      <c r="O112" s="3517"/>
    </row>
    <row r="113" spans="1:19" ht="13.35" customHeight="1">
      <c r="A113" s="483" t="s">
        <v>4944</v>
      </c>
      <c r="B113" s="22">
        <f>SUM(B108:B112)</f>
        <v>1660702.8421550409</v>
      </c>
      <c r="C113" s="22">
        <f>SUM(C108:C112)</f>
        <v>1693916.8989981413</v>
      </c>
      <c r="D113" s="22">
        <f>SUM(D108:D112)</f>
        <v>1727795.2369781046</v>
      </c>
      <c r="E113" s="22">
        <f>SUM(E108:E112)</f>
        <v>1762351.141717667</v>
      </c>
      <c r="F113" s="23">
        <f>SUM(F108:F112)</f>
        <v>1797598.1645520201</v>
      </c>
      <c r="G113" s="17"/>
      <c r="H113" s="17"/>
      <c r="I113" s="17"/>
      <c r="J113" s="17"/>
      <c r="K113" s="17"/>
      <c r="N113" s="3516"/>
      <c r="O113" s="3517"/>
    </row>
    <row r="114" spans="1:19" ht="13.35" customHeight="1">
      <c r="A114" s="21" t="s">
        <v>614</v>
      </c>
      <c r="B114" s="22">
        <f>$B$20*(1+$B$6)^(B107-1)</f>
        <v>-794977.0045640372</v>
      </c>
      <c r="C114" s="22">
        <f>$B$20*(1+$B$6)^(C107-1)</f>
        <v>-818826.31470095844</v>
      </c>
      <c r="D114" s="22">
        <f>$B$20*(1+$B$6)^(D107-1)</f>
        <v>-843391.10414198693</v>
      </c>
      <c r="E114" s="22">
        <f>$B$20*(1+$B$6)^(E107-1)</f>
        <v>-868692.83726624667</v>
      </c>
      <c r="F114" s="23">
        <f>$B$20*(1+$B$6)^(F107-1)</f>
        <v>-894753.62238423387</v>
      </c>
      <c r="G114" s="17"/>
      <c r="H114" s="17"/>
      <c r="I114" s="17"/>
      <c r="J114" s="17"/>
      <c r="K114" s="17"/>
      <c r="N114" s="3516"/>
      <c r="O114" s="3517"/>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-83035</v>
      </c>
      <c r="C115" s="22">
        <f>IF(AND('Part VII-Pro Forma'!$G$8="Yes",'Part VII-Pro Forma'!$G$9="Yes"),"Choose One!",IF('Part VII-Pro Forma'!$G$8="Yes",ROUND((-$K$8*(1+'Part VII-Pro Forma'!$B$6)^('Part VII-Pro Forma'!C107-1)),),IF('Part VII-Pro Forma'!$G$9="Yes",ROUND((-(SUM(C108:C111)*'Part VII-Pro Forma'!$K$9)),),"Choose mgt fee")))</f>
        <v>-84696</v>
      </c>
      <c r="D115" s="22">
        <f>IF(AND('Part VII-Pro Forma'!$G$8="Yes",'Part VII-Pro Forma'!$G$9="Yes"),"Choose One!",IF('Part VII-Pro Forma'!$G$8="Yes",ROUND((-$K$8*(1+'Part VII-Pro Forma'!$B$6)^('Part VII-Pro Forma'!D107-1)),),IF('Part VII-Pro Forma'!$G$9="Yes",ROUND((-(SUM(D108:D111)*'Part VII-Pro Forma'!$K$9)),),"Choose mgt fee")))</f>
        <v>-86390</v>
      </c>
      <c r="E115" s="22">
        <f>IF(AND('Part VII-Pro Forma'!$G$8="Yes",'Part VII-Pro Forma'!$G$9="Yes"),"Choose One!",IF('Part VII-Pro Forma'!$G$8="Yes",ROUND((-$K$8*(1+'Part VII-Pro Forma'!$B$6)^('Part VII-Pro Forma'!E107-1)),),IF('Part VII-Pro Forma'!$G$9="Yes",ROUND((-(SUM(E108:E111)*'Part VII-Pro Forma'!$K$9)),),"Choose mgt fee")))</f>
        <v>-88118</v>
      </c>
      <c r="F115" s="23">
        <f>IF(AND('Part VII-Pro Forma'!$G$8="Yes",'Part VII-Pro Forma'!$G$9="Yes"),"Choose One!",IF('Part VII-Pro Forma'!$G$8="Yes",ROUND((-$K$8*(1+'Part VII-Pro Forma'!$B$6)^('Part VII-Pro Forma'!F107-1)),),IF('Part VII-Pro Forma'!$G$9="Yes",ROUND((-(SUM(F108:F111)*'Part VII-Pro Forma'!$K$9)),),"Choose mgt fee")))</f>
        <v>-89880</v>
      </c>
      <c r="G115" s="17"/>
      <c r="H115" s="17"/>
      <c r="I115" s="17"/>
      <c r="J115" s="17"/>
      <c r="K115" s="17"/>
      <c r="N115" s="3516"/>
      <c r="O115" s="3517"/>
    </row>
    <row r="116" spans="1:19" ht="13.35" customHeight="1">
      <c r="A116" s="21" t="s">
        <v>1202</v>
      </c>
      <c r="B116" s="22">
        <f>$B$22*(1+$B$7)^(B107-1)</f>
        <v>-64565.181733644931</v>
      </c>
      <c r="C116" s="22">
        <f>$B$22*(1+$B$7)^(C107-1)</f>
        <v>-66502.137185654297</v>
      </c>
      <c r="D116" s="22">
        <f>$B$22*(1+$B$7)^(D107-1)</f>
        <v>-68497.201301223904</v>
      </c>
      <c r="E116" s="22">
        <f>$B$22*(1+$B$7)^(E107-1)</f>
        <v>-70552.117340260622</v>
      </c>
      <c r="F116" s="23">
        <f>$B$22*(1+$B$7)^(F107-1)</f>
        <v>-72668.680860468434</v>
      </c>
      <c r="G116" s="17"/>
      <c r="H116" s="17"/>
      <c r="I116" s="17"/>
      <c r="J116" s="17"/>
      <c r="K116" s="17"/>
      <c r="N116" s="3516"/>
      <c r="O116" s="3517"/>
    </row>
    <row r="117" spans="1:19" ht="13.35" customHeight="1">
      <c r="A117" s="483" t="s">
        <v>4943</v>
      </c>
      <c r="B117" s="2704">
        <f>IF(B107&lt;=+'Part VI-Revenues &amp; Expenses'!$K$243,-'Part VI-Revenues &amp; Expenses'!$H$243,0)</f>
        <v>-1</v>
      </c>
      <c r="C117" s="2704">
        <f>IF(C107&lt;=+'Part VI-Revenues &amp; Expenses'!$K$243,-'Part VI-Revenues &amp; Expenses'!$H$243,0)</f>
        <v>-1</v>
      </c>
      <c r="D117" s="2704">
        <f>IF(D107&lt;=+'Part VI-Revenues &amp; Expenses'!$K$243,-'Part VI-Revenues &amp; Expenses'!$H$243,0)</f>
        <v>-1</v>
      </c>
      <c r="E117" s="2704">
        <f>IF(E107&lt;=+'Part VI-Revenues &amp; Expenses'!$K$243,-'Part VI-Revenues &amp; Expenses'!$H$243,0)</f>
        <v>-1</v>
      </c>
      <c r="F117" s="2704">
        <f>IF(F107&lt;=+'Part VI-Revenues &amp; Expenses'!$K$243,-'Part VI-Revenues &amp; Expenses'!$H$243,0)</f>
        <v>-1</v>
      </c>
      <c r="G117" s="17"/>
      <c r="H117" s="17"/>
      <c r="I117" s="17"/>
      <c r="J117" s="17"/>
      <c r="K117" s="17"/>
      <c r="N117" s="3516"/>
      <c r="O117" s="3517"/>
      <c r="Q117" s="1125">
        <v>10</v>
      </c>
      <c r="R117" s="1333">
        <f>-SUM(B122:K122)</f>
        <v>0</v>
      </c>
      <c r="S117" s="1333">
        <f>SUM(B123:K123)+R117</f>
        <v>0</v>
      </c>
    </row>
    <row r="118" spans="1:19" ht="13.35" customHeight="1">
      <c r="A118" s="21" t="s">
        <v>1203</v>
      </c>
      <c r="B118" s="22">
        <f t="shared" ref="B118" si="62">SUM(B113:B117)</f>
        <v>718124.65585735883</v>
      </c>
      <c r="C118" s="22">
        <f t="shared" ref="C118" si="63">SUM(C113:C117)</f>
        <v>723891.4471115286</v>
      </c>
      <c r="D118" s="22">
        <f t="shared" ref="D118" si="64">SUM(D113:D117)</f>
        <v>729515.93153489369</v>
      </c>
      <c r="E118" s="22">
        <f t="shared" ref="E118" si="65">SUM(E113:E117)</f>
        <v>734987.18711115967</v>
      </c>
      <c r="F118" s="2567">
        <f>SUM(F113:F117)</f>
        <v>740294.86130731786</v>
      </c>
      <c r="G118" s="17"/>
      <c r="H118" s="17"/>
      <c r="I118" s="17"/>
      <c r="J118" s="17"/>
      <c r="K118" s="17"/>
      <c r="N118" s="3516"/>
      <c r="O118" s="3517"/>
    </row>
    <row r="119" spans="1:19" ht="13.35" customHeight="1">
      <c r="A119" s="21" t="str">
        <f>$A89</f>
        <v>Mortgage A</v>
      </c>
      <c r="B119" s="485">
        <f>IF('Part III-Sources of Funds'!$P$38="", 0,-'Part III-Sources of Funds'!$P$38)</f>
        <v>-420132.3350591315</v>
      </c>
      <c r="C119" s="485">
        <f>IF('Part III-Sources of Funds'!$P$38="", 0,-'Part III-Sources of Funds'!$P$38)</f>
        <v>-420132.3350591315</v>
      </c>
      <c r="D119" s="485">
        <f>IF('Part III-Sources of Funds'!$P$38="", 0,-'Part III-Sources of Funds'!$P$38)</f>
        <v>-420132.3350591315</v>
      </c>
      <c r="E119" s="485">
        <f>IF('Part III-Sources of Funds'!$P$38="", 0,-'Part III-Sources of Funds'!$P$38)</f>
        <v>-420132.3350591315</v>
      </c>
      <c r="F119" s="485">
        <f>IF('Part III-Sources of Funds'!$P$38="", 0,-'Part III-Sources of Funds'!$P$38)</f>
        <v>-420132.3350591315</v>
      </c>
      <c r="G119" s="17"/>
      <c r="H119" s="17"/>
      <c r="I119" s="17"/>
      <c r="J119" s="17"/>
      <c r="K119" s="17"/>
      <c r="N119" s="3516"/>
      <c r="O119" s="3517"/>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6"/>
      <c r="O120" s="3517"/>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6"/>
      <c r="O121" s="3517"/>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6"/>
      <c r="O122" s="3517"/>
    </row>
    <row r="123" spans="1:19" ht="13.35" customHeight="1">
      <c r="A123" s="21" t="s">
        <v>763</v>
      </c>
      <c r="B123" s="180"/>
      <c r="C123" s="180"/>
      <c r="D123" s="180"/>
      <c r="E123" s="180"/>
      <c r="F123" s="180"/>
      <c r="G123" s="17"/>
      <c r="H123" s="17"/>
      <c r="I123" s="17"/>
      <c r="J123" s="17"/>
      <c r="K123" s="17"/>
      <c r="N123" s="3516"/>
      <c r="O123" s="3517"/>
    </row>
    <row r="124" spans="1:19" ht="13.35" customHeight="1">
      <c r="A124" s="21" t="s">
        <v>1163</v>
      </c>
      <c r="B124" s="242">
        <f>+K94</f>
        <v>-7500</v>
      </c>
      <c r="C124" s="242">
        <f>+B124</f>
        <v>-7500</v>
      </c>
      <c r="D124" s="242">
        <f>+C124</f>
        <v>-7500</v>
      </c>
      <c r="E124" s="242">
        <f>+D124</f>
        <v>-7500</v>
      </c>
      <c r="F124" s="242">
        <f>+E124</f>
        <v>-7500</v>
      </c>
      <c r="G124" s="17"/>
      <c r="H124" s="17"/>
      <c r="I124" s="17"/>
      <c r="J124" s="17"/>
      <c r="K124" s="17"/>
      <c r="N124" s="3516"/>
      <c r="O124" s="3517"/>
    </row>
    <row r="125" spans="1:19" ht="13.35" customHeight="1">
      <c r="A125" s="21" t="s">
        <v>1164</v>
      </c>
      <c r="B125" s="22">
        <f>SUM(B118:B124)</f>
        <v>290492.32079822733</v>
      </c>
      <c r="C125" s="22">
        <f>SUM(C118:C124)</f>
        <v>296259.1120523971</v>
      </c>
      <c r="D125" s="22">
        <f>SUM(D118:D124)</f>
        <v>301883.5964757622</v>
      </c>
      <c r="E125" s="22">
        <f>SUM(E118:E124)</f>
        <v>307354.85205202817</v>
      </c>
      <c r="F125" s="23">
        <f>SUM(F118:F124)</f>
        <v>312662.52624818636</v>
      </c>
      <c r="G125" s="17"/>
      <c r="H125" s="17"/>
      <c r="I125" s="17"/>
      <c r="J125" s="17"/>
      <c r="K125" s="17"/>
      <c r="N125" s="3516"/>
      <c r="O125" s="3517"/>
    </row>
    <row r="126" spans="1:19" ht="13.35" customHeight="1">
      <c r="A126" s="21" t="str">
        <f>$A96</f>
        <v>DCR Mortgage A</v>
      </c>
      <c r="B126" s="24">
        <f>IF(B119=0,"",-B118/B119)</f>
        <v>1.7092820426599311</v>
      </c>
      <c r="C126" s="24">
        <f>IF(C119=0,"",-C118/C119)</f>
        <v>1.7230081731501208</v>
      </c>
      <c r="D126" s="24">
        <f>IF(D119=0,"",-D118/D119)</f>
        <v>1.7363955845774595</v>
      </c>
      <c r="E126" s="24">
        <f>IF(E119=0,"",-E118/E119)</f>
        <v>1.7494182803323479</v>
      </c>
      <c r="F126" s="25">
        <f>IF(F119=0,"",-F118/F119)</f>
        <v>1.7620516192906817</v>
      </c>
      <c r="G126" s="17"/>
      <c r="H126" s="17"/>
      <c r="I126" s="17"/>
      <c r="J126" s="17"/>
      <c r="K126" s="17"/>
      <c r="N126" s="3516"/>
      <c r="O126" s="351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6"/>
      <c r="O127" s="351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6"/>
      <c r="O128" s="351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6"/>
      <c r="O129" s="3517"/>
    </row>
    <row r="130" spans="1:18" ht="13.35" customHeight="1">
      <c r="A130" s="483" t="s">
        <v>3712</v>
      </c>
      <c r="B130" s="24">
        <f>IF(AND(B119=0,B120=0,B121=0,B122=0),"",-B118/(B119+B120+B121+B122))</f>
        <v>1.7092820426599311</v>
      </c>
      <c r="C130" s="24">
        <f>IF(AND(C119=0,C120=0,C121=0,C122=0),"",-C118/(C119+C120+C121+C122))</f>
        <v>1.7230081731501208</v>
      </c>
      <c r="D130" s="24">
        <f>IF(AND(D119=0,D120=0,D121=0,D122=0),"",-D118/(D119+D120+D121+D122))</f>
        <v>1.7363955845774595</v>
      </c>
      <c r="E130" s="24">
        <f>IF(AND(E119=0,E120=0,E121=0,E122=0),"",-E118/(E119+E120+E121+E122))</f>
        <v>1.7494182803323479</v>
      </c>
      <c r="F130" s="25">
        <f>IF(AND(F119=0,F120=0,F121=0,F122=0),"",-F118/(F119+F120+F121+F122))</f>
        <v>1.7620516192906817</v>
      </c>
      <c r="G130" s="17"/>
      <c r="H130" s="17"/>
      <c r="I130" s="17"/>
      <c r="J130" s="17"/>
      <c r="K130" s="17"/>
      <c r="N130" s="3516"/>
      <c r="O130" s="3517"/>
    </row>
    <row r="131" spans="1:18" ht="13.35" customHeight="1">
      <c r="A131" s="21" t="s">
        <v>770</v>
      </c>
      <c r="B131" s="296">
        <f>IF(OR(B115="Choose mgt fee",B115="Choose One!"),"",(B108+B109+B110+B111+B112) / -(B114+B115+B116))</f>
        <v>1.7618746414583415</v>
      </c>
      <c r="C131" s="296">
        <f>IF(OR(C115="Choose mgt fee",C115="Choose One!"),"",(C108+C109+C110+C111+C112) / -(C114+C115+C116))</f>
        <v>1.7462620614394009</v>
      </c>
      <c r="D131" s="296">
        <f>IF(OR(D115="Choose mgt fee",D115="Choose One!"),"",(D108+D109+D110+D111+D112) / -(D114+D115+D116))</f>
        <v>1.7307751030520555</v>
      </c>
      <c r="E131" s="296">
        <f>IF(OR(E115="Choose mgt fee",E115="Choose One!"),"",(E108+E109+E110+E111+E112) / -(E114+E115+E116))</f>
        <v>1.7154123903491043</v>
      </c>
      <c r="F131" s="730">
        <f>IF(OR(F115="Choose mgt fee",F115="Choose One!"),"",(F108+F109+F110+F111+F112) / -(F114+F115+F116))</f>
        <v>1.7001742633449874</v>
      </c>
      <c r="G131" s="17"/>
      <c r="H131" s="17"/>
      <c r="I131" s="17"/>
      <c r="J131" s="17"/>
      <c r="K131" s="17"/>
      <c r="N131" s="3516"/>
      <c r="O131" s="3517"/>
    </row>
    <row r="132" spans="1:18" ht="13.35" customHeight="1">
      <c r="A132" s="483" t="s">
        <v>2616</v>
      </c>
      <c r="B132" s="240">
        <f>IF('Part III-Sources of Funds'!$I$38="","",-FV('Part III-Sources of Funds'!$K$38/12,12,B119/12,K102))</f>
        <v>1570438.3559203607</v>
      </c>
      <c r="C132" s="240">
        <f>IF('Part III-Sources of Funds'!$I$38="","",-FV('Part III-Sources of Funds'!$K$38/12,12,C119/12,B132))</f>
        <v>1197362.182447901</v>
      </c>
      <c r="D132" s="240">
        <f>IF('Part III-Sources of Funds'!$I$38="","",-FV('Part III-Sources of Funds'!$K$38/12,12,D119/12,C132))</f>
        <v>811555.79186053225</v>
      </c>
      <c r="E132" s="240">
        <f>IF('Part III-Sources of Funds'!$I$38="","",-FV('Part III-Sources of Funds'!$K$38/12,12,E119/12,D132))</f>
        <v>412584.799870766</v>
      </c>
      <c r="F132" s="240">
        <f>IF('Part III-Sources of Funds'!$I$38="","",-FV('Part III-Sources of Funds'!$K$38/12,12,F119/12,E132))</f>
        <v>1.3993121683597565E-7</v>
      </c>
      <c r="G132" s="17"/>
      <c r="H132" s="17"/>
      <c r="I132" s="17"/>
      <c r="J132" s="17"/>
      <c r="K132" s="17"/>
      <c r="N132" s="3516"/>
      <c r="O132" s="3517"/>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6"/>
      <c r="O133" s="3517"/>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6"/>
      <c r="O134" s="3517"/>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8"/>
      <c r="O135" s="3560"/>
    </row>
    <row r="136" spans="1:18" ht="4.3499999999999996" customHeight="1"/>
    <row r="137" spans="1:18" ht="12" customHeight="1">
      <c r="A137" s="13" t="s">
        <v>571</v>
      </c>
      <c r="B137" s="13"/>
      <c r="G137" s="13" t="s">
        <v>1031</v>
      </c>
    </row>
    <row r="138" spans="1:18" ht="12" customHeight="1">
      <c r="B138" s="31"/>
    </row>
    <row r="139" spans="1:18" ht="409.5" customHeight="1">
      <c r="A139" s="3152" t="s">
        <v>3482</v>
      </c>
      <c r="B139" s="3595"/>
      <c r="C139" s="3595"/>
      <c r="D139" s="3595"/>
      <c r="E139" s="3595"/>
      <c r="F139" s="3596"/>
      <c r="G139" s="3597"/>
      <c r="H139" s="3598"/>
      <c r="I139" s="3598"/>
      <c r="J139" s="3598"/>
      <c r="K139" s="3599"/>
      <c r="N139" s="3278" t="s">
        <v>2692</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93" zoomScaleNormal="100" workbookViewId="0">
      <selection activeCell="A440" sqref="A440:Q44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2019-5 Enclave at Milledgeville, Milledgeville, Baldwin County</v>
      </c>
      <c r="B1" s="3297"/>
      <c r="C1" s="3297"/>
      <c r="D1" s="3297"/>
      <c r="E1" s="3297"/>
      <c r="F1" s="3297"/>
      <c r="G1" s="3297"/>
      <c r="H1" s="3297"/>
      <c r="I1" s="3297"/>
      <c r="J1" s="3297"/>
      <c r="K1" s="3297"/>
      <c r="L1" s="3297"/>
      <c r="M1" s="3297"/>
      <c r="N1" s="3297"/>
      <c r="O1" s="3297"/>
      <c r="P1" s="3297"/>
      <c r="Q1" s="3297"/>
      <c r="R1" s="3751" t="str">
        <f>'Part I-Project Information'!$B$6</f>
        <v>May 2019 Final</v>
      </c>
      <c r="S1" s="3751"/>
    </row>
    <row r="2" spans="1:32" s="27" customFormat="1" ht="3" customHeight="1">
      <c r="R2" s="3751"/>
      <c r="S2" s="3751"/>
      <c r="AE2" s="120"/>
      <c r="AF2" s="120"/>
    </row>
    <row r="3" spans="1:32" ht="13.5" customHeight="1">
      <c r="A3" s="373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9"/>
      <c r="C3" s="3739"/>
      <c r="D3" s="3739"/>
      <c r="E3" s="3739"/>
      <c r="F3" s="3739"/>
      <c r="G3" s="3739"/>
      <c r="H3" s="373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9"/>
      <c r="J3" s="3739"/>
      <c r="K3" s="3739"/>
      <c r="L3" s="3739"/>
      <c r="M3" s="3739"/>
      <c r="N3" s="3740"/>
      <c r="O3" s="3741" t="s">
        <v>935</v>
      </c>
      <c r="P3" s="3742"/>
      <c r="Q3" s="2620" t="s">
        <v>1843</v>
      </c>
      <c r="R3" s="3751"/>
      <c r="S3" s="3751"/>
    </row>
    <row r="4" spans="1:32" ht="3" customHeight="1">
      <c r="A4" s="1378"/>
      <c r="B4" s="3743"/>
      <c r="C4" s="3743"/>
      <c r="D4" s="3743"/>
      <c r="E4" s="1378"/>
      <c r="F4" s="1378"/>
      <c r="G4" s="1378"/>
      <c r="H4" s="1378"/>
      <c r="I4" s="1378"/>
      <c r="J4" s="1378"/>
      <c r="K4" s="1378"/>
      <c r="L4" s="1378"/>
      <c r="M4" s="1378"/>
      <c r="N4" s="1378"/>
      <c r="P4" s="1378"/>
      <c r="Q4" s="1378"/>
      <c r="R4" s="3751"/>
      <c r="S4" s="3751"/>
    </row>
    <row r="5" spans="1:32" ht="11.1" hidden="1" customHeight="1">
      <c r="A5" s="1378"/>
      <c r="B5" s="1378"/>
      <c r="C5" s="1378"/>
      <c r="D5" s="1378"/>
      <c r="E5" s="1378"/>
      <c r="F5" s="1378"/>
      <c r="G5" s="1378"/>
      <c r="H5" s="1378"/>
      <c r="I5" s="1378"/>
      <c r="J5" s="1378"/>
      <c r="K5" s="1378"/>
      <c r="L5" s="1378"/>
      <c r="M5" s="1378"/>
      <c r="N5" s="1378"/>
      <c r="P5" s="1378"/>
      <c r="Q5" s="1378"/>
      <c r="R5" s="3751"/>
      <c r="S5" s="3751"/>
    </row>
    <row r="6" spans="1:32" ht="17.25" customHeight="1">
      <c r="A6" s="129" t="s">
        <v>567</v>
      </c>
      <c r="J6" s="3746" t="s">
        <v>3846</v>
      </c>
      <c r="K6" s="3746"/>
      <c r="L6" s="3746"/>
      <c r="M6" s="3746"/>
      <c r="N6" s="3746"/>
      <c r="O6" s="3747"/>
      <c r="P6" s="3744"/>
      <c r="Q6" s="3745"/>
      <c r="R6" s="3751"/>
      <c r="S6" s="3751"/>
    </row>
    <row r="7" spans="1:32" ht="12.6" customHeight="1">
      <c r="A7" s="130" t="s">
        <v>3450</v>
      </c>
      <c r="C7" s="131"/>
      <c r="D7" s="131"/>
      <c r="H7" s="1603"/>
      <c r="I7" s="1603"/>
      <c r="J7" s="1603"/>
      <c r="K7" s="1603"/>
      <c r="L7" s="1603"/>
      <c r="M7" s="1378"/>
      <c r="N7" s="1378"/>
    </row>
    <row r="8" spans="1:32" ht="24.6" customHeight="1">
      <c r="A8" s="3748" t="s">
        <v>1408</v>
      </c>
      <c r="B8" s="3749"/>
      <c r="C8" s="3749"/>
      <c r="D8" s="3749"/>
      <c r="E8" s="3749"/>
      <c r="F8" s="3749"/>
      <c r="G8" s="3749"/>
      <c r="H8" s="3749"/>
      <c r="I8" s="3749"/>
      <c r="J8" s="3749"/>
      <c r="K8" s="3749"/>
      <c r="L8" s="3749"/>
      <c r="M8" s="3749"/>
      <c r="N8" s="3749"/>
      <c r="O8" s="3749"/>
      <c r="P8" s="3749"/>
      <c r="Q8" s="3750"/>
      <c r="R8" s="3573" t="s">
        <v>2031</v>
      </c>
      <c r="S8" s="2881"/>
    </row>
    <row r="9" spans="1:32" ht="24.6" customHeight="1">
      <c r="A9" s="3709" t="s">
        <v>226</v>
      </c>
      <c r="B9" s="3710"/>
      <c r="C9" s="3710"/>
      <c r="D9" s="3710"/>
      <c r="E9" s="3710"/>
      <c r="F9" s="3710"/>
      <c r="G9" s="3710"/>
      <c r="H9" s="3710"/>
      <c r="I9" s="3710"/>
      <c r="J9" s="3710"/>
      <c r="K9" s="3710"/>
      <c r="L9" s="3710"/>
      <c r="M9" s="3710"/>
      <c r="N9" s="3710"/>
      <c r="O9" s="3710"/>
      <c r="P9" s="3710"/>
      <c r="Q9" s="3711"/>
      <c r="R9" s="3573"/>
      <c r="S9" s="2881"/>
    </row>
    <row r="10" spans="1:32" ht="24.6" customHeight="1">
      <c r="A10" s="3709" t="s">
        <v>1404</v>
      </c>
      <c r="B10" s="3710"/>
      <c r="C10" s="3710"/>
      <c r="D10" s="3710"/>
      <c r="E10" s="3710"/>
      <c r="F10" s="3710"/>
      <c r="G10" s="3710"/>
      <c r="H10" s="3710"/>
      <c r="I10" s="3710"/>
      <c r="J10" s="3710"/>
      <c r="K10" s="3710"/>
      <c r="L10" s="3710"/>
      <c r="M10" s="3710"/>
      <c r="N10" s="3710"/>
      <c r="O10" s="3710"/>
      <c r="P10" s="3710"/>
      <c r="Q10" s="3711"/>
      <c r="R10" s="3573"/>
      <c r="S10" s="2881"/>
    </row>
    <row r="11" spans="1:32" ht="24.6" customHeight="1">
      <c r="A11" s="3709" t="s">
        <v>1405</v>
      </c>
      <c r="B11" s="3710"/>
      <c r="C11" s="3710"/>
      <c r="D11" s="3710"/>
      <c r="E11" s="3710"/>
      <c r="F11" s="3710"/>
      <c r="G11" s="3710"/>
      <c r="H11" s="3710"/>
      <c r="I11" s="3710"/>
      <c r="J11" s="3710"/>
      <c r="K11" s="3710"/>
      <c r="L11" s="3710"/>
      <c r="M11" s="3710"/>
      <c r="N11" s="3710"/>
      <c r="O11" s="3710"/>
      <c r="P11" s="3710"/>
      <c r="Q11" s="3711"/>
      <c r="R11" s="3573"/>
      <c r="S11" s="2881"/>
    </row>
    <row r="12" spans="1:32" ht="24" customHeight="1">
      <c r="A12" s="3709" t="s">
        <v>1406</v>
      </c>
      <c r="B12" s="3710"/>
      <c r="C12" s="3710"/>
      <c r="D12" s="3710"/>
      <c r="E12" s="3710"/>
      <c r="F12" s="3710"/>
      <c r="G12" s="3710"/>
      <c r="H12" s="3710"/>
      <c r="I12" s="3710"/>
      <c r="J12" s="3710"/>
      <c r="K12" s="3710"/>
      <c r="L12" s="3710"/>
      <c r="M12" s="3710"/>
      <c r="N12" s="3710"/>
      <c r="O12" s="3710"/>
      <c r="P12" s="3710"/>
      <c r="Q12" s="3711"/>
      <c r="R12" s="1375"/>
      <c r="S12" s="1375"/>
    </row>
    <row r="13" spans="1:32" ht="11.25" customHeight="1">
      <c r="A13" s="3709" t="s">
        <v>1407</v>
      </c>
      <c r="B13" s="3710"/>
      <c r="C13" s="3710"/>
      <c r="D13" s="3710"/>
      <c r="E13" s="3710"/>
      <c r="F13" s="3710"/>
      <c r="G13" s="3710"/>
      <c r="H13" s="3710"/>
      <c r="I13" s="3710"/>
      <c r="J13" s="3710"/>
      <c r="K13" s="3710"/>
      <c r="L13" s="3710"/>
      <c r="M13" s="3710"/>
      <c r="N13" s="3710"/>
      <c r="O13" s="3710"/>
      <c r="P13" s="3710"/>
      <c r="Q13" s="3711"/>
      <c r="R13" s="1375"/>
      <c r="S13" s="1375"/>
    </row>
    <row r="14" spans="1:32" ht="11.25" customHeight="1">
      <c r="A14" s="3709" t="s">
        <v>1409</v>
      </c>
      <c r="B14" s="3710"/>
      <c r="C14" s="3710"/>
      <c r="D14" s="3710"/>
      <c r="E14" s="3710"/>
      <c r="F14" s="3710"/>
      <c r="G14" s="3710"/>
      <c r="H14" s="3710"/>
      <c r="I14" s="3710"/>
      <c r="J14" s="3710"/>
      <c r="K14" s="3710"/>
      <c r="L14" s="3710"/>
      <c r="M14" s="3710"/>
      <c r="N14" s="3710"/>
      <c r="O14" s="3710"/>
      <c r="P14" s="3710"/>
      <c r="Q14" s="3711"/>
    </row>
    <row r="15" spans="1:32" ht="11.25" customHeight="1">
      <c r="A15" s="3709" t="s">
        <v>2018</v>
      </c>
      <c r="B15" s="3710"/>
      <c r="C15" s="3710"/>
      <c r="D15" s="3710"/>
      <c r="E15" s="3710"/>
      <c r="F15" s="3710"/>
      <c r="G15" s="3710"/>
      <c r="H15" s="3710"/>
      <c r="I15" s="3710"/>
      <c r="J15" s="3710"/>
      <c r="K15" s="3710"/>
      <c r="L15" s="3710"/>
      <c r="M15" s="3710"/>
      <c r="N15" s="3710"/>
      <c r="O15" s="3710"/>
      <c r="P15" s="3710"/>
      <c r="Q15" s="3711"/>
      <c r="R15" s="3573" t="s">
        <v>2031</v>
      </c>
      <c r="S15" s="3065"/>
    </row>
    <row r="16" spans="1:32" ht="11.25" customHeight="1">
      <c r="A16" s="3709" t="s">
        <v>2019</v>
      </c>
      <c r="B16" s="3710"/>
      <c r="C16" s="3710"/>
      <c r="D16" s="3710"/>
      <c r="E16" s="3710"/>
      <c r="F16" s="3710"/>
      <c r="G16" s="3710"/>
      <c r="H16" s="3710"/>
      <c r="I16" s="3710"/>
      <c r="J16" s="3710"/>
      <c r="K16" s="3710"/>
      <c r="L16" s="3710"/>
      <c r="M16" s="3710"/>
      <c r="N16" s="3710"/>
      <c r="O16" s="3710"/>
      <c r="P16" s="3710"/>
      <c r="Q16" s="3711"/>
      <c r="R16" s="3573"/>
      <c r="S16" s="3065"/>
    </row>
    <row r="17" spans="1:31" ht="11.25" customHeight="1">
      <c r="A17" s="3709" t="s">
        <v>2020</v>
      </c>
      <c r="B17" s="3710"/>
      <c r="C17" s="3710"/>
      <c r="D17" s="3710"/>
      <c r="E17" s="3710"/>
      <c r="F17" s="3710"/>
      <c r="G17" s="3710"/>
      <c r="H17" s="3710"/>
      <c r="I17" s="3710"/>
      <c r="J17" s="3710"/>
      <c r="K17" s="3710"/>
      <c r="L17" s="3710"/>
      <c r="M17" s="3710"/>
      <c r="N17" s="3710"/>
      <c r="O17" s="3710"/>
      <c r="P17" s="3710"/>
      <c r="Q17" s="3711"/>
      <c r="R17" s="3573"/>
      <c r="S17" s="3065"/>
    </row>
    <row r="18" spans="1:31" ht="11.25" customHeight="1">
      <c r="A18" s="3709" t="s">
        <v>2021</v>
      </c>
      <c r="B18" s="3710"/>
      <c r="C18" s="3710"/>
      <c r="D18" s="3710"/>
      <c r="E18" s="3710"/>
      <c r="F18" s="3710"/>
      <c r="G18" s="3710"/>
      <c r="H18" s="3710"/>
      <c r="I18" s="3710"/>
      <c r="J18" s="3710"/>
      <c r="K18" s="3710"/>
      <c r="L18" s="3710"/>
      <c r="M18" s="3710"/>
      <c r="N18" s="3710"/>
      <c r="O18" s="3710"/>
      <c r="P18" s="3710"/>
      <c r="Q18" s="3711"/>
      <c r="R18" s="3573"/>
      <c r="S18" s="3065"/>
    </row>
    <row r="19" spans="1:31" ht="11.25" customHeight="1">
      <c r="A19" s="3709" t="s">
        <v>2022</v>
      </c>
      <c r="B19" s="3710"/>
      <c r="C19" s="3710"/>
      <c r="D19" s="3710"/>
      <c r="E19" s="3710"/>
      <c r="F19" s="3710"/>
      <c r="G19" s="3710"/>
      <c r="H19" s="3710"/>
      <c r="I19" s="3710"/>
      <c r="J19" s="3710"/>
      <c r="K19" s="3710"/>
      <c r="L19" s="3710"/>
      <c r="M19" s="3710"/>
      <c r="N19" s="3710"/>
      <c r="O19" s="3710"/>
      <c r="P19" s="3710"/>
      <c r="Q19" s="3711"/>
      <c r="R19" s="3573"/>
      <c r="S19" s="3065"/>
    </row>
    <row r="20" spans="1:31" ht="11.25" customHeight="1">
      <c r="A20" s="3709" t="s">
        <v>2023</v>
      </c>
      <c r="B20" s="3710"/>
      <c r="C20" s="3710"/>
      <c r="D20" s="3710"/>
      <c r="E20" s="3710"/>
      <c r="F20" s="3710"/>
      <c r="G20" s="3710"/>
      <c r="H20" s="3710"/>
      <c r="I20" s="3710"/>
      <c r="J20" s="3710"/>
      <c r="K20" s="3710"/>
      <c r="L20" s="3710"/>
      <c r="M20" s="3710"/>
      <c r="N20" s="3710"/>
      <c r="O20" s="3710"/>
      <c r="P20" s="3710"/>
      <c r="Q20" s="3711"/>
      <c r="R20" s="3573"/>
      <c r="S20" s="3065"/>
    </row>
    <row r="21" spans="1:31" ht="11.25" customHeight="1">
      <c r="A21" s="3709" t="s">
        <v>2024</v>
      </c>
      <c r="B21" s="3710"/>
      <c r="C21" s="3710"/>
      <c r="D21" s="3710"/>
      <c r="E21" s="3710"/>
      <c r="F21" s="3710"/>
      <c r="G21" s="3710"/>
      <c r="H21" s="3710"/>
      <c r="I21" s="3710"/>
      <c r="J21" s="3710"/>
      <c r="K21" s="3710"/>
      <c r="L21" s="3710"/>
      <c r="M21" s="3710"/>
      <c r="N21" s="3710"/>
      <c r="O21" s="3710"/>
      <c r="P21" s="3710"/>
      <c r="Q21" s="3711"/>
    </row>
    <row r="22" spans="1:31" ht="11.25" customHeight="1">
      <c r="A22" s="3709" t="s">
        <v>2025</v>
      </c>
      <c r="B22" s="3710"/>
      <c r="C22" s="3710"/>
      <c r="D22" s="3710"/>
      <c r="E22" s="3710"/>
      <c r="F22" s="3710"/>
      <c r="G22" s="3710"/>
      <c r="H22" s="3710"/>
      <c r="I22" s="3710"/>
      <c r="J22" s="3710"/>
      <c r="K22" s="3710"/>
      <c r="L22" s="3710"/>
      <c r="M22" s="3710"/>
      <c r="N22" s="3710"/>
      <c r="O22" s="3710"/>
      <c r="P22" s="3710"/>
      <c r="Q22" s="3711"/>
      <c r="R22" s="3573" t="s">
        <v>2031</v>
      </c>
      <c r="S22" s="3065"/>
    </row>
    <row r="23" spans="1:31" ht="11.25" customHeight="1">
      <c r="A23" s="3709" t="s">
        <v>2026</v>
      </c>
      <c r="B23" s="3710"/>
      <c r="C23" s="3710"/>
      <c r="D23" s="3710"/>
      <c r="E23" s="3710"/>
      <c r="F23" s="3710"/>
      <c r="G23" s="3710"/>
      <c r="H23" s="3710"/>
      <c r="I23" s="3710"/>
      <c r="J23" s="3710"/>
      <c r="K23" s="3710"/>
      <c r="L23" s="3710"/>
      <c r="M23" s="3710"/>
      <c r="N23" s="3710"/>
      <c r="O23" s="3710"/>
      <c r="P23" s="3710"/>
      <c r="Q23" s="3711"/>
      <c r="R23" s="3573"/>
      <c r="S23" s="3065"/>
    </row>
    <row r="24" spans="1:31" ht="11.25" customHeight="1">
      <c r="A24" s="3709" t="s">
        <v>2027</v>
      </c>
      <c r="B24" s="3710"/>
      <c r="C24" s="3710"/>
      <c r="D24" s="3710"/>
      <c r="E24" s="3710"/>
      <c r="F24" s="3710"/>
      <c r="G24" s="3710"/>
      <c r="H24" s="3710"/>
      <c r="I24" s="3710"/>
      <c r="J24" s="3710"/>
      <c r="K24" s="3710"/>
      <c r="L24" s="3710"/>
      <c r="M24" s="3710"/>
      <c r="N24" s="3710"/>
      <c r="O24" s="3710"/>
      <c r="P24" s="3710"/>
      <c r="Q24" s="3711"/>
      <c r="R24" s="3573"/>
      <c r="S24" s="3065"/>
    </row>
    <row r="25" spans="1:31" ht="11.25" customHeight="1">
      <c r="A25" s="3709" t="s">
        <v>2028</v>
      </c>
      <c r="B25" s="3710"/>
      <c r="C25" s="3710"/>
      <c r="D25" s="3710"/>
      <c r="E25" s="3710"/>
      <c r="F25" s="3710"/>
      <c r="G25" s="3710"/>
      <c r="H25" s="3710"/>
      <c r="I25" s="3710"/>
      <c r="J25" s="3710"/>
      <c r="K25" s="3710"/>
      <c r="L25" s="3710"/>
      <c r="M25" s="3710"/>
      <c r="N25" s="3710"/>
      <c r="O25" s="3710"/>
      <c r="P25" s="3710"/>
      <c r="Q25" s="3711"/>
      <c r="R25" s="3573"/>
      <c r="S25" s="3065"/>
    </row>
    <row r="26" spans="1:31" ht="11.25" customHeight="1">
      <c r="A26" s="3709" t="s">
        <v>2029</v>
      </c>
      <c r="B26" s="3710"/>
      <c r="C26" s="3710"/>
      <c r="D26" s="3710"/>
      <c r="E26" s="3710"/>
      <c r="F26" s="3710"/>
      <c r="G26" s="3710"/>
      <c r="H26" s="3710"/>
      <c r="I26" s="3710"/>
      <c r="J26" s="3710"/>
      <c r="K26" s="3710"/>
      <c r="L26" s="3710"/>
      <c r="M26" s="3710"/>
      <c r="N26" s="3710"/>
      <c r="O26" s="3710"/>
      <c r="P26" s="3710"/>
      <c r="Q26" s="3711"/>
      <c r="R26" s="3573"/>
      <c r="S26" s="3065"/>
    </row>
    <row r="27" spans="1:31" ht="11.25" customHeight="1">
      <c r="A27" s="3719" t="s">
        <v>2030</v>
      </c>
      <c r="B27" s="3720"/>
      <c r="C27" s="3720"/>
      <c r="D27" s="3720"/>
      <c r="E27" s="3720"/>
      <c r="F27" s="3720"/>
      <c r="G27" s="3720"/>
      <c r="H27" s="3720"/>
      <c r="I27" s="3720"/>
      <c r="J27" s="3720"/>
      <c r="K27" s="3720"/>
      <c r="L27" s="3720"/>
      <c r="M27" s="3720"/>
      <c r="N27" s="3720"/>
      <c r="O27" s="3720"/>
      <c r="P27" s="3720"/>
      <c r="Q27" s="3721"/>
      <c r="R27" s="3573"/>
      <c r="S27" s="3065"/>
    </row>
    <row r="28" spans="1:31" ht="6" customHeight="1"/>
    <row r="29" spans="1:31" ht="14.1" customHeight="1">
      <c r="A29" s="132" t="s">
        <v>616</v>
      </c>
      <c r="B29" s="133" t="s">
        <v>2650</v>
      </c>
      <c r="C29" s="134"/>
      <c r="D29" s="88"/>
      <c r="E29" s="88"/>
      <c r="F29" s="88"/>
      <c r="G29" s="88"/>
      <c r="I29" s="1385"/>
      <c r="J29" s="1385"/>
      <c r="K29" s="1385"/>
      <c r="L29" s="1378"/>
      <c r="M29" s="1378"/>
      <c r="O29" s="135" t="s">
        <v>1867</v>
      </c>
      <c r="P29" s="3627"/>
      <c r="Q29" s="3607"/>
    </row>
    <row r="30" spans="1:31" ht="3" customHeight="1"/>
    <row r="31" spans="1:31" ht="11.25" customHeight="1">
      <c r="B31" s="67" t="s">
        <v>3755</v>
      </c>
      <c r="C31" s="67"/>
      <c r="D31" s="67"/>
      <c r="E31" s="67"/>
      <c r="F31" s="67"/>
      <c r="G31" s="1385"/>
      <c r="H31" s="1385"/>
      <c r="I31" s="1385"/>
      <c r="J31" s="1385"/>
      <c r="K31" s="1378"/>
      <c r="L31" s="1378"/>
      <c r="M31" s="1378"/>
      <c r="N31" s="1378"/>
      <c r="O31" s="1378"/>
      <c r="P31" s="1020"/>
      <c r="S31" s="162"/>
      <c r="T31" s="162"/>
    </row>
    <row r="32" spans="1:31" ht="108.75" customHeight="1">
      <c r="A32" s="3622"/>
      <c r="B32" s="3623"/>
      <c r="C32" s="3623"/>
      <c r="D32" s="3623"/>
      <c r="E32" s="3623"/>
      <c r="F32" s="3623"/>
      <c r="G32" s="3623"/>
      <c r="H32" s="3623"/>
      <c r="I32" s="3623"/>
      <c r="J32" s="3623"/>
      <c r="K32" s="3623"/>
      <c r="L32" s="3623"/>
      <c r="M32" s="3623"/>
      <c r="N32" s="3623"/>
      <c r="O32" s="3623"/>
      <c r="P32" s="3623"/>
      <c r="Q32" s="3624"/>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2"/>
      <c r="B34" s="3722"/>
      <c r="C34" s="3722"/>
      <c r="D34" s="3722"/>
      <c r="E34" s="3722"/>
      <c r="F34" s="3722"/>
      <c r="G34" s="3722"/>
      <c r="H34" s="3722"/>
      <c r="I34" s="3722"/>
      <c r="J34" s="3722"/>
      <c r="K34" s="3722"/>
      <c r="L34" s="3722"/>
      <c r="M34" s="3722"/>
      <c r="N34" s="3722"/>
      <c r="O34" s="3722"/>
      <c r="P34" s="3722"/>
      <c r="Q34" s="3722"/>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2710</v>
      </c>
      <c r="C36" s="4"/>
      <c r="D36" s="4"/>
      <c r="E36" s="1379"/>
      <c r="G36" s="715"/>
      <c r="H36" s="715"/>
      <c r="I36" s="715"/>
      <c r="J36" s="42"/>
      <c r="L36" s="716"/>
      <c r="M36" s="716"/>
      <c r="N36" s="716"/>
      <c r="O36" s="135" t="s">
        <v>1867</v>
      </c>
      <c r="P36" s="3627"/>
      <c r="Q36" s="3607"/>
    </row>
    <row r="37" spans="1:295" ht="11.25" customHeight="1">
      <c r="A37" s="3819"/>
      <c r="B37" s="3819"/>
      <c r="C37" s="3819"/>
      <c r="D37" s="3819"/>
      <c r="E37" s="3819"/>
      <c r="F37" s="2624"/>
      <c r="G37" s="3723" t="s">
        <v>2714</v>
      </c>
      <c r="H37" s="3724"/>
      <c r="I37" s="719"/>
      <c r="J37" s="42"/>
      <c r="K37" s="3725" t="s">
        <v>3634</v>
      </c>
      <c r="L37" s="3726"/>
      <c r="M37" s="3726"/>
      <c r="N37" s="3727"/>
    </row>
    <row r="38" spans="1:295" ht="11.25" customHeight="1">
      <c r="A38" s="3819"/>
      <c r="B38" s="3819"/>
      <c r="C38" s="3819"/>
      <c r="D38" s="3819"/>
      <c r="E38" s="3819"/>
      <c r="F38" s="2624"/>
      <c r="G38" s="3728" t="s">
        <v>346</v>
      </c>
      <c r="H38" s="3729"/>
      <c r="I38" s="719"/>
      <c r="J38" s="42"/>
      <c r="K38" s="3730" t="s">
        <v>3635</v>
      </c>
      <c r="L38" s="3731"/>
      <c r="M38" s="3731"/>
      <c r="N38" s="3732"/>
      <c r="P38" s="596" t="s">
        <v>2734</v>
      </c>
      <c r="Q38" s="98" t="s">
        <v>2989</v>
      </c>
    </row>
    <row r="39" spans="1:295" ht="4.5" customHeight="1">
      <c r="A39" s="2624"/>
      <c r="B39" s="2624"/>
      <c r="C39" s="2624"/>
      <c r="D39" s="2624"/>
      <c r="E39" s="2624"/>
      <c r="F39" s="2624"/>
      <c r="G39" s="235"/>
      <c r="H39" s="235"/>
      <c r="I39" s="235"/>
      <c r="J39" s="42"/>
      <c r="K39" s="3733"/>
      <c r="L39" s="3733"/>
      <c r="M39" s="3733"/>
      <c r="N39" s="3733"/>
    </row>
    <row r="40" spans="1:295" s="84" customFormat="1" ht="10.5" customHeight="1">
      <c r="D40" s="720" t="s">
        <v>2713</v>
      </c>
      <c r="E40" s="35"/>
      <c r="F40" s="721" t="s">
        <v>3452</v>
      </c>
      <c r="G40" s="3734" t="s">
        <v>5044</v>
      </c>
      <c r="H40" s="3734"/>
      <c r="I40" s="3734"/>
      <c r="J40" s="35"/>
      <c r="K40" s="721" t="s">
        <v>3452</v>
      </c>
      <c r="L40" s="3734" t="s">
        <v>5043</v>
      </c>
      <c r="M40" s="3734"/>
      <c r="N40" s="3734"/>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8" t="s">
        <v>3357</v>
      </c>
      <c r="B41" s="3718"/>
      <c r="C41" s="3718"/>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623" t="str">
        <f>IF(K41="","",K41*L41)</f>
        <v/>
      </c>
      <c r="O41" s="1379"/>
      <c r="P41" s="3681" t="s">
        <v>3893</v>
      </c>
      <c r="Q41" s="3681"/>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8"/>
      <c r="B42" s="3718"/>
      <c r="C42" s="3718"/>
      <c r="D42" s="970" t="s">
        <v>2439</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623" t="str">
        <f>IF(K42="","",K42*L42)</f>
        <v/>
      </c>
      <c r="O42" s="1379"/>
      <c r="P42" s="3735" t="str">
        <f>IF('Part I-Project Information'!$F$38="","",VLOOKUP('Part I-Project Information'!$J$39,'DCA Underwriting Assumptions'!$G$158:$N$317,8,FALSE))</f>
        <v>Macon</v>
      </c>
      <c r="Q42" s="3736"/>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8"/>
      <c r="B43" s="3718"/>
      <c r="C43" s="3718"/>
      <c r="D43" s="970" t="s">
        <v>2440</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623" t="str">
        <f t="shared" ref="N43:N45" si="1">IF(K43="","",K43*L43)</f>
        <v/>
      </c>
      <c r="O43" s="1379"/>
      <c r="P43" s="3737"/>
      <c r="Q43" s="3738"/>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8"/>
      <c r="B44" s="3718"/>
      <c r="C44" s="3718"/>
      <c r="D44" s="970" t="s">
        <v>2441</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623" t="str">
        <f t="shared" si="1"/>
        <v/>
      </c>
      <c r="O44" s="1379"/>
      <c r="P44" s="3602" t="s">
        <v>5042</v>
      </c>
      <c r="Q44" s="3602"/>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623" t="str">
        <f t="shared" si="1"/>
        <v/>
      </c>
      <c r="O45" s="1379"/>
      <c r="P45" s="3704">
        <f>'Part IV-A-Uses of Funds'!$G$132</f>
        <v>15458102.010000002</v>
      </c>
      <c r="Q45" s="3705"/>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706"/>
      <c r="Q46" s="3707"/>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8" t="s">
        <v>3352</v>
      </c>
      <c r="B48" s="3718"/>
      <c r="C48" s="3718"/>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623" t="str">
        <f>IF(K48="","",K48*L48)</f>
        <v/>
      </c>
      <c r="P48" s="2621"/>
      <c r="Q48" s="2621"/>
      <c r="S48" s="3682" t="s">
        <v>4747</v>
      </c>
      <c r="T48" s="3683"/>
      <c r="U48" s="3683"/>
      <c r="V48" s="3684"/>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8"/>
      <c r="B49" s="3718"/>
      <c r="C49" s="3718"/>
      <c r="D49" s="970" t="s">
        <v>2439</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623" t="str">
        <f>IF(K49="","",K49*L49)</f>
        <v/>
      </c>
      <c r="P49" s="3436" t="s">
        <v>4090</v>
      </c>
      <c r="Q49" s="3436"/>
      <c r="S49" s="3685"/>
      <c r="T49" s="3686"/>
      <c r="U49" s="3686"/>
      <c r="V49" s="3687"/>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8"/>
      <c r="B50" s="3718"/>
      <c r="C50" s="3718"/>
      <c r="D50" s="970" t="s">
        <v>2440</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623" t="str">
        <f t="shared" ref="N50:N52" si="3">IF(K50="","",K50*L50)</f>
        <v/>
      </c>
      <c r="O50" s="652"/>
      <c r="P50" s="3693"/>
      <c r="Q50" s="3694"/>
      <c r="R50" s="466"/>
      <c r="S50" s="3685"/>
      <c r="T50" s="3686"/>
      <c r="U50" s="3686"/>
      <c r="V50" s="3687"/>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623" t="str">
        <f t="shared" si="3"/>
        <v/>
      </c>
      <c r="O51" s="652"/>
      <c r="P51" s="3695"/>
      <c r="Q51" s="3696"/>
      <c r="S51" s="3685"/>
      <c r="T51" s="3686"/>
      <c r="U51" s="3686"/>
      <c r="V51" s="3687"/>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623" t="str">
        <f t="shared" si="3"/>
        <v/>
      </c>
      <c r="O52" s="652"/>
      <c r="P52" s="3703" t="s">
        <v>3629</v>
      </c>
      <c r="Q52" s="3703"/>
      <c r="S52" s="3685"/>
      <c r="T52" s="3686"/>
      <c r="U52" s="3686"/>
      <c r="V52" s="3687"/>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685"/>
      <c r="T53" s="3686"/>
      <c r="U53" s="3686"/>
      <c r="V53" s="3687"/>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5"/>
      <c r="T54" s="3686"/>
      <c r="U54" s="3686"/>
      <c r="V54" s="3687"/>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623" t="str">
        <f>IF(K55="","",K55*L55)</f>
        <v/>
      </c>
      <c r="O55" s="652"/>
      <c r="P55" s="1341">
        <f>'Part IX Scoring Criteria'!O420</f>
        <v>0</v>
      </c>
      <c r="Q55" s="1341">
        <f>'Part IX Scoring Criteria'!P420</f>
        <v>0</v>
      </c>
      <c r="R55" s="466"/>
      <c r="S55" s="3685"/>
      <c r="T55" s="3686"/>
      <c r="U55" s="3686"/>
      <c r="V55" s="3687"/>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623" t="str">
        <f>IF(K56="","",K56*L56)</f>
        <v/>
      </c>
      <c r="P56" s="3703" t="s">
        <v>3630</v>
      </c>
      <c r="Q56" s="3703"/>
      <c r="S56" s="3685"/>
      <c r="T56" s="3686"/>
      <c r="U56" s="3686"/>
      <c r="V56" s="3687"/>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623" t="str">
        <f t="shared" ref="N57:N59" si="5">IF(K57="","",K57*L57)</f>
        <v/>
      </c>
      <c r="P57" s="1342" t="s">
        <v>3245</v>
      </c>
      <c r="Q57" s="1342" t="s">
        <v>256</v>
      </c>
      <c r="S57" s="3685"/>
      <c r="T57" s="3686"/>
      <c r="U57" s="3686"/>
      <c r="V57" s="3687"/>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623" t="str">
        <f t="shared" si="5"/>
        <v/>
      </c>
      <c r="O58" s="652"/>
      <c r="P58" s="1341">
        <f>'Part IX Scoring Criteria'!O71</f>
        <v>0</v>
      </c>
      <c r="Q58" s="1341">
        <f>'Part IX Scoring Criteria'!P71</f>
        <v>0</v>
      </c>
      <c r="S58" s="3688"/>
      <c r="T58" s="3689"/>
      <c r="U58" s="3689"/>
      <c r="V58" s="3690"/>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623" t="str">
        <f t="shared" si="5"/>
        <v/>
      </c>
      <c r="O59" s="652"/>
      <c r="P59" s="3712" t="s">
        <v>2769</v>
      </c>
      <c r="Q59" s="371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0</v>
      </c>
      <c r="G60" s="722"/>
      <c r="H60" s="1335"/>
      <c r="I60" s="1336">
        <f>SUM(I55:I59)</f>
        <v>0</v>
      </c>
      <c r="J60" s="1337"/>
      <c r="K60" s="1334">
        <f>SUM(K55:K59)</f>
        <v>0</v>
      </c>
      <c r="L60" s="1337"/>
      <c r="M60" s="1335"/>
      <c r="N60" s="1336">
        <f>SUM(N55:N59)</f>
        <v>0</v>
      </c>
      <c r="O60" s="652"/>
      <c r="P60" s="3712"/>
      <c r="Q60" s="371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2"/>
      <c r="Q61" s="371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623" t="str">
        <f>IF(K62="","",K62*L62)</f>
        <v/>
      </c>
      <c r="O62" s="652"/>
      <c r="P62" s="3713"/>
      <c r="Q62" s="371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2">
        <f>IF('Part VI-Revenues &amp; Expenses'!$K$141 =0,"",'Part VI-Revenues &amp; Expenses'!$K$141)</f>
        <v>14</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14 units = </v>
      </c>
      <c r="I63" s="2623">
        <f>IF(F63="","",F63*G63)</f>
        <v>2114994</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623" t="str">
        <f>IF(K63="","",K63*L63)</f>
        <v/>
      </c>
      <c r="O63" s="652"/>
      <c r="P63" s="3714">
        <f>IF(P50&gt;1,P50, IF(OR('Part IX Scoring Criteria'!$O$71='Part IX Scoring Criteria'!$M$71,AND('Part IV-A-Uses of Funds'!$T$165="Yes",'Part IX Scoring Criteria'!$O$420&gt;0)),H69+M69,H69))</f>
        <v>16229310</v>
      </c>
      <c r="Q63" s="3715"/>
      <c r="R63" s="3700"/>
      <c r="S63" s="3701"/>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2">
        <f>IF('Part VI-Revenues &amp; Expenses'!$L$141 =0,"",'Part VI-Revenues &amp; Expenses'!$L$141)</f>
        <v>30</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30 units = </v>
      </c>
      <c r="I64" s="2623">
        <f t="shared" ref="I64:I66" si="6">IF(F64="","",F64*G64)</f>
        <v>5827020</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623" t="str">
        <f t="shared" ref="N64:N66" si="7">IF(K64="","",K64*L64)</f>
        <v/>
      </c>
      <c r="P64" s="3716"/>
      <c r="Q64" s="3717"/>
      <c r="R64" s="3700"/>
      <c r="S64" s="3701"/>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2">
        <f>IF('Part VI-Revenues &amp; Expenses'!$M$141 =0,"",'Part VI-Revenues &amp; Expenses'!$M$141)</f>
        <v>32</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32 units = </v>
      </c>
      <c r="I65" s="2623">
        <f t="shared" si="6"/>
        <v>8287296</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623" t="str">
        <f t="shared" si="7"/>
        <v/>
      </c>
      <c r="P65" s="3697" t="s">
        <v>4242</v>
      </c>
      <c r="Q65" s="3697"/>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623" t="str">
        <f t="shared" si="7"/>
        <v/>
      </c>
      <c r="O66" s="652"/>
      <c r="P66" s="3698"/>
      <c r="Q66" s="3698"/>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76</v>
      </c>
      <c r="G67" s="722"/>
      <c r="H67" s="1335"/>
      <c r="I67" s="1338">
        <f>SUM(I62:I66)</f>
        <v>16229310</v>
      </c>
      <c r="J67" s="1337"/>
      <c r="K67" s="1334">
        <f>SUM(K62:K66)</f>
        <v>0</v>
      </c>
      <c r="L67" s="1337"/>
      <c r="M67" s="1335"/>
      <c r="N67" s="1338">
        <f>SUM(N62:N66)</f>
        <v>0</v>
      </c>
      <c r="O67" s="652"/>
      <c r="P67" s="3698"/>
      <c r="Q67" s="3698"/>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698"/>
      <c r="Q68" s="3698"/>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76</v>
      </c>
      <c r="G69" s="370"/>
      <c r="H69" s="3702">
        <f>I46+I53+I60+I67</f>
        <v>16229310</v>
      </c>
      <c r="I69" s="3702"/>
      <c r="J69" s="3702"/>
      <c r="K69" s="713">
        <f>K46+K53+K60+K67</f>
        <v>0</v>
      </c>
      <c r="L69" s="714"/>
      <c r="M69" s="3702">
        <f>N46+N53+N60+N67</f>
        <v>0</v>
      </c>
      <c r="N69" s="3702"/>
      <c r="O69" s="3702"/>
      <c r="P69" s="3698"/>
      <c r="Q69" s="3698"/>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85"/>
      <c r="J70" s="1385"/>
      <c r="K70" s="140" t="s">
        <v>1866</v>
      </c>
      <c r="L70" s="1378"/>
      <c r="M70" s="1378"/>
      <c r="N70" s="1378"/>
      <c r="O70" s="1378"/>
      <c r="P70" s="3699"/>
      <c r="Q70" s="3699"/>
    </row>
    <row r="71" spans="1:295" ht="10.5" customHeight="1">
      <c r="A71" s="3622"/>
      <c r="B71" s="3623"/>
      <c r="C71" s="3623"/>
      <c r="D71" s="3623"/>
      <c r="E71" s="3623"/>
      <c r="F71" s="3623"/>
      <c r="G71" s="3623"/>
      <c r="H71" s="3623"/>
      <c r="I71" s="3623"/>
      <c r="J71" s="3624"/>
      <c r="K71" s="3603"/>
      <c r="L71" s="3604"/>
      <c r="M71" s="3604"/>
      <c r="N71" s="3604"/>
      <c r="O71" s="3604"/>
      <c r="P71" s="3604"/>
      <c r="Q71" s="3605"/>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08" t="str">
        <f>'Part I-Project Information'!$H$82</f>
        <v>Family</v>
      </c>
      <c r="K73" s="3708"/>
      <c r="L73" s="3708"/>
      <c r="O73" s="135" t="s">
        <v>1867</v>
      </c>
      <c r="P73" s="3627"/>
      <c r="Q73" s="3607"/>
    </row>
    <row r="74" spans="1:295" ht="10.5" customHeight="1">
      <c r="B74" s="97" t="s">
        <v>3755</v>
      </c>
      <c r="D74" s="97"/>
      <c r="E74" s="97"/>
      <c r="F74" s="97"/>
      <c r="G74" s="97"/>
      <c r="H74" s="40"/>
      <c r="I74" s="1385"/>
      <c r="J74" s="1385"/>
      <c r="K74" s="140" t="s">
        <v>1866</v>
      </c>
      <c r="L74" s="1378"/>
      <c r="M74" s="1378"/>
      <c r="N74" s="1378"/>
      <c r="O74" s="1378"/>
      <c r="P74" s="1378"/>
      <c r="Q74" s="1020"/>
    </row>
    <row r="75" spans="1:295" ht="10.5" customHeight="1">
      <c r="A75" s="3622"/>
      <c r="B75" s="3623"/>
      <c r="C75" s="3623"/>
      <c r="D75" s="3623"/>
      <c r="E75" s="3623"/>
      <c r="F75" s="3623"/>
      <c r="G75" s="3623"/>
      <c r="H75" s="3623"/>
      <c r="I75" s="3623"/>
      <c r="J75" s="3624"/>
      <c r="K75" s="3603"/>
      <c r="L75" s="3604"/>
      <c r="M75" s="3604"/>
      <c r="N75" s="3604"/>
      <c r="O75" s="3604"/>
      <c r="P75" s="3604"/>
      <c r="Q75" s="3605"/>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2651</v>
      </c>
      <c r="C77" s="117"/>
      <c r="D77" s="1379"/>
      <c r="E77" s="1379"/>
      <c r="F77" s="1379"/>
      <c r="G77" s="1379"/>
      <c r="H77" s="1379"/>
      <c r="I77" s="1379"/>
      <c r="J77" s="1379"/>
      <c r="L77" s="2413" t="s">
        <v>4756</v>
      </c>
      <c r="M77" s="2414" t="s">
        <v>4757</v>
      </c>
      <c r="O77" s="135" t="s">
        <v>1867</v>
      </c>
      <c r="P77" s="3627"/>
      <c r="Q77" s="3607"/>
    </row>
    <row r="78" spans="1:295" ht="1.5" customHeight="1"/>
    <row r="79" spans="1:295" ht="12" customHeight="1">
      <c r="A79" s="145" t="s">
        <v>1983</v>
      </c>
      <c r="B79" s="3611" t="s">
        <v>4748</v>
      </c>
      <c r="C79" s="3611"/>
      <c r="D79" s="3611"/>
      <c r="E79" s="3611"/>
      <c r="F79" s="3611"/>
      <c r="G79" s="3611"/>
      <c r="H79" s="3611"/>
      <c r="I79" s="3611"/>
      <c r="J79" s="3611"/>
      <c r="K79" s="151"/>
      <c r="L79" s="498" t="s">
        <v>2910</v>
      </c>
      <c r="M79" s="2519">
        <v>2</v>
      </c>
      <c r="N79" s="450" t="s">
        <v>3696</v>
      </c>
      <c r="P79" s="3691" t="s">
        <v>5217</v>
      </c>
      <c r="Q79" s="3679"/>
    </row>
    <row r="80" spans="1:295" ht="12" customHeight="1">
      <c r="A80" s="145"/>
      <c r="B80" s="3611"/>
      <c r="C80" s="3611"/>
      <c r="D80" s="3611"/>
      <c r="E80" s="3611"/>
      <c r="F80" s="3611"/>
      <c r="G80" s="3611"/>
      <c r="H80" s="3611"/>
      <c r="I80" s="3611"/>
      <c r="J80" s="3611"/>
      <c r="K80" s="151"/>
      <c r="L80" s="498" t="s">
        <v>4755</v>
      </c>
      <c r="M80" s="2520">
        <v>4</v>
      </c>
      <c r="O80" s="146"/>
      <c r="P80" s="3692"/>
      <c r="Q80" s="3680"/>
    </row>
    <row r="81" spans="1:31" ht="12" customHeight="1">
      <c r="A81" s="47" t="s">
        <v>1985</v>
      </c>
      <c r="B81" s="450" t="s">
        <v>4758</v>
      </c>
      <c r="C81" s="450"/>
      <c r="D81" s="450"/>
      <c r="E81" s="450"/>
      <c r="F81" s="450"/>
      <c r="G81" s="450"/>
      <c r="H81" s="450"/>
      <c r="I81" s="450"/>
      <c r="J81" s="450"/>
      <c r="K81" s="675"/>
      <c r="L81" s="450"/>
      <c r="M81" s="151"/>
      <c r="N81" s="1080"/>
      <c r="O81" s="1080"/>
      <c r="P81" s="1080"/>
    </row>
    <row r="82" spans="1:31" ht="12" customHeight="1">
      <c r="A82" s="2408"/>
      <c r="B82" s="2579" t="s">
        <v>1737</v>
      </c>
      <c r="C82" s="450" t="s">
        <v>4762</v>
      </c>
      <c r="D82" s="2412"/>
      <c r="E82" s="2412"/>
      <c r="F82" s="2412"/>
      <c r="G82" s="2412"/>
      <c r="H82" s="2412"/>
      <c r="I82" s="2412"/>
      <c r="J82" s="2412"/>
      <c r="K82" s="2411"/>
      <c r="L82" s="1079"/>
      <c r="N82" s="450" t="s">
        <v>3696</v>
      </c>
      <c r="O82" s="1080"/>
      <c r="P82" s="238" t="s">
        <v>5217</v>
      </c>
      <c r="Q82" s="617"/>
    </row>
    <row r="83" spans="1:31" ht="12" customHeight="1">
      <c r="A83" s="2408"/>
      <c r="B83" s="2579" t="s">
        <v>1738</v>
      </c>
      <c r="C83" s="450" t="s">
        <v>4759</v>
      </c>
      <c r="D83" s="2412"/>
      <c r="E83" s="2412"/>
      <c r="F83" s="2412"/>
      <c r="G83" s="2412"/>
      <c r="H83" s="2412"/>
      <c r="I83" s="2412"/>
      <c r="J83" s="2412"/>
      <c r="K83" s="2411"/>
      <c r="L83" s="1079"/>
      <c r="N83" s="450" t="s">
        <v>3696</v>
      </c>
      <c r="O83" s="1080"/>
      <c r="P83" s="422" t="s">
        <v>5217</v>
      </c>
      <c r="Q83" s="618"/>
    </row>
    <row r="84" spans="1:31" ht="12" customHeight="1">
      <c r="A84" s="2407"/>
      <c r="B84" s="2579" t="s">
        <v>1739</v>
      </c>
      <c r="C84" s="450" t="s">
        <v>4760</v>
      </c>
      <c r="E84" s="2412"/>
      <c r="F84" s="2412"/>
      <c r="G84" s="2412"/>
      <c r="H84" s="2412"/>
      <c r="I84" s="2412"/>
      <c r="J84" s="2412"/>
      <c r="K84" s="2411"/>
      <c r="L84" s="1079"/>
      <c r="M84" s="1080"/>
      <c r="N84" s="450" t="s">
        <v>3696</v>
      </c>
      <c r="O84" s="1080"/>
      <c r="P84" s="422" t="s">
        <v>5217</v>
      </c>
      <c r="Q84" s="618"/>
    </row>
    <row r="85" spans="1:31" ht="11.1" customHeight="1">
      <c r="A85" s="147"/>
      <c r="B85" s="541" t="s">
        <v>2365</v>
      </c>
      <c r="C85" s="541" t="s">
        <v>4763</v>
      </c>
      <c r="D85" s="137"/>
      <c r="E85" s="137"/>
      <c r="F85" s="137"/>
      <c r="G85" s="137"/>
      <c r="H85" s="137"/>
      <c r="I85" s="42"/>
      <c r="J85" s="42"/>
      <c r="N85" s="450" t="s">
        <v>3696</v>
      </c>
      <c r="O85" s="1080"/>
      <c r="P85" s="239" t="s">
        <v>5217</v>
      </c>
      <c r="Q85" s="619"/>
    </row>
    <row r="86" spans="1:31" ht="11.1" customHeight="1">
      <c r="A86" s="147"/>
      <c r="B86" s="541"/>
      <c r="C86" s="450" t="s">
        <v>4764</v>
      </c>
      <c r="D86" s="137"/>
      <c r="E86" s="137"/>
      <c r="F86" s="137"/>
      <c r="G86" s="137"/>
      <c r="H86" s="137"/>
      <c r="I86" s="42"/>
      <c r="J86" s="42"/>
      <c r="L86" s="3608" t="s">
        <v>970</v>
      </c>
      <c r="M86" s="3609"/>
      <c r="N86" s="3609"/>
      <c r="O86" s="3609"/>
      <c r="P86" s="3609"/>
      <c r="Q86" s="3610"/>
    </row>
    <row r="87" spans="1:31" ht="11.1" customHeight="1">
      <c r="A87" s="147"/>
      <c r="B87" s="541" t="s">
        <v>1549</v>
      </c>
      <c r="C87" s="3611" t="s">
        <v>4761</v>
      </c>
      <c r="D87" s="3611"/>
      <c r="E87" s="3611"/>
      <c r="F87" s="3611"/>
      <c r="G87" s="3611"/>
      <c r="H87" s="3611"/>
      <c r="I87" s="3611"/>
      <c r="J87" s="3611"/>
      <c r="K87" s="3611"/>
      <c r="L87" s="3611"/>
      <c r="M87" s="610"/>
      <c r="N87" s="450" t="s">
        <v>3696</v>
      </c>
      <c r="O87" s="1080"/>
      <c r="P87" s="542" t="s">
        <v>5217</v>
      </c>
      <c r="Q87" s="616"/>
    </row>
    <row r="88" spans="1:31" ht="11.1" customHeight="1">
      <c r="A88" s="47"/>
      <c r="C88" s="3611"/>
      <c r="D88" s="3611"/>
      <c r="E88" s="3611"/>
      <c r="F88" s="3611"/>
      <c r="G88" s="3611"/>
      <c r="H88" s="3611"/>
      <c r="I88" s="3611"/>
      <c r="J88" s="3611"/>
      <c r="K88" s="3611"/>
      <c r="L88" s="3611"/>
      <c r="M88" s="610"/>
    </row>
    <row r="89" spans="1:31" ht="10.5" customHeight="1">
      <c r="B89" s="97" t="s">
        <v>3755</v>
      </c>
      <c r="D89" s="97"/>
      <c r="E89" s="97"/>
      <c r="F89" s="97"/>
      <c r="G89" s="97"/>
      <c r="H89" s="40"/>
      <c r="I89" s="1385"/>
      <c r="J89" s="1385"/>
      <c r="K89" s="140" t="s">
        <v>1866</v>
      </c>
      <c r="L89" s="1378"/>
      <c r="M89" s="1378"/>
      <c r="N89" s="1378"/>
      <c r="O89" s="1378"/>
      <c r="P89" s="1378"/>
      <c r="Q89" s="1020"/>
    </row>
    <row r="90" spans="1:31" ht="10.5" customHeight="1">
      <c r="A90" s="3622"/>
      <c r="B90" s="3623"/>
      <c r="C90" s="3623"/>
      <c r="D90" s="3623"/>
      <c r="E90" s="3623"/>
      <c r="F90" s="3623"/>
      <c r="G90" s="3623"/>
      <c r="H90" s="3623"/>
      <c r="I90" s="3623"/>
      <c r="J90" s="3624"/>
      <c r="K90" s="3603"/>
      <c r="L90" s="3604"/>
      <c r="M90" s="3604"/>
      <c r="N90" s="3604"/>
      <c r="O90" s="3604"/>
      <c r="P90" s="3604"/>
      <c r="Q90" s="3605"/>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2652</v>
      </c>
      <c r="C92" s="1384"/>
      <c r="D92" s="1379"/>
      <c r="E92" s="1379"/>
      <c r="F92" s="1379"/>
      <c r="G92" s="1379"/>
      <c r="H92" s="1379"/>
      <c r="I92" s="1379"/>
      <c r="J92" s="1379"/>
      <c r="K92" s="1379"/>
      <c r="O92" s="135" t="s">
        <v>1867</v>
      </c>
      <c r="P92" s="3627"/>
      <c r="Q92" s="3607"/>
    </row>
    <row r="93" spans="1:31" ht="3" customHeight="1"/>
    <row r="94" spans="1:31" ht="10.5" customHeight="1">
      <c r="A94" s="47" t="s">
        <v>1983</v>
      </c>
      <c r="B94" s="148" t="s">
        <v>2459</v>
      </c>
      <c r="D94" s="137"/>
      <c r="E94" s="137"/>
      <c r="F94" s="137"/>
      <c r="G94" s="137"/>
      <c r="H94" s="137"/>
      <c r="I94" s="42"/>
      <c r="J94" s="42"/>
      <c r="K94" s="42"/>
      <c r="L94" s="527" t="s">
        <v>1983</v>
      </c>
      <c r="M94" s="3662" t="s">
        <v>5294</v>
      </c>
      <c r="N94" s="3663"/>
      <c r="O94" s="3663"/>
      <c r="P94" s="3672"/>
      <c r="Q94" s="617"/>
    </row>
    <row r="95" spans="1:31" ht="10.5" customHeight="1">
      <c r="A95" s="47" t="s">
        <v>1985</v>
      </c>
      <c r="B95" s="52" t="s">
        <v>2036</v>
      </c>
      <c r="D95" s="137"/>
      <c r="E95" s="137"/>
      <c r="F95" s="137"/>
      <c r="L95" s="527" t="s">
        <v>1985</v>
      </c>
      <c r="M95" s="3673" t="s">
        <v>5323</v>
      </c>
      <c r="N95" s="3674"/>
      <c r="O95" s="3674"/>
      <c r="P95" s="3675"/>
      <c r="Q95" s="618"/>
    </row>
    <row r="96" spans="1:31" ht="10.5" customHeight="1">
      <c r="A96" s="47" t="s">
        <v>749</v>
      </c>
      <c r="B96" s="52" t="s">
        <v>2878</v>
      </c>
      <c r="D96" s="137"/>
      <c r="E96" s="137"/>
      <c r="F96" s="137"/>
      <c r="L96" s="527" t="s">
        <v>749</v>
      </c>
      <c r="M96" s="3673">
        <v>0.93</v>
      </c>
      <c r="N96" s="3676"/>
      <c r="O96" s="3676"/>
      <c r="P96" s="3677"/>
      <c r="Q96" s="618"/>
    </row>
    <row r="97" spans="1:31" ht="10.5" customHeight="1">
      <c r="A97" s="47" t="s">
        <v>2115</v>
      </c>
      <c r="B97" s="52" t="s">
        <v>3897</v>
      </c>
      <c r="D97" s="137"/>
      <c r="E97" s="137"/>
      <c r="F97" s="137"/>
      <c r="L97" s="527" t="s">
        <v>3898</v>
      </c>
      <c r="M97" s="1497">
        <v>2.5999999999999999E-2</v>
      </c>
      <c r="N97" s="1343"/>
      <c r="O97" s="1344" t="s">
        <v>4129</v>
      </c>
      <c r="P97" s="1345" t="s">
        <v>970</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c r="E100" s="3649" t="s">
        <v>5295</v>
      </c>
      <c r="F100" s="3649"/>
      <c r="G100" s="3649"/>
      <c r="H100" s="66" t="s">
        <v>1739</v>
      </c>
      <c r="I100" s="559"/>
      <c r="J100" s="3649" t="s">
        <v>5297</v>
      </c>
      <c r="K100" s="3649"/>
      <c r="L100" s="3649"/>
      <c r="M100" s="65" t="s">
        <v>1549</v>
      </c>
      <c r="N100" s="559"/>
      <c r="O100" s="3649"/>
      <c r="P100" s="3649"/>
      <c r="Q100" s="3649"/>
    </row>
    <row r="101" spans="1:31" ht="10.5" customHeight="1">
      <c r="C101" s="66" t="s">
        <v>1738</v>
      </c>
      <c r="D101" s="560"/>
      <c r="E101" s="3650" t="s">
        <v>5296</v>
      </c>
      <c r="F101" s="3650"/>
      <c r="G101" s="3650"/>
      <c r="H101" s="527" t="s">
        <v>2365</v>
      </c>
      <c r="I101" s="560"/>
      <c r="J101" s="3650"/>
      <c r="K101" s="3650"/>
      <c r="L101" s="3650"/>
      <c r="M101" s="65" t="s">
        <v>1550</v>
      </c>
      <c r="N101" s="560"/>
      <c r="O101" s="3650"/>
      <c r="P101" s="3650"/>
      <c r="Q101" s="3650"/>
    </row>
    <row r="102" spans="1:31" ht="10.5" customHeight="1">
      <c r="A102" s="47" t="s">
        <v>1736</v>
      </c>
      <c r="B102" s="52" t="s">
        <v>0</v>
      </c>
      <c r="D102" s="137"/>
      <c r="E102" s="137"/>
      <c r="F102" s="137"/>
      <c r="G102" s="137"/>
      <c r="H102" s="137"/>
      <c r="I102" s="42"/>
      <c r="J102" s="42"/>
      <c r="K102" s="137"/>
      <c r="L102" s="1381"/>
      <c r="M102" s="1381"/>
      <c r="O102" s="527" t="s">
        <v>1736</v>
      </c>
      <c r="P102" s="113" t="s">
        <v>2992</v>
      </c>
      <c r="Q102" s="621"/>
    </row>
    <row r="103" spans="1:31" ht="9.75" customHeight="1">
      <c r="B103" s="144" t="s">
        <v>3755</v>
      </c>
      <c r="D103" s="144"/>
      <c r="E103" s="144"/>
      <c r="F103" s="144"/>
      <c r="G103" s="144"/>
      <c r="H103" s="40"/>
      <c r="I103" s="1385"/>
      <c r="J103" s="1385"/>
      <c r="K103" s="1385"/>
      <c r="L103" s="1378"/>
      <c r="M103" s="1378"/>
      <c r="N103" s="1378"/>
      <c r="O103" s="1378"/>
      <c r="P103" s="1378"/>
      <c r="Q103" s="1020"/>
    </row>
    <row r="104" spans="1:31" ht="44.25" customHeight="1">
      <c r="A104" s="3622" t="s">
        <v>5298</v>
      </c>
      <c r="B104" s="3623"/>
      <c r="C104" s="3623"/>
      <c r="D104" s="3623"/>
      <c r="E104" s="3623"/>
      <c r="F104" s="3623"/>
      <c r="G104" s="3623"/>
      <c r="H104" s="3623"/>
      <c r="I104" s="3623"/>
      <c r="J104" s="3623"/>
      <c r="K104" s="3623"/>
      <c r="L104" s="3623"/>
      <c r="M104" s="3623"/>
      <c r="N104" s="3623"/>
      <c r="O104" s="3623"/>
      <c r="P104" s="3623"/>
      <c r="Q104" s="3624"/>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3"/>
      <c r="B106" s="3604"/>
      <c r="C106" s="3604"/>
      <c r="D106" s="3604"/>
      <c r="E106" s="3604"/>
      <c r="F106" s="3604"/>
      <c r="G106" s="3604"/>
      <c r="H106" s="3604"/>
      <c r="I106" s="3604"/>
      <c r="J106" s="3604"/>
      <c r="K106" s="3604"/>
      <c r="L106" s="3604"/>
      <c r="M106" s="3604"/>
      <c r="N106" s="3604"/>
      <c r="O106" s="3604"/>
      <c r="P106" s="3604"/>
      <c r="Q106" s="3605"/>
    </row>
    <row r="107" spans="1:31" ht="14.1" customHeight="1">
      <c r="A107" s="1384" t="s">
        <v>530</v>
      </c>
      <c r="B107" s="1384" t="s">
        <v>2653</v>
      </c>
      <c r="C107" s="1384"/>
      <c r="D107" s="1379"/>
      <c r="E107" s="1379"/>
      <c r="F107" s="1379"/>
      <c r="G107" s="1379"/>
      <c r="H107" s="1379"/>
      <c r="I107" s="1379"/>
      <c r="J107" s="1379"/>
      <c r="K107" s="1379"/>
      <c r="L107" s="1379"/>
      <c r="M107" s="1379"/>
      <c r="O107" s="135" t="s">
        <v>1867</v>
      </c>
      <c r="P107" s="3627"/>
      <c r="Q107" s="3607"/>
    </row>
    <row r="108" spans="1:31" ht="3" customHeight="1"/>
    <row r="109" spans="1:31" ht="9.75" customHeight="1">
      <c r="B109" s="55" t="s">
        <v>4942</v>
      </c>
      <c r="P109" s="542" t="s">
        <v>2989</v>
      </c>
      <c r="Q109" s="616"/>
    </row>
    <row r="110" spans="1:31" ht="10.5" customHeight="1">
      <c r="A110" s="47" t="s">
        <v>1983</v>
      </c>
      <c r="B110" s="52" t="s">
        <v>493</v>
      </c>
      <c r="C110" s="52"/>
      <c r="E110" s="52"/>
      <c r="F110" s="52"/>
      <c r="G110" s="52"/>
      <c r="H110" s="52"/>
      <c r="I110" s="52"/>
      <c r="J110" s="52"/>
      <c r="K110" s="52"/>
      <c r="L110" s="52"/>
      <c r="M110" s="52"/>
      <c r="O110" s="527" t="s">
        <v>1983</v>
      </c>
      <c r="P110" s="1174" t="s">
        <v>2992</v>
      </c>
      <c r="Q110" s="1084"/>
    </row>
    <row r="111" spans="1:31" ht="10.5" customHeight="1">
      <c r="A111" s="47" t="s">
        <v>1985</v>
      </c>
      <c r="B111" s="52" t="s">
        <v>1304</v>
      </c>
      <c r="C111" s="52"/>
      <c r="E111" s="52"/>
      <c r="F111" s="52"/>
      <c r="G111" s="52"/>
      <c r="H111" s="52"/>
      <c r="I111" s="52"/>
      <c r="J111" s="52"/>
      <c r="K111" s="52"/>
      <c r="L111" s="1021"/>
      <c r="M111" s="1021"/>
      <c r="O111" s="527" t="s">
        <v>1985</v>
      </c>
      <c r="P111" s="239" t="s">
        <v>2992</v>
      </c>
      <c r="Q111" s="618"/>
    </row>
    <row r="112" spans="1:31" ht="10.5" customHeight="1">
      <c r="A112" s="36"/>
      <c r="B112" s="39" t="s">
        <v>554</v>
      </c>
      <c r="E112" s="42"/>
      <c r="F112" s="42"/>
      <c r="G112" s="42"/>
      <c r="H112" s="42"/>
      <c r="I112" s="42"/>
      <c r="L112" s="66" t="s">
        <v>555</v>
      </c>
      <c r="M112" s="3608" t="s">
        <v>5299</v>
      </c>
      <c r="N112" s="3609"/>
      <c r="O112" s="3609"/>
      <c r="P112" s="3177"/>
      <c r="Q112" s="618"/>
    </row>
    <row r="113" spans="1:32" ht="10.5" customHeight="1">
      <c r="A113" s="2403"/>
      <c r="B113" s="2579" t="s">
        <v>1737</v>
      </c>
      <c r="C113" s="1021" t="s">
        <v>4765</v>
      </c>
      <c r="D113" s="1186"/>
      <c r="E113" s="1186"/>
      <c r="F113" s="1186"/>
      <c r="G113" s="1186"/>
      <c r="H113" s="1186"/>
      <c r="I113" s="1186"/>
      <c r="J113" s="1186"/>
      <c r="K113" s="1186"/>
      <c r="L113" s="1186"/>
      <c r="M113" s="1186"/>
      <c r="O113" s="153" t="s">
        <v>1737</v>
      </c>
      <c r="P113" s="238" t="s">
        <v>2989</v>
      </c>
      <c r="Q113" s="618"/>
    </row>
    <row r="114" spans="1:32" ht="10.5" customHeight="1">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c r="A115" s="1385"/>
      <c r="B115" s="2579"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c r="A116" s="1385"/>
      <c r="B116" s="541" t="s">
        <v>2365</v>
      </c>
      <c r="C116" s="1021" t="s">
        <v>2879</v>
      </c>
      <c r="D116" s="1021"/>
      <c r="E116" s="1021"/>
      <c r="F116" s="1021"/>
      <c r="G116" s="1021"/>
      <c r="H116" s="1021"/>
      <c r="I116" s="1021"/>
      <c r="J116" s="1021"/>
      <c r="K116" s="1021"/>
      <c r="L116" s="1021"/>
      <c r="M116" s="1450"/>
      <c r="O116" s="166" t="s">
        <v>2365</v>
      </c>
      <c r="P116" s="422" t="s">
        <v>2989</v>
      </c>
      <c r="Q116" s="618"/>
    </row>
    <row r="117" spans="1:32" s="136" customFormat="1" ht="24.75" customHeight="1">
      <c r="A117" s="498"/>
      <c r="B117" s="541" t="s">
        <v>1549</v>
      </c>
      <c r="C117" s="3651" t="s">
        <v>2688</v>
      </c>
      <c r="D117" s="3651"/>
      <c r="E117" s="3651"/>
      <c r="F117" s="3651"/>
      <c r="G117" s="3651"/>
      <c r="H117" s="3651"/>
      <c r="I117" s="3651"/>
      <c r="J117" s="3651"/>
      <c r="K117" s="3651"/>
      <c r="L117" s="3651"/>
      <c r="M117" s="3651"/>
      <c r="N117" s="3651"/>
      <c r="O117" s="166" t="s">
        <v>1549</v>
      </c>
      <c r="P117" s="633" t="s">
        <v>2992</v>
      </c>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2992</v>
      </c>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2992</v>
      </c>
      <c r="Q120" s="617"/>
    </row>
    <row r="121" spans="1:32" ht="10.5" customHeight="1">
      <c r="B121" s="149" t="s">
        <v>1738</v>
      </c>
      <c r="C121" s="52" t="s">
        <v>1430</v>
      </c>
      <c r="E121" s="52"/>
      <c r="F121" s="52"/>
      <c r="G121" s="52"/>
      <c r="H121" s="52"/>
      <c r="I121" s="52"/>
      <c r="J121" s="52"/>
      <c r="K121" s="52"/>
      <c r="L121" s="1021"/>
      <c r="M121" s="1021"/>
      <c r="O121" s="66" t="s">
        <v>1738</v>
      </c>
      <c r="P121" s="422" t="s">
        <v>2992</v>
      </c>
      <c r="Q121" s="618"/>
    </row>
    <row r="122" spans="1:32" ht="10.5" customHeight="1">
      <c r="B122" s="149" t="s">
        <v>1739</v>
      </c>
      <c r="C122" s="52" t="s">
        <v>1431</v>
      </c>
      <c r="E122" s="52"/>
      <c r="F122" s="52"/>
      <c r="G122" s="52"/>
      <c r="H122" s="52"/>
      <c r="I122" s="52"/>
      <c r="J122" s="52"/>
      <c r="K122" s="52"/>
      <c r="L122" s="1021"/>
      <c r="M122" s="1021"/>
      <c r="O122" s="66" t="s">
        <v>1739</v>
      </c>
      <c r="P122" s="239" t="s">
        <v>2992</v>
      </c>
      <c r="Q122" s="619"/>
    </row>
    <row r="123" spans="1:32" ht="10.5" customHeight="1">
      <c r="B123" s="144" t="s">
        <v>3755</v>
      </c>
      <c r="D123" s="144"/>
      <c r="E123" s="144"/>
      <c r="F123" s="144"/>
      <c r="G123" s="144"/>
      <c r="H123" s="40"/>
      <c r="I123" s="1385"/>
      <c r="J123" s="1385"/>
      <c r="K123" s="1385"/>
      <c r="L123" s="1378"/>
      <c r="M123" s="1378"/>
      <c r="N123" s="1378"/>
      <c r="O123" s="1378"/>
      <c r="P123" s="1378"/>
      <c r="Q123" s="1020"/>
    </row>
    <row r="124" spans="1:32" ht="22.5" customHeight="1">
      <c r="A124" s="3622"/>
      <c r="B124" s="3623"/>
      <c r="C124" s="3623"/>
      <c r="D124" s="3623"/>
      <c r="E124" s="3623"/>
      <c r="F124" s="3623"/>
      <c r="G124" s="3623"/>
      <c r="H124" s="3623"/>
      <c r="I124" s="3623"/>
      <c r="J124" s="3623"/>
      <c r="K124" s="3623"/>
      <c r="L124" s="3623"/>
      <c r="M124" s="3623"/>
      <c r="N124" s="3623"/>
      <c r="O124" s="3623"/>
      <c r="P124" s="3623"/>
      <c r="Q124" s="3624"/>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3"/>
      <c r="B126" s="3604"/>
      <c r="C126" s="3604"/>
      <c r="D126" s="3604"/>
      <c r="E126" s="3604"/>
      <c r="F126" s="3604"/>
      <c r="G126" s="3604"/>
      <c r="H126" s="3604"/>
      <c r="I126" s="3604"/>
      <c r="J126" s="3604"/>
      <c r="K126" s="3604"/>
      <c r="L126" s="3604"/>
      <c r="M126" s="3604"/>
      <c r="N126" s="3604"/>
      <c r="O126" s="3604"/>
      <c r="P126" s="3604"/>
      <c r="Q126" s="3605"/>
    </row>
    <row r="127" spans="1:32" ht="14.1" customHeight="1">
      <c r="A127" s="1384" t="s">
        <v>772</v>
      </c>
      <c r="B127" s="1384" t="s">
        <v>2654</v>
      </c>
      <c r="C127" s="40"/>
      <c r="D127" s="1379"/>
      <c r="E127" s="1379"/>
      <c r="F127" s="1379"/>
      <c r="G127" s="1379"/>
      <c r="H127" s="1379"/>
      <c r="I127" s="1379"/>
      <c r="J127" s="1379"/>
      <c r="K127" s="1379"/>
      <c r="L127" s="1379"/>
      <c r="M127" s="1379"/>
      <c r="O127" s="135" t="s">
        <v>1867</v>
      </c>
      <c r="P127" s="3627"/>
      <c r="Q127" s="3607"/>
    </row>
    <row r="128" spans="1:32" ht="6.6" customHeight="1"/>
    <row r="129" spans="1:17" ht="12" customHeight="1">
      <c r="A129" s="47" t="s">
        <v>1983</v>
      </c>
      <c r="B129" s="52" t="s">
        <v>3636</v>
      </c>
      <c r="D129" s="137"/>
      <c r="E129" s="137"/>
      <c r="F129" s="137"/>
      <c r="G129" s="137"/>
      <c r="H129" s="137"/>
      <c r="I129" s="42"/>
      <c r="J129" s="42"/>
      <c r="K129" s="527" t="s">
        <v>1983</v>
      </c>
      <c r="L129" s="3658" t="s">
        <v>5300</v>
      </c>
      <c r="M129" s="3658"/>
      <c r="N129" s="3658"/>
      <c r="O129" s="3658"/>
      <c r="P129" s="3658"/>
      <c r="Q129" s="616"/>
    </row>
    <row r="130" spans="1:17" ht="12" customHeight="1">
      <c r="A130" s="47" t="s">
        <v>1985</v>
      </c>
      <c r="B130" s="52" t="s">
        <v>1538</v>
      </c>
      <c r="D130" s="137"/>
      <c r="E130" s="137"/>
      <c r="F130" s="137"/>
      <c r="G130" s="137"/>
      <c r="H130" s="137"/>
      <c r="I130" s="42"/>
      <c r="J130" s="42"/>
      <c r="K130" s="137"/>
      <c r="L130" s="1381"/>
      <c r="O130" s="527" t="s">
        <v>1985</v>
      </c>
      <c r="P130" s="1174" t="s">
        <v>2992</v>
      </c>
      <c r="Q130" s="1084"/>
    </row>
    <row r="131" spans="1:17" ht="12" customHeight="1">
      <c r="A131" s="47" t="s">
        <v>749</v>
      </c>
      <c r="B131" s="52" t="s">
        <v>151</v>
      </c>
      <c r="D131" s="137"/>
      <c r="E131" s="137"/>
      <c r="F131" s="137"/>
      <c r="G131" s="137"/>
      <c r="H131" s="137"/>
      <c r="I131" s="42"/>
      <c r="J131" s="42"/>
      <c r="K131" s="1381"/>
      <c r="L131" s="1381"/>
      <c r="O131" s="527" t="s">
        <v>749</v>
      </c>
      <c r="P131" s="239" t="s">
        <v>2989</v>
      </c>
      <c r="Q131" s="1035"/>
    </row>
    <row r="132" spans="1:17" ht="12" customHeight="1">
      <c r="A132" s="47"/>
      <c r="B132" s="1021" t="s">
        <v>1737</v>
      </c>
      <c r="C132" s="52" t="s">
        <v>2687</v>
      </c>
      <c r="E132" s="137"/>
      <c r="F132" s="137"/>
      <c r="G132" s="137"/>
      <c r="H132" s="137"/>
      <c r="I132" s="42"/>
      <c r="J132" s="42"/>
      <c r="K132" s="66" t="s">
        <v>1737</v>
      </c>
      <c r="L132" s="3658" t="s">
        <v>5301</v>
      </c>
      <c r="M132" s="3658"/>
      <c r="N132" s="3658"/>
      <c r="O132" s="3658"/>
      <c r="P132" s="3658"/>
      <c r="Q132" s="616"/>
    </row>
    <row r="133" spans="1:17" ht="12" customHeight="1">
      <c r="A133" s="142"/>
      <c r="B133" s="149" t="s">
        <v>1738</v>
      </c>
      <c r="C133" s="36" t="s">
        <v>3472</v>
      </c>
      <c r="E133" s="42"/>
      <c r="F133" s="42"/>
      <c r="G133" s="42"/>
      <c r="H133" s="52"/>
      <c r="I133" s="42"/>
      <c r="J133" s="42"/>
      <c r="K133" s="137"/>
      <c r="L133" s="1381"/>
      <c r="M133" s="1381"/>
      <c r="O133" s="527" t="s">
        <v>1738</v>
      </c>
      <c r="P133" s="113">
        <v>54.53</v>
      </c>
      <c r="Q133" s="621"/>
    </row>
    <row r="134" spans="1:17" ht="12" customHeight="1">
      <c r="A134" s="142"/>
      <c r="B134" s="40" t="s">
        <v>1739</v>
      </c>
      <c r="C134" s="36" t="s">
        <v>4749</v>
      </c>
      <c r="D134" s="151"/>
      <c r="E134" s="42"/>
      <c r="F134" s="42"/>
      <c r="G134" s="42"/>
      <c r="H134" s="52"/>
      <c r="I134" s="42"/>
      <c r="J134" s="42"/>
      <c r="K134" s="137"/>
      <c r="L134" s="2400"/>
      <c r="M134" s="2400"/>
      <c r="O134" s="527" t="s">
        <v>1739</v>
      </c>
      <c r="P134" s="113" t="s">
        <v>970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2992</v>
      </c>
      <c r="Q136" s="617"/>
    </row>
    <row r="137" spans="1:17" ht="12" customHeight="1">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2992</v>
      </c>
      <c r="Q141" s="618"/>
    </row>
    <row r="142" spans="1:17" ht="12" customHeight="1">
      <c r="A142" s="47"/>
      <c r="B142" s="66"/>
      <c r="C142" s="52" t="s">
        <v>2631</v>
      </c>
      <c r="E142" s="527" t="s">
        <v>2434</v>
      </c>
      <c r="F142" s="52" t="s">
        <v>2635</v>
      </c>
      <c r="G142" s="42"/>
      <c r="H142" s="52"/>
      <c r="I142" s="42"/>
      <c r="J142" s="42"/>
      <c r="K142" s="137"/>
      <c r="L142" s="1381"/>
      <c r="O142" s="527" t="s">
        <v>2434</v>
      </c>
      <c r="P142" s="634"/>
      <c r="Q142" s="976"/>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2494</v>
      </c>
      <c r="E146" s="137"/>
      <c r="F146" s="238" t="s">
        <v>2992</v>
      </c>
      <c r="G146" s="617"/>
      <c r="H146" s="527" t="s">
        <v>4985</v>
      </c>
      <c r="I146" s="55" t="s">
        <v>2639</v>
      </c>
      <c r="L146" s="238" t="s">
        <v>2992</v>
      </c>
      <c r="M146" s="617"/>
      <c r="N146" s="527" t="s">
        <v>4989</v>
      </c>
      <c r="O146" s="52" t="s">
        <v>1552</v>
      </c>
      <c r="P146" s="238" t="s">
        <v>2992</v>
      </c>
      <c r="Q146" s="617"/>
    </row>
    <row r="147" spans="1:32" ht="12" customHeight="1">
      <c r="A147" s="36"/>
      <c r="B147" s="149" t="s">
        <v>1738</v>
      </c>
      <c r="C147" s="52" t="s">
        <v>2802</v>
      </c>
      <c r="E147" s="137"/>
      <c r="F147" s="422" t="s">
        <v>2992</v>
      </c>
      <c r="G147" s="618"/>
      <c r="H147" s="527" t="s">
        <v>4986</v>
      </c>
      <c r="I147" s="55" t="s">
        <v>2640</v>
      </c>
      <c r="L147" s="422" t="s">
        <v>2992</v>
      </c>
      <c r="M147" s="618"/>
      <c r="N147" s="527" t="s">
        <v>4990</v>
      </c>
      <c r="O147" s="52" t="s">
        <v>1551</v>
      </c>
      <c r="P147" s="422" t="s">
        <v>2992</v>
      </c>
      <c r="Q147" s="618"/>
    </row>
    <row r="148" spans="1:32" ht="12" customHeight="1">
      <c r="A148" s="36"/>
      <c r="B148" s="149" t="s">
        <v>1739</v>
      </c>
      <c r="C148" s="52" t="s">
        <v>2638</v>
      </c>
      <c r="E148" s="137"/>
      <c r="F148" s="422" t="s">
        <v>2992</v>
      </c>
      <c r="G148" s="618"/>
      <c r="H148" s="527" t="s">
        <v>4987</v>
      </c>
      <c r="I148" s="55" t="s">
        <v>3847</v>
      </c>
      <c r="L148" s="422" t="s">
        <v>2992</v>
      </c>
      <c r="M148" s="618"/>
      <c r="N148" s="527" t="s">
        <v>4991</v>
      </c>
      <c r="O148" s="52" t="s">
        <v>1553</v>
      </c>
      <c r="P148" s="239" t="s">
        <v>2989</v>
      </c>
      <c r="Q148" s="619"/>
    </row>
    <row r="149" spans="1:32" ht="12" customHeight="1">
      <c r="A149" s="36"/>
      <c r="B149" s="149" t="s">
        <v>2365</v>
      </c>
      <c r="C149" s="52" t="s">
        <v>2805</v>
      </c>
      <c r="E149" s="137"/>
      <c r="F149" s="239" t="s">
        <v>2992</v>
      </c>
      <c r="G149" s="619"/>
      <c r="H149" s="527" t="s">
        <v>4988</v>
      </c>
      <c r="I149" s="52" t="s">
        <v>2801</v>
      </c>
      <c r="L149" s="239" t="s">
        <v>2989</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78"/>
      <c r="D151" s="3678"/>
      <c r="E151" s="3678"/>
      <c r="F151" s="3678"/>
      <c r="G151" s="3678"/>
      <c r="H151" s="3678"/>
      <c r="I151" s="3678"/>
      <c r="J151" s="3678"/>
      <c r="K151" s="3678"/>
      <c r="L151" s="3678"/>
      <c r="M151" s="3678"/>
      <c r="N151" s="3678"/>
      <c r="O151" s="3678"/>
      <c r="P151" s="3678"/>
      <c r="Q151" s="3678"/>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2806</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4967</v>
      </c>
      <c r="E156" s="52"/>
      <c r="F156" s="52"/>
      <c r="G156" s="52"/>
      <c r="H156" s="52"/>
      <c r="I156" s="42"/>
      <c r="J156" s="42"/>
      <c r="K156" s="52"/>
      <c r="L156" s="52"/>
      <c r="M156" s="52"/>
      <c r="O156" s="527" t="s">
        <v>2365</v>
      </c>
      <c r="P156" s="239"/>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1" t="s">
        <v>148</v>
      </c>
      <c r="C158" s="3651"/>
      <c r="D158" s="3651"/>
      <c r="E158" s="3651"/>
      <c r="F158" s="3651"/>
      <c r="G158" s="3651"/>
      <c r="H158" s="3651"/>
      <c r="I158" s="3651"/>
      <c r="J158" s="3651"/>
      <c r="K158" s="3651"/>
      <c r="L158" s="3651"/>
      <c r="M158" s="527" t="s">
        <v>1947</v>
      </c>
      <c r="N158" s="3652" t="s">
        <v>1771</v>
      </c>
      <c r="O158" s="3653"/>
      <c r="P158" s="3654" t="s">
        <v>1771</v>
      </c>
      <c r="Q158" s="3655"/>
      <c r="AE158" s="5"/>
      <c r="AF158" s="5"/>
    </row>
    <row r="159" spans="1:32" ht="11.25" customHeight="1">
      <c r="B159" s="144" t="s">
        <v>3755</v>
      </c>
      <c r="D159" s="144"/>
      <c r="E159" s="144"/>
      <c r="F159" s="144"/>
      <c r="G159" s="144"/>
      <c r="H159" s="40"/>
      <c r="I159" s="1385"/>
      <c r="J159" s="1385"/>
      <c r="K159" s="1385"/>
      <c r="L159" s="1378"/>
      <c r="M159" s="1378"/>
      <c r="N159" s="1378"/>
      <c r="O159" s="1378"/>
      <c r="P159" s="1378"/>
      <c r="Q159" s="1020"/>
    </row>
    <row r="160" spans="1:32" ht="11.45" customHeight="1">
      <c r="A160" s="3622" t="s">
        <v>5319</v>
      </c>
      <c r="B160" s="3623"/>
      <c r="C160" s="3623"/>
      <c r="D160" s="3623"/>
      <c r="E160" s="3623"/>
      <c r="F160" s="3623"/>
      <c r="G160" s="3623"/>
      <c r="H160" s="3623"/>
      <c r="I160" s="3623"/>
      <c r="J160" s="3623"/>
      <c r="K160" s="3623"/>
      <c r="L160" s="3623"/>
      <c r="M160" s="3623"/>
      <c r="N160" s="3623"/>
      <c r="O160" s="3623"/>
      <c r="P160" s="3623"/>
      <c r="Q160" s="362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3"/>
      <c r="B163" s="3604"/>
      <c r="C163" s="3604"/>
      <c r="D163" s="3604"/>
      <c r="E163" s="3604"/>
      <c r="F163" s="3604"/>
      <c r="G163" s="3604"/>
      <c r="H163" s="3604"/>
      <c r="I163" s="3604"/>
      <c r="J163" s="3604"/>
      <c r="K163" s="3604"/>
      <c r="L163" s="3604"/>
      <c r="M163" s="3604"/>
      <c r="N163" s="3604"/>
      <c r="O163" s="3604"/>
      <c r="P163" s="3604"/>
      <c r="Q163" s="3605"/>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2655</v>
      </c>
      <c r="C165" s="1384"/>
      <c r="D165" s="1379"/>
      <c r="E165" s="1379"/>
      <c r="F165" s="1379"/>
      <c r="G165" s="1379"/>
      <c r="H165" s="1379"/>
      <c r="I165" s="1379"/>
      <c r="J165" s="1379"/>
      <c r="K165" s="1379"/>
      <c r="O165" s="135" t="s">
        <v>1867</v>
      </c>
      <c r="P165" s="3627"/>
      <c r="Q165" s="3607"/>
    </row>
    <row r="166" spans="1:32" ht="12" customHeight="1">
      <c r="A166" s="47" t="s">
        <v>1983</v>
      </c>
      <c r="B166" s="52" t="s">
        <v>4750</v>
      </c>
      <c r="D166" s="52"/>
      <c r="E166" s="52"/>
      <c r="F166" s="52"/>
      <c r="G166" s="52"/>
      <c r="H166" s="52" t="s">
        <v>2706</v>
      </c>
      <c r="K166" s="3666">
        <v>44105</v>
      </c>
      <c r="L166" s="3667"/>
      <c r="N166" s="52"/>
      <c r="O166" s="527" t="s">
        <v>1983</v>
      </c>
      <c r="P166" s="98" t="s">
        <v>2989</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68" t="s">
        <v>5302</v>
      </c>
      <c r="O167" s="3669"/>
      <c r="P167" s="3670" t="s">
        <v>1771</v>
      </c>
      <c r="Q167" s="3671"/>
    </row>
    <row r="168" spans="1:32" ht="12" customHeight="1">
      <c r="A168" s="47" t="s">
        <v>749</v>
      </c>
      <c r="B168" s="143" t="s">
        <v>682</v>
      </c>
      <c r="D168" s="143"/>
      <c r="E168" s="143"/>
      <c r="F168" s="143"/>
      <c r="G168" s="143"/>
      <c r="H168" s="143"/>
      <c r="J168" s="527" t="s">
        <v>749</v>
      </c>
      <c r="K168" s="3608" t="s">
        <v>5250</v>
      </c>
      <c r="L168" s="3609"/>
      <c r="M168" s="3609"/>
      <c r="N168" s="3609"/>
      <c r="O168" s="3609"/>
      <c r="P168" s="3610"/>
      <c r="Q168" s="615"/>
    </row>
    <row r="169" spans="1:32" ht="12" customHeight="1">
      <c r="B169" s="144" t="s">
        <v>3755</v>
      </c>
      <c r="D169" s="144"/>
      <c r="E169" s="144"/>
      <c r="F169" s="144"/>
      <c r="G169" s="144"/>
      <c r="H169" s="40"/>
      <c r="I169" s="1385"/>
      <c r="J169" s="1385"/>
      <c r="K169" s="1385"/>
      <c r="L169" s="1378"/>
      <c r="M169" s="1378"/>
      <c r="N169" s="1378"/>
      <c r="O169" s="1378"/>
      <c r="P169" s="1378"/>
      <c r="Q169" s="1020"/>
    </row>
    <row r="170" spans="1:32" ht="11.45" customHeight="1">
      <c r="A170" s="3622"/>
      <c r="B170" s="3623"/>
      <c r="C170" s="3623"/>
      <c r="D170" s="3623"/>
      <c r="E170" s="3623"/>
      <c r="F170" s="3623"/>
      <c r="G170" s="3623"/>
      <c r="H170" s="3623"/>
      <c r="I170" s="3623"/>
      <c r="J170" s="3623"/>
      <c r="K170" s="3623"/>
      <c r="L170" s="3623"/>
      <c r="M170" s="3623"/>
      <c r="N170" s="3623"/>
      <c r="O170" s="3623"/>
      <c r="P170" s="3623"/>
      <c r="Q170" s="3624"/>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3"/>
      <c r="B172" s="3604"/>
      <c r="C172" s="3604"/>
      <c r="D172" s="3604"/>
      <c r="E172" s="3604"/>
      <c r="F172" s="3604"/>
      <c r="G172" s="3604"/>
      <c r="H172" s="3604"/>
      <c r="I172" s="3604"/>
      <c r="J172" s="3604"/>
      <c r="K172" s="3604"/>
      <c r="L172" s="3604"/>
      <c r="M172" s="3604"/>
      <c r="N172" s="3604"/>
      <c r="O172" s="3604"/>
      <c r="P172" s="3604"/>
      <c r="Q172" s="3605"/>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2656</v>
      </c>
      <c r="C174" s="1384"/>
      <c r="D174" s="1379"/>
      <c r="E174" s="1379"/>
      <c r="F174" s="1379"/>
      <c r="G174" s="1379"/>
      <c r="H174" s="1379"/>
      <c r="I174" s="1379"/>
      <c r="J174" s="1379"/>
      <c r="K174" s="1379"/>
      <c r="L174" s="1379"/>
      <c r="M174" s="1379"/>
      <c r="O174" s="135" t="s">
        <v>1867</v>
      </c>
      <c r="P174" s="3627"/>
      <c r="Q174" s="3607"/>
    </row>
    <row r="175" spans="1:32" ht="21.75" customHeight="1">
      <c r="A175" s="145" t="s">
        <v>1983</v>
      </c>
      <c r="B175" s="3651" t="s">
        <v>3744</v>
      </c>
      <c r="C175" s="3651"/>
      <c r="D175" s="3651"/>
      <c r="E175" s="3651"/>
      <c r="F175" s="3651"/>
      <c r="G175" s="3651"/>
      <c r="H175" s="3651"/>
      <c r="I175" s="3651"/>
      <c r="J175" s="3651"/>
      <c r="K175" s="3651"/>
      <c r="L175" s="3651"/>
      <c r="M175" s="3651"/>
      <c r="N175" s="3651"/>
      <c r="O175" s="166" t="s">
        <v>1983</v>
      </c>
      <c r="P175" s="1422" t="s">
        <v>2989</v>
      </c>
      <c r="Q175" s="1421"/>
    </row>
    <row r="176" spans="1:32" ht="22.35" customHeight="1">
      <c r="A176" s="145" t="s">
        <v>1985</v>
      </c>
      <c r="B176" s="3651" t="s">
        <v>4766</v>
      </c>
      <c r="C176" s="3651"/>
      <c r="D176" s="3651"/>
      <c r="E176" s="3651"/>
      <c r="F176" s="3651"/>
      <c r="G176" s="3651"/>
      <c r="H176" s="3651"/>
      <c r="I176" s="3651"/>
      <c r="J176" s="3651"/>
      <c r="K176" s="3651"/>
      <c r="L176" s="3651"/>
      <c r="M176" s="3651"/>
      <c r="N176" s="3651"/>
      <c r="O176" s="166" t="s">
        <v>1985</v>
      </c>
      <c r="P176" s="633" t="s">
        <v>5303</v>
      </c>
      <c r="Q176" s="620"/>
    </row>
    <row r="177" spans="1:32" ht="22.35" customHeight="1">
      <c r="A177" s="145" t="s">
        <v>749</v>
      </c>
      <c r="B177" s="3651" t="s">
        <v>3745</v>
      </c>
      <c r="C177" s="3651"/>
      <c r="D177" s="3651"/>
      <c r="E177" s="3651"/>
      <c r="F177" s="3651"/>
      <c r="G177" s="3651"/>
      <c r="H177" s="3651"/>
      <c r="I177" s="3651"/>
      <c r="J177" s="3651"/>
      <c r="K177" s="3651"/>
      <c r="L177" s="3651"/>
      <c r="M177" s="3651"/>
      <c r="N177" s="3651"/>
      <c r="O177" s="166" t="s">
        <v>749</v>
      </c>
      <c r="P177" s="633" t="s">
        <v>5303</v>
      </c>
      <c r="Q177" s="620"/>
    </row>
    <row r="178" spans="1:32" ht="21.75" customHeight="1">
      <c r="A178" s="145" t="s">
        <v>2115</v>
      </c>
      <c r="B178" s="3651" t="s">
        <v>4912</v>
      </c>
      <c r="C178" s="3651"/>
      <c r="D178" s="3651"/>
      <c r="E178" s="3651"/>
      <c r="F178" s="3651"/>
      <c r="G178" s="3651"/>
      <c r="H178" s="3651"/>
      <c r="I178" s="3651"/>
      <c r="J178" s="3651"/>
      <c r="K178" s="3651"/>
      <c r="L178" s="3651"/>
      <c r="M178" s="3651"/>
      <c r="N178" s="3651"/>
      <c r="O178" s="166" t="s">
        <v>2115</v>
      </c>
      <c r="P178" s="1426" t="s">
        <v>5303</v>
      </c>
      <c r="Q178" s="1423"/>
    </row>
    <row r="179" spans="1:32" ht="12" customHeight="1">
      <c r="B179" s="144" t="s">
        <v>3755</v>
      </c>
      <c r="D179" s="144"/>
      <c r="E179" s="144"/>
      <c r="F179" s="144"/>
      <c r="G179" s="144"/>
      <c r="H179" s="40"/>
      <c r="I179" s="1385"/>
      <c r="J179" s="1385"/>
      <c r="K179" s="1385"/>
      <c r="L179" s="1378"/>
      <c r="M179" s="1378"/>
      <c r="N179" s="1378"/>
      <c r="O179" s="1378"/>
      <c r="P179" s="1378"/>
      <c r="Q179" s="1020"/>
    </row>
    <row r="180" spans="1:32" ht="11.45" customHeight="1">
      <c r="A180" s="3622"/>
      <c r="B180" s="3623"/>
      <c r="C180" s="3623"/>
      <c r="D180" s="3623"/>
      <c r="E180" s="3623"/>
      <c r="F180" s="3623"/>
      <c r="G180" s="3623"/>
      <c r="H180" s="3623"/>
      <c r="I180" s="3623"/>
      <c r="J180" s="3623"/>
      <c r="K180" s="3623"/>
      <c r="L180" s="3623"/>
      <c r="M180" s="3623"/>
      <c r="N180" s="3623"/>
      <c r="O180" s="3623"/>
      <c r="P180" s="3623"/>
      <c r="Q180" s="3624"/>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3"/>
      <c r="B182" s="3604"/>
      <c r="C182" s="3604"/>
      <c r="D182" s="3604"/>
      <c r="E182" s="3604"/>
      <c r="F182" s="3604"/>
      <c r="G182" s="3604"/>
      <c r="H182" s="3604"/>
      <c r="I182" s="3604"/>
      <c r="J182" s="3604"/>
      <c r="K182" s="3604"/>
      <c r="L182" s="3604"/>
      <c r="M182" s="3604"/>
      <c r="N182" s="3604"/>
      <c r="O182" s="3604"/>
      <c r="P182" s="3604"/>
      <c r="Q182" s="3605"/>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0" t="s">
        <v>2657</v>
      </c>
      <c r="C184" s="3500"/>
      <c r="D184" s="3500"/>
      <c r="O184" s="135" t="s">
        <v>1867</v>
      </c>
      <c r="P184" s="3627"/>
      <c r="Q184" s="3607"/>
    </row>
    <row r="185" spans="1:32" ht="12" customHeight="1">
      <c r="A185" s="145" t="s">
        <v>1983</v>
      </c>
      <c r="B185" s="1002" t="s">
        <v>468</v>
      </c>
      <c r="D185" s="1002"/>
      <c r="E185" s="1002"/>
      <c r="F185" s="1002"/>
      <c r="G185" s="1002"/>
      <c r="H185" s="1002"/>
      <c r="I185" s="1002"/>
      <c r="J185" s="1002"/>
      <c r="K185" s="1002"/>
      <c r="L185" s="1002"/>
      <c r="M185" s="1002"/>
      <c r="O185" s="166" t="s">
        <v>1983</v>
      </c>
      <c r="P185" s="238" t="s">
        <v>2989</v>
      </c>
      <c r="Q185" s="617"/>
    </row>
    <row r="186" spans="1:32" ht="12" customHeight="1">
      <c r="A186" s="145" t="s">
        <v>1985</v>
      </c>
      <c r="B186" s="1002" t="s">
        <v>2642</v>
      </c>
      <c r="D186" s="1002"/>
      <c r="E186" s="1002"/>
      <c r="F186" s="1002"/>
      <c r="G186" s="1002"/>
      <c r="H186" s="1002"/>
      <c r="I186" s="1002"/>
      <c r="J186" s="1002"/>
      <c r="K186" s="1002"/>
      <c r="L186" s="1002"/>
      <c r="M186" s="1002"/>
      <c r="O186" s="166" t="s">
        <v>1985</v>
      </c>
      <c r="P186" s="422" t="s">
        <v>2989</v>
      </c>
      <c r="Q186" s="618"/>
    </row>
    <row r="187" spans="1:32" ht="12" customHeight="1">
      <c r="A187" s="145" t="s">
        <v>749</v>
      </c>
      <c r="B187" s="1002" t="s">
        <v>2643</v>
      </c>
      <c r="D187" s="1002"/>
      <c r="E187" s="1002"/>
      <c r="F187" s="1002"/>
      <c r="G187" s="1002"/>
      <c r="H187" s="1002"/>
      <c r="I187" s="1002"/>
      <c r="J187" s="143" t="s">
        <v>4929</v>
      </c>
      <c r="L187" s="1002"/>
      <c r="M187" s="1002"/>
      <c r="O187" s="166" t="s">
        <v>749</v>
      </c>
      <c r="P187" s="422" t="s">
        <v>2989</v>
      </c>
      <c r="Q187" s="618"/>
    </row>
    <row r="188" spans="1:32" ht="12" customHeight="1">
      <c r="B188" s="40" t="s">
        <v>1737</v>
      </c>
      <c r="C188" s="1021" t="s">
        <v>2644</v>
      </c>
      <c r="G188" s="1002"/>
      <c r="H188" s="1002"/>
      <c r="J188" s="1002"/>
      <c r="K188" s="1002"/>
      <c r="L188" s="1002"/>
      <c r="M188" s="1002"/>
      <c r="O188" s="507" t="s">
        <v>1737</v>
      </c>
      <c r="P188" s="422" t="s">
        <v>2989</v>
      </c>
      <c r="Q188" s="618"/>
    </row>
    <row r="189" spans="1:32" ht="12" customHeight="1">
      <c r="A189" s="143"/>
      <c r="B189" s="40" t="s">
        <v>1738</v>
      </c>
      <c r="C189" s="1021" t="s">
        <v>2645</v>
      </c>
      <c r="G189" s="1002"/>
      <c r="H189" s="1002"/>
      <c r="I189" s="1002"/>
      <c r="J189" s="1002"/>
      <c r="K189" s="1002"/>
      <c r="L189" s="1002"/>
      <c r="M189" s="1002"/>
      <c r="O189" s="507" t="s">
        <v>1738</v>
      </c>
      <c r="P189" s="422" t="s">
        <v>2989</v>
      </c>
      <c r="Q189" s="618"/>
    </row>
    <row r="190" spans="1:32" s="136" customFormat="1" ht="21.75" customHeight="1">
      <c r="A190" s="145"/>
      <c r="B190" s="541" t="s">
        <v>1739</v>
      </c>
      <c r="C190" s="3651" t="s">
        <v>3746</v>
      </c>
      <c r="D190" s="3651"/>
      <c r="E190" s="3651"/>
      <c r="F190" s="3651"/>
      <c r="G190" s="3651"/>
      <c r="H190" s="3651"/>
      <c r="I190" s="3651"/>
      <c r="J190" s="3651"/>
      <c r="K190" s="3651"/>
      <c r="L190" s="3651"/>
      <c r="M190" s="3651"/>
      <c r="N190" s="3651"/>
      <c r="O190" s="166" t="s">
        <v>1739</v>
      </c>
      <c r="P190" s="633" t="s">
        <v>2989</v>
      </c>
      <c r="Q190" s="620"/>
      <c r="AE190" s="530"/>
      <c r="AF190" s="530"/>
    </row>
    <row r="191" spans="1:32" ht="12" customHeight="1">
      <c r="A191" s="145"/>
      <c r="B191" s="40" t="s">
        <v>2365</v>
      </c>
      <c r="C191" s="1021" t="s">
        <v>2646</v>
      </c>
      <c r="G191" s="1002"/>
      <c r="H191" s="1002"/>
      <c r="I191" s="1002"/>
      <c r="J191" s="1002"/>
      <c r="K191" s="1002"/>
      <c r="L191" s="1002"/>
      <c r="M191" s="1002"/>
      <c r="O191" s="507" t="s">
        <v>2365</v>
      </c>
      <c r="P191" s="422" t="s">
        <v>2989</v>
      </c>
      <c r="Q191" s="618"/>
    </row>
    <row r="192" spans="1:32" s="136" customFormat="1" ht="21.75" customHeight="1">
      <c r="A192" s="145"/>
      <c r="B192" s="541" t="s">
        <v>1549</v>
      </c>
      <c r="C192" s="3651" t="s">
        <v>2647</v>
      </c>
      <c r="D192" s="3651"/>
      <c r="E192" s="3651"/>
      <c r="F192" s="3651"/>
      <c r="G192" s="3651"/>
      <c r="H192" s="3651"/>
      <c r="I192" s="3651"/>
      <c r="J192" s="3651"/>
      <c r="K192" s="3651"/>
      <c r="L192" s="3651"/>
      <c r="M192" s="3651"/>
      <c r="N192" s="3651"/>
      <c r="O192" s="166" t="s">
        <v>1549</v>
      </c>
      <c r="P192" s="633" t="s">
        <v>5303</v>
      </c>
      <c r="Q192" s="620"/>
      <c r="AE192" s="530"/>
      <c r="AF192" s="530"/>
    </row>
    <row r="193" spans="1:32" s="136" customFormat="1" ht="21.75" customHeight="1">
      <c r="A193" s="145"/>
      <c r="B193" s="541" t="s">
        <v>1550</v>
      </c>
      <c r="C193" s="3651" t="s">
        <v>3899</v>
      </c>
      <c r="D193" s="3651"/>
      <c r="E193" s="3651"/>
      <c r="F193" s="3651"/>
      <c r="G193" s="3651"/>
      <c r="H193" s="3651"/>
      <c r="I193" s="3651"/>
      <c r="J193" s="3651"/>
      <c r="K193" s="3651"/>
      <c r="L193" s="3651"/>
      <c r="M193" s="3651"/>
      <c r="N193" s="3651"/>
      <c r="O193" s="166" t="s">
        <v>1550</v>
      </c>
      <c r="P193" s="633" t="s">
        <v>2989</v>
      </c>
      <c r="Q193" s="620"/>
      <c r="AE193" s="530"/>
      <c r="AF193" s="530"/>
    </row>
    <row r="194" spans="1:32" ht="21.75" customHeight="1">
      <c r="A194" s="145" t="s">
        <v>2115</v>
      </c>
      <c r="B194" s="3651" t="s">
        <v>2648</v>
      </c>
      <c r="C194" s="3651"/>
      <c r="D194" s="3651"/>
      <c r="E194" s="3651"/>
      <c r="F194" s="3651"/>
      <c r="G194" s="3651"/>
      <c r="H194" s="3651"/>
      <c r="I194" s="3651"/>
      <c r="J194" s="3651"/>
      <c r="K194" s="3651"/>
      <c r="L194" s="3651"/>
      <c r="M194" s="3651"/>
      <c r="N194" s="3651"/>
      <c r="O194" s="166" t="s">
        <v>2115</v>
      </c>
      <c r="P194" s="633" t="s">
        <v>2989</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2989</v>
      </c>
      <c r="Q195" s="619"/>
    </row>
    <row r="196" spans="1:32" ht="12" customHeight="1">
      <c r="B196" s="144" t="s">
        <v>3755</v>
      </c>
      <c r="D196" s="144"/>
      <c r="E196" s="144"/>
      <c r="F196" s="144"/>
      <c r="G196" s="144"/>
      <c r="H196" s="40"/>
      <c r="I196" s="1385"/>
      <c r="J196" s="1385"/>
      <c r="K196" s="1385"/>
      <c r="L196" s="1378"/>
      <c r="M196" s="1378"/>
      <c r="N196" s="1378"/>
      <c r="O196" s="1378"/>
      <c r="P196" s="1378"/>
      <c r="Q196" s="1020"/>
    </row>
    <row r="197" spans="1:32" ht="11.45" customHeight="1">
      <c r="A197" s="3622" t="s">
        <v>5304</v>
      </c>
      <c r="B197" s="3623"/>
      <c r="C197" s="3623"/>
      <c r="D197" s="3623"/>
      <c r="E197" s="3623"/>
      <c r="F197" s="3623"/>
      <c r="G197" s="3623"/>
      <c r="H197" s="3623"/>
      <c r="I197" s="3623"/>
      <c r="J197" s="3623"/>
      <c r="K197" s="3623"/>
      <c r="L197" s="3623"/>
      <c r="M197" s="3623"/>
      <c r="N197" s="3623"/>
      <c r="O197" s="3623"/>
      <c r="P197" s="3623"/>
      <c r="Q197" s="3624"/>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3"/>
      <c r="B199" s="3604"/>
      <c r="C199" s="3604"/>
      <c r="D199" s="3604"/>
      <c r="E199" s="3604"/>
      <c r="F199" s="3604"/>
      <c r="G199" s="3604"/>
      <c r="H199" s="3604"/>
      <c r="I199" s="3604"/>
      <c r="J199" s="3604"/>
      <c r="K199" s="3604"/>
      <c r="L199" s="3604"/>
      <c r="M199" s="3604"/>
      <c r="N199" s="3604"/>
      <c r="O199" s="3604"/>
      <c r="P199" s="3604"/>
      <c r="Q199" s="3605"/>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2658</v>
      </c>
      <c r="C201" s="1384"/>
      <c r="D201" s="1379"/>
      <c r="E201" s="150"/>
      <c r="F201" s="150"/>
      <c r="G201" s="1379"/>
      <c r="J201" s="1022"/>
      <c r="K201" s="1022"/>
      <c r="L201" s="1022"/>
      <c r="M201" s="1022"/>
      <c r="N201" s="1022"/>
      <c r="O201" s="135" t="s">
        <v>1867</v>
      </c>
      <c r="P201" s="3627"/>
      <c r="Q201" s="3607"/>
    </row>
    <row r="202" spans="1:32" ht="22.5" customHeight="1">
      <c r="A202" s="3665" t="s">
        <v>5082</v>
      </c>
      <c r="B202" s="3665"/>
      <c r="C202" s="3665"/>
      <c r="D202" s="3665"/>
      <c r="E202" s="3665"/>
      <c r="F202" s="3665"/>
      <c r="G202" s="3665"/>
      <c r="H202" s="3665"/>
      <c r="I202" s="3665"/>
      <c r="J202" s="3665"/>
      <c r="K202" s="3665"/>
      <c r="L202" s="3665"/>
      <c r="M202" s="3665"/>
      <c r="N202" s="3665"/>
      <c r="O202" s="3665"/>
      <c r="P202" s="3665"/>
      <c r="Q202" s="3665"/>
    </row>
    <row r="203" spans="1:32" ht="11.25" customHeight="1">
      <c r="A203" s="142"/>
      <c r="B203" s="143" t="s">
        <v>97</v>
      </c>
      <c r="D203" s="143"/>
      <c r="E203" s="143"/>
      <c r="F203" s="143"/>
      <c r="G203" s="143"/>
      <c r="H203" s="66" t="s">
        <v>1737</v>
      </c>
      <c r="I203" s="52" t="s">
        <v>152</v>
      </c>
      <c r="J203" s="3662" t="s">
        <v>5305</v>
      </c>
      <c r="K203" s="3663"/>
      <c r="L203" s="3663"/>
      <c r="M203" s="3663"/>
      <c r="N203" s="3664"/>
      <c r="O203" s="66" t="s">
        <v>1737</v>
      </c>
      <c r="P203" s="238" t="s">
        <v>2989</v>
      </c>
      <c r="Q203" s="617"/>
    </row>
    <row r="204" spans="1:32" ht="11.25" customHeight="1">
      <c r="A204" s="142"/>
      <c r="B204" s="144" t="s">
        <v>3755</v>
      </c>
      <c r="C204" s="107"/>
      <c r="D204" s="107"/>
      <c r="E204" s="107"/>
      <c r="F204" s="107"/>
      <c r="H204" s="66" t="s">
        <v>1738</v>
      </c>
      <c r="I204" s="52" t="s">
        <v>1596</v>
      </c>
      <c r="J204" s="3659" t="s">
        <v>5306</v>
      </c>
      <c r="K204" s="3660"/>
      <c r="L204" s="3660"/>
      <c r="M204" s="3660"/>
      <c r="N204" s="3661"/>
      <c r="O204" s="66" t="s">
        <v>1738</v>
      </c>
      <c r="P204" s="239" t="s">
        <v>2989</v>
      </c>
      <c r="Q204" s="619"/>
    </row>
    <row r="205" spans="1:32" ht="11.45" customHeight="1">
      <c r="A205" s="3622"/>
      <c r="B205" s="3623"/>
      <c r="C205" s="3623"/>
      <c r="D205" s="3623"/>
      <c r="E205" s="3623"/>
      <c r="F205" s="3623"/>
      <c r="G205" s="3623"/>
      <c r="H205" s="3623"/>
      <c r="I205" s="3623"/>
      <c r="J205" s="3623"/>
      <c r="K205" s="3623"/>
      <c r="L205" s="3623"/>
      <c r="M205" s="3623"/>
      <c r="N205" s="3623"/>
      <c r="O205" s="3623"/>
      <c r="P205" s="3623"/>
      <c r="Q205" s="3624"/>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3"/>
      <c r="B207" s="3604"/>
      <c r="C207" s="3604"/>
      <c r="D207" s="3604"/>
      <c r="E207" s="3604"/>
      <c r="F207" s="3604"/>
      <c r="G207" s="3604"/>
      <c r="H207" s="3604"/>
      <c r="I207" s="3604"/>
      <c r="J207" s="3604"/>
      <c r="K207" s="3604"/>
      <c r="L207" s="3604"/>
      <c r="M207" s="3604"/>
      <c r="N207" s="3604"/>
      <c r="O207" s="3604"/>
      <c r="P207" s="3604"/>
      <c r="Q207" s="3605"/>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2659</v>
      </c>
      <c r="C209" s="4"/>
      <c r="D209" s="88"/>
      <c r="E209" s="88"/>
      <c r="F209" s="88"/>
      <c r="G209" s="1379"/>
      <c r="H209" s="1379"/>
      <c r="I209" s="1379"/>
      <c r="J209" s="1379"/>
      <c r="K209" s="1379"/>
      <c r="L209" s="1379"/>
      <c r="M209" s="1379"/>
      <c r="O209" s="135" t="s">
        <v>1867</v>
      </c>
      <c r="P209" s="3627"/>
      <c r="Q209" s="3607"/>
    </row>
    <row r="210" spans="1:32" ht="11.45" customHeight="1">
      <c r="A210" s="145" t="s">
        <v>1983</v>
      </c>
      <c r="B210" s="3651" t="s">
        <v>1849</v>
      </c>
      <c r="C210" s="3651"/>
      <c r="D210" s="3651"/>
      <c r="E210" s="3651"/>
      <c r="F210" s="3651"/>
      <c r="G210" s="3651"/>
      <c r="H210" s="66" t="s">
        <v>1737</v>
      </c>
      <c r="I210" s="52" t="s">
        <v>635</v>
      </c>
      <c r="J210" s="3662" t="s">
        <v>5308</v>
      </c>
      <c r="K210" s="3663"/>
      <c r="L210" s="3663"/>
      <c r="M210" s="3663"/>
      <c r="N210" s="3664"/>
      <c r="O210" s="166" t="s">
        <v>1486</v>
      </c>
      <c r="P210" s="2707" t="s">
        <v>2989</v>
      </c>
      <c r="Q210" s="2708"/>
    </row>
    <row r="211" spans="1:32" ht="11.45" customHeight="1">
      <c r="A211" s="154"/>
      <c r="B211" s="3651"/>
      <c r="C211" s="3651"/>
      <c r="D211" s="3651"/>
      <c r="E211" s="3651"/>
      <c r="F211" s="3651"/>
      <c r="G211" s="3651"/>
      <c r="H211" s="66" t="s">
        <v>1738</v>
      </c>
      <c r="I211" s="52" t="s">
        <v>116</v>
      </c>
      <c r="J211" s="3659" t="s">
        <v>5308</v>
      </c>
      <c r="K211" s="3660"/>
      <c r="L211" s="3660"/>
      <c r="M211" s="3660"/>
      <c r="N211" s="3661"/>
      <c r="O211" s="166" t="s">
        <v>1738</v>
      </c>
      <c r="P211" s="422" t="s">
        <v>2989</v>
      </c>
      <c r="Q211" s="618"/>
    </row>
    <row r="212" spans="1:32" ht="12" customHeight="1">
      <c r="A212" s="145" t="s">
        <v>1985</v>
      </c>
      <c r="B212" s="52" t="s">
        <v>3905</v>
      </c>
      <c r="D212" s="52"/>
      <c r="E212" s="52"/>
      <c r="F212" s="52"/>
      <c r="G212" s="52"/>
      <c r="H212" s="52"/>
      <c r="I212" s="52"/>
      <c r="J212" s="52"/>
      <c r="K212" s="42"/>
      <c r="L212" s="52"/>
      <c r="M212" s="52"/>
      <c r="O212" s="527" t="s">
        <v>1985</v>
      </c>
      <c r="P212" s="422" t="s">
        <v>2992</v>
      </c>
      <c r="Q212" s="618"/>
    </row>
    <row r="213" spans="1:32" ht="12" customHeight="1">
      <c r="A213" s="47" t="s">
        <v>749</v>
      </c>
      <c r="B213" s="52" t="s">
        <v>3906</v>
      </c>
      <c r="D213" s="52"/>
      <c r="E213" s="52"/>
      <c r="F213" s="52"/>
      <c r="G213" s="52"/>
      <c r="H213" s="52"/>
      <c r="I213" s="52"/>
      <c r="J213" s="52"/>
      <c r="K213" s="42"/>
      <c r="L213" s="52"/>
      <c r="M213" s="52"/>
      <c r="O213" s="527" t="s">
        <v>749</v>
      </c>
      <c r="P213" s="239" t="s">
        <v>2992</v>
      </c>
      <c r="Q213" s="619"/>
    </row>
    <row r="214" spans="1:32" ht="11.25" customHeight="1">
      <c r="B214" s="144" t="s">
        <v>3755</v>
      </c>
      <c r="D214" s="144"/>
      <c r="E214" s="144"/>
      <c r="F214" s="144"/>
      <c r="G214" s="144"/>
      <c r="H214" s="40"/>
      <c r="I214" s="1385"/>
      <c r="J214" s="1385"/>
      <c r="K214" s="1385"/>
      <c r="L214" s="1378"/>
      <c r="M214" s="1378"/>
      <c r="N214" s="1378"/>
      <c r="O214" s="1378"/>
      <c r="P214" s="1378"/>
      <c r="Q214" s="1020"/>
    </row>
    <row r="215" spans="1:32" ht="11.45" customHeight="1">
      <c r="A215" s="3622"/>
      <c r="B215" s="3623"/>
      <c r="C215" s="3623"/>
      <c r="D215" s="3623"/>
      <c r="E215" s="3623"/>
      <c r="F215" s="3623"/>
      <c r="G215" s="3623"/>
      <c r="H215" s="3623"/>
      <c r="I215" s="3623"/>
      <c r="J215" s="3623"/>
      <c r="K215" s="3623"/>
      <c r="L215" s="3623"/>
      <c r="M215" s="3623"/>
      <c r="N215" s="3623"/>
      <c r="O215" s="3623"/>
      <c r="P215" s="3623"/>
      <c r="Q215" s="3624"/>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3"/>
      <c r="B217" s="3604"/>
      <c r="C217" s="3604"/>
      <c r="D217" s="3604"/>
      <c r="E217" s="3604"/>
      <c r="F217" s="3604"/>
      <c r="G217" s="3604"/>
      <c r="H217" s="3604"/>
      <c r="I217" s="3604"/>
      <c r="J217" s="3604"/>
      <c r="K217" s="3604"/>
      <c r="L217" s="3604"/>
      <c r="M217" s="3604"/>
      <c r="N217" s="3604"/>
      <c r="O217" s="3604"/>
      <c r="P217" s="3604"/>
      <c r="Q217" s="3605"/>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2660</v>
      </c>
      <c r="C219" s="117"/>
      <c r="D219" s="1379"/>
      <c r="E219" s="1379"/>
      <c r="F219" s="1379"/>
      <c r="G219" s="1379"/>
      <c r="H219" s="1379"/>
      <c r="I219" s="1379"/>
      <c r="J219" s="1379"/>
      <c r="K219" s="1379"/>
      <c r="L219" s="1379"/>
      <c r="M219" s="1379"/>
      <c r="O219" s="135" t="s">
        <v>1867</v>
      </c>
      <c r="P219" s="3627"/>
      <c r="Q219" s="3607"/>
    </row>
    <row r="220" spans="1:32" s="27" customFormat="1" ht="11.45" customHeight="1">
      <c r="B220" s="148" t="s">
        <v>1192</v>
      </c>
      <c r="N220" s="124"/>
      <c r="P220" s="98" t="s">
        <v>2992</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5217</v>
      </c>
      <c r="Q221" s="617"/>
    </row>
    <row r="222" spans="1:32" ht="11.45" customHeight="1">
      <c r="A222" s="47"/>
      <c r="B222" s="149" t="s">
        <v>1737</v>
      </c>
      <c r="C222" s="52" t="s">
        <v>1931</v>
      </c>
      <c r="E222" s="52"/>
      <c r="F222" s="52"/>
      <c r="G222" s="52"/>
      <c r="H222" s="52"/>
      <c r="I222" s="42"/>
      <c r="J222" s="66" t="s">
        <v>1486</v>
      </c>
      <c r="K222" s="3662" t="s">
        <v>5214</v>
      </c>
      <c r="L222" s="3664"/>
      <c r="Q222" s="618"/>
    </row>
    <row r="223" spans="1:32" ht="11.45" customHeight="1">
      <c r="A223" s="47"/>
      <c r="B223" s="149" t="s">
        <v>1738</v>
      </c>
      <c r="C223" s="1021" t="s">
        <v>4751</v>
      </c>
      <c r="E223" s="1021"/>
      <c r="F223" s="1021"/>
      <c r="G223" s="1021"/>
      <c r="H223" s="1021"/>
      <c r="I223" s="42"/>
      <c r="J223" s="66" t="s">
        <v>1487</v>
      </c>
      <c r="K223" s="3757" t="s">
        <v>5218</v>
      </c>
      <c r="L223" s="3758"/>
      <c r="M223" s="3754" t="s">
        <v>2723</v>
      </c>
      <c r="N223" s="3755"/>
      <c r="O223" s="3755"/>
      <c r="P223" s="3756"/>
      <c r="Q223" s="618"/>
    </row>
    <row r="224" spans="1:32" ht="11.45" customHeight="1">
      <c r="A224" s="47"/>
      <c r="B224" s="40" t="s">
        <v>1739</v>
      </c>
      <c r="C224" s="1021" t="s">
        <v>4754</v>
      </c>
      <c r="D224" s="151"/>
      <c r="E224" s="1021"/>
      <c r="F224" s="1021"/>
      <c r="G224" s="1021"/>
      <c r="H224" s="1021"/>
      <c r="I224" s="96"/>
      <c r="J224" s="527" t="s">
        <v>1488</v>
      </c>
      <c r="K224" s="3762" t="s">
        <v>5215</v>
      </c>
      <c r="L224" s="3763"/>
      <c r="M224" s="3763"/>
      <c r="N224" s="3764"/>
      <c r="O224" s="2405"/>
      <c r="P224" s="1451"/>
      <c r="Q224" s="618"/>
      <c r="R224" s="42"/>
    </row>
    <row r="225" spans="1:32" ht="11.45" customHeight="1">
      <c r="A225" s="47"/>
      <c r="B225" s="40" t="s">
        <v>2365</v>
      </c>
      <c r="C225" s="1021" t="s">
        <v>4753</v>
      </c>
      <c r="D225" s="151"/>
      <c r="E225" s="1021"/>
      <c r="F225" s="1021"/>
      <c r="G225" s="1021"/>
      <c r="H225" s="1021"/>
      <c r="I225" s="96"/>
      <c r="J225" s="527" t="s">
        <v>4752</v>
      </c>
      <c r="K225" s="3659" t="s">
        <v>5216</v>
      </c>
      <c r="L225" s="3660"/>
      <c r="M225" s="3660"/>
      <c r="N225" s="3661"/>
      <c r="O225" s="131"/>
      <c r="P225" s="2404"/>
      <c r="Q225" s="619"/>
      <c r="R225" s="42"/>
    </row>
    <row r="226" spans="1:32" ht="11.25" customHeight="1">
      <c r="A226" s="47" t="s">
        <v>1985</v>
      </c>
      <c r="B226" s="52" t="s">
        <v>2508</v>
      </c>
      <c r="D226" s="52"/>
      <c r="E226" s="52"/>
      <c r="F226" s="52"/>
      <c r="G226" s="52"/>
      <c r="H226" s="52"/>
      <c r="I226" s="52"/>
      <c r="J226" s="52"/>
      <c r="K226" s="42"/>
      <c r="L226" s="42"/>
      <c r="M226" s="42"/>
      <c r="N226" s="42"/>
      <c r="O226" s="527" t="s">
        <v>1985</v>
      </c>
      <c r="P226" s="98" t="s">
        <v>5217</v>
      </c>
      <c r="Q226" s="615"/>
    </row>
    <row r="227" spans="1:32" ht="11.1" customHeight="1">
      <c r="A227" s="47"/>
      <c r="B227" s="52" t="s">
        <v>4980</v>
      </c>
      <c r="D227" s="52"/>
      <c r="E227" s="52"/>
      <c r="F227" s="52"/>
      <c r="G227" s="52"/>
      <c r="H227" s="52"/>
      <c r="I227" s="52"/>
      <c r="J227" s="52"/>
      <c r="K227" s="42"/>
      <c r="L227" s="42"/>
      <c r="M227" s="42"/>
      <c r="N227" s="527" t="s">
        <v>3605</v>
      </c>
      <c r="O227" s="2602">
        <f>'Part VI-Revenues &amp; Expenses'!$O$67</f>
        <v>76</v>
      </c>
      <c r="P227" s="3765" t="s">
        <v>4982</v>
      </c>
      <c r="Q227" s="3766"/>
    </row>
    <row r="228" spans="1:32" ht="11.1" customHeight="1">
      <c r="A228" s="47"/>
      <c r="B228" s="149" t="s">
        <v>1737</v>
      </c>
      <c r="C228" s="52" t="s">
        <v>4983</v>
      </c>
      <c r="D228" s="52"/>
      <c r="E228" s="52"/>
      <c r="F228" s="52"/>
      <c r="H228" s="527" t="s">
        <v>4984</v>
      </c>
      <c r="I228" s="52" t="s">
        <v>4993</v>
      </c>
      <c r="M228" s="42"/>
      <c r="N228" s="42"/>
      <c r="O228" s="324"/>
      <c r="P228" s="2577" t="s">
        <v>773</v>
      </c>
      <c r="Q228" s="2578" t="s">
        <v>4981</v>
      </c>
    </row>
    <row r="229" spans="1:32" s="43" customFormat="1" ht="11.45" customHeight="1">
      <c r="A229" s="51"/>
      <c r="B229" s="527" t="s">
        <v>2116</v>
      </c>
      <c r="C229" s="3767" t="s">
        <v>1654</v>
      </c>
      <c r="D229" s="3768"/>
      <c r="E229" s="3768"/>
      <c r="F229" s="3768"/>
      <c r="G229" s="3769"/>
      <c r="H229" s="527" t="s">
        <v>2116</v>
      </c>
      <c r="I229" s="3656" t="s">
        <v>4179</v>
      </c>
      <c r="J229" s="3092"/>
      <c r="K229" s="3092"/>
      <c r="L229" s="3092"/>
      <c r="M229" s="3092"/>
      <c r="N229" s="3092"/>
      <c r="O229" s="3657"/>
      <c r="P229" s="617"/>
      <c r="Q229" s="623"/>
      <c r="AE229" s="54"/>
      <c r="AF229" s="54"/>
    </row>
    <row r="230" spans="1:32" s="43" customFormat="1" ht="11.45" customHeight="1">
      <c r="A230" s="51"/>
      <c r="B230" s="527" t="s">
        <v>2117</v>
      </c>
      <c r="C230" s="3771" t="s">
        <v>2103</v>
      </c>
      <c r="D230" s="3772"/>
      <c r="E230" s="3772"/>
      <c r="F230" s="3772"/>
      <c r="G230" s="3773"/>
      <c r="H230" s="527" t="s">
        <v>2117</v>
      </c>
      <c r="I230" s="3112"/>
      <c r="J230" s="3063"/>
      <c r="K230" s="3063"/>
      <c r="L230" s="3063"/>
      <c r="M230" s="3063"/>
      <c r="N230" s="3063"/>
      <c r="O230" s="3064"/>
      <c r="P230" s="618"/>
      <c r="Q230" s="2534"/>
      <c r="AE230" s="54"/>
      <c r="AF230" s="54"/>
    </row>
    <row r="231" spans="1:32" s="43" customFormat="1" ht="11.45" customHeight="1">
      <c r="A231" s="51"/>
      <c r="B231" s="527" t="s">
        <v>1734</v>
      </c>
      <c r="C231" s="3771"/>
      <c r="D231" s="3772"/>
      <c r="E231" s="3772"/>
      <c r="F231" s="3772"/>
      <c r="G231" s="3773"/>
      <c r="H231" s="527" t="s">
        <v>1734</v>
      </c>
      <c r="I231" s="3112" t="s">
        <v>4179</v>
      </c>
      <c r="J231" s="3063"/>
      <c r="K231" s="3063"/>
      <c r="L231" s="3063"/>
      <c r="M231" s="3063"/>
      <c r="N231" s="3063"/>
      <c r="O231" s="3064"/>
      <c r="P231" s="618"/>
      <c r="Q231" s="2534"/>
      <c r="AE231" s="54"/>
      <c r="AF231" s="54"/>
    </row>
    <row r="232" spans="1:32" s="43" customFormat="1" ht="11.45" customHeight="1">
      <c r="A232" s="51"/>
      <c r="B232" s="527" t="s">
        <v>4992</v>
      </c>
      <c r="C232" s="3759"/>
      <c r="D232" s="3760"/>
      <c r="E232" s="3760"/>
      <c r="F232" s="3760"/>
      <c r="G232" s="3761"/>
      <c r="H232" s="527" t="s">
        <v>4992</v>
      </c>
      <c r="I232" s="3150"/>
      <c r="J232" s="3116"/>
      <c r="K232" s="3116"/>
      <c r="L232" s="3116"/>
      <c r="M232" s="3116"/>
      <c r="N232" s="3116"/>
      <c r="O232" s="311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5217</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21" t="s">
        <v>2807</v>
      </c>
      <c r="E235" s="1021"/>
      <c r="F235" s="1021"/>
      <c r="L235" s="33"/>
      <c r="M235" s="33"/>
      <c r="O235" s="66" t="s">
        <v>1738</v>
      </c>
      <c r="P235" s="422" t="s">
        <v>2989</v>
      </c>
      <c r="Q235" s="618"/>
    </row>
    <row r="236" spans="1:32" ht="11.45" customHeight="1">
      <c r="B236" s="149" t="s">
        <v>1739</v>
      </c>
      <c r="C236" s="1021" t="s">
        <v>2808</v>
      </c>
      <c r="E236" s="1021"/>
      <c r="F236" s="1021"/>
      <c r="G236" s="1021"/>
      <c r="H236" s="1021"/>
      <c r="I236" s="42"/>
      <c r="J236" s="33"/>
      <c r="K236" s="42"/>
      <c r="L236" s="33"/>
      <c r="M236" s="33"/>
      <c r="O236" s="66" t="s">
        <v>1739</v>
      </c>
      <c r="P236" s="422" t="s">
        <v>2989</v>
      </c>
      <c r="Q236" s="618"/>
    </row>
    <row r="237" spans="1:32" ht="11.45" customHeight="1">
      <c r="A237" s="47"/>
      <c r="B237" s="149" t="s">
        <v>2365</v>
      </c>
      <c r="C237" s="1021" t="s">
        <v>2809</v>
      </c>
      <c r="E237" s="1021"/>
      <c r="F237" s="1021"/>
      <c r="G237" s="1021"/>
      <c r="H237" s="1021"/>
      <c r="I237" s="42"/>
      <c r="J237" s="33"/>
      <c r="K237" s="42"/>
      <c r="L237" s="33"/>
      <c r="M237" s="33"/>
      <c r="O237" s="66" t="s">
        <v>2365</v>
      </c>
      <c r="P237" s="422" t="s">
        <v>2989</v>
      </c>
      <c r="Q237" s="618"/>
    </row>
    <row r="238" spans="1:32" ht="11.45" customHeight="1">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2989</v>
      </c>
      <c r="Q239" s="618"/>
    </row>
    <row r="240" spans="1:32" ht="11.45" customHeight="1">
      <c r="A240" s="47"/>
      <c r="B240" s="66"/>
      <c r="C240" s="52" t="s">
        <v>1489</v>
      </c>
      <c r="E240" s="52"/>
      <c r="F240" s="52"/>
      <c r="G240" s="52"/>
      <c r="H240" s="52"/>
      <c r="I240" s="42"/>
      <c r="J240" s="33"/>
      <c r="K240" s="42"/>
      <c r="L240" s="33"/>
      <c r="M240" s="33"/>
      <c r="O240" s="527" t="s">
        <v>2799</v>
      </c>
      <c r="P240" s="239" t="s">
        <v>2992</v>
      </c>
      <c r="Q240" s="619"/>
    </row>
    <row r="241" spans="1:32" ht="11.25" customHeight="1">
      <c r="A241" s="47" t="s">
        <v>2115</v>
      </c>
      <c r="B241" s="52" t="s">
        <v>3662</v>
      </c>
      <c r="C241" s="52"/>
      <c r="E241" s="52"/>
      <c r="F241" s="52"/>
      <c r="G241" s="52"/>
      <c r="H241" s="52"/>
      <c r="I241" s="52"/>
      <c r="J241" s="52"/>
      <c r="K241" s="42"/>
      <c r="M241" s="65" t="s">
        <v>4837</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4767</v>
      </c>
      <c r="E243" s="42"/>
      <c r="F243" s="42"/>
      <c r="G243" s="1021"/>
      <c r="H243" s="1021"/>
      <c r="I243" s="42"/>
      <c r="J243" s="1021"/>
      <c r="K243" s="42"/>
      <c r="L243" s="1021"/>
      <c r="M243" s="1021"/>
      <c r="O243" s="66" t="s">
        <v>1738</v>
      </c>
      <c r="P243" s="239"/>
      <c r="Q243" s="619"/>
    </row>
    <row r="244" spans="1:32" ht="11.25" customHeight="1">
      <c r="B244" s="144" t="s">
        <v>3755</v>
      </c>
      <c r="D244" s="144"/>
      <c r="E244" s="144"/>
      <c r="F244" s="144"/>
      <c r="G244" s="144"/>
      <c r="H244" s="40"/>
      <c r="I244" s="1385"/>
      <c r="J244" s="1385"/>
      <c r="K244" s="1385"/>
      <c r="L244" s="1378"/>
      <c r="M244" s="1378"/>
      <c r="N244" s="1378"/>
      <c r="O244" s="1378"/>
      <c r="P244" s="1378"/>
      <c r="Q244" s="1020"/>
    </row>
    <row r="245" spans="1:32" ht="11.45" customHeight="1">
      <c r="A245" s="3622"/>
      <c r="B245" s="3623"/>
      <c r="C245" s="3623"/>
      <c r="D245" s="3623"/>
      <c r="E245" s="3623"/>
      <c r="F245" s="3623"/>
      <c r="G245" s="3623"/>
      <c r="H245" s="3623"/>
      <c r="I245" s="3623"/>
      <c r="J245" s="3623"/>
      <c r="K245" s="3623"/>
      <c r="L245" s="3623"/>
      <c r="M245" s="3623"/>
      <c r="N245" s="3623"/>
      <c r="O245" s="3623"/>
      <c r="P245" s="3623"/>
      <c r="Q245" s="3624"/>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3"/>
      <c r="B247" s="3604"/>
      <c r="C247" s="3604"/>
      <c r="D247" s="3604"/>
      <c r="E247" s="3604"/>
      <c r="F247" s="3604"/>
      <c r="G247" s="3604"/>
      <c r="H247" s="3604"/>
      <c r="I247" s="3604"/>
      <c r="J247" s="3604"/>
      <c r="K247" s="3604"/>
      <c r="L247" s="3604"/>
      <c r="M247" s="3604"/>
      <c r="N247" s="3604"/>
      <c r="O247" s="3604"/>
      <c r="P247" s="3604"/>
      <c r="Q247" s="3605"/>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2781</v>
      </c>
      <c r="B249" s="4" t="s">
        <v>2661</v>
      </c>
      <c r="C249" s="4"/>
      <c r="D249" s="88"/>
      <c r="E249" s="88"/>
      <c r="F249" s="88"/>
      <c r="G249" s="88"/>
      <c r="H249" s="1379"/>
      <c r="I249" s="1379"/>
      <c r="J249" s="1379"/>
      <c r="K249" s="1379"/>
      <c r="L249" s="2679"/>
      <c r="M249" s="2680"/>
      <c r="O249" s="135" t="s">
        <v>1867</v>
      </c>
      <c r="P249" s="3627"/>
      <c r="Q249" s="3607"/>
    </row>
    <row r="250" spans="1:32" ht="11.45" customHeight="1">
      <c r="A250" s="47" t="s">
        <v>1983</v>
      </c>
      <c r="B250" s="52" t="s">
        <v>1268</v>
      </c>
      <c r="D250" s="42"/>
      <c r="E250" s="52"/>
      <c r="F250" s="52"/>
      <c r="J250" s="527" t="s">
        <v>1983</v>
      </c>
      <c r="K250" s="3608" t="s">
        <v>5307</v>
      </c>
      <c r="L250" s="3609"/>
      <c r="M250" s="3609"/>
      <c r="N250" s="3609"/>
      <c r="O250" s="3610"/>
      <c r="P250" s="3774" t="s">
        <v>1771</v>
      </c>
      <c r="Q250" s="3775"/>
    </row>
    <row r="251" spans="1:32" ht="11.45" customHeight="1">
      <c r="A251" s="47" t="s">
        <v>1985</v>
      </c>
      <c r="B251" s="52" t="s">
        <v>2811</v>
      </c>
      <c r="D251" s="52"/>
      <c r="E251" s="52"/>
      <c r="F251" s="52"/>
      <c r="J251" s="527" t="s">
        <v>1985</v>
      </c>
      <c r="K251" s="3770">
        <v>43893</v>
      </c>
      <c r="L251" s="3660"/>
      <c r="M251" s="3660"/>
      <c r="N251" s="3660"/>
      <c r="O251" s="3661"/>
      <c r="P251" s="3776"/>
      <c r="Q251" s="3777"/>
    </row>
    <row r="252" spans="1:32" s="151" customFormat="1" ht="11.45" customHeight="1">
      <c r="A252" s="47"/>
      <c r="B252" s="52" t="s">
        <v>1945</v>
      </c>
      <c r="D252" s="52"/>
      <c r="E252" s="52"/>
      <c r="F252" s="52"/>
      <c r="K252" s="3770" t="s">
        <v>5300</v>
      </c>
      <c r="L252" s="3660"/>
      <c r="M252" s="3660"/>
      <c r="N252" s="3660"/>
      <c r="O252" s="3661"/>
      <c r="P252" s="3778"/>
      <c r="Q252" s="3779"/>
      <c r="AE252" s="531"/>
      <c r="AF252" s="531"/>
    </row>
    <row r="253" spans="1:32" s="151" customFormat="1" ht="11.45" customHeight="1">
      <c r="A253" s="47"/>
      <c r="B253" s="52" t="s">
        <v>2542</v>
      </c>
      <c r="D253" s="52"/>
      <c r="E253" s="52"/>
      <c r="F253" s="52"/>
      <c r="G253" s="52"/>
      <c r="H253" s="52"/>
      <c r="I253" s="96"/>
      <c r="J253" s="96"/>
      <c r="M253" s="36"/>
      <c r="N253" s="1180"/>
      <c r="O253" s="527"/>
      <c r="P253" s="422" t="s">
        <v>2989</v>
      </c>
      <c r="Q253" s="618"/>
      <c r="AE253" s="531"/>
      <c r="AF253" s="531"/>
    </row>
    <row r="254" spans="1:32" s="151" customFormat="1" ht="11.45" customHeight="1">
      <c r="A254" s="47" t="s">
        <v>749</v>
      </c>
      <c r="B254" s="52" t="s">
        <v>4913</v>
      </c>
      <c r="D254" s="52"/>
      <c r="E254" s="52"/>
      <c r="F254" s="52"/>
      <c r="J254" s="527" t="s">
        <v>749</v>
      </c>
      <c r="K254" s="3780">
        <v>43982</v>
      </c>
      <c r="L254" s="3781"/>
      <c r="M254" s="3781"/>
      <c r="N254" s="3781"/>
      <c r="O254" s="3782"/>
      <c r="P254" s="3783"/>
      <c r="Q254" s="3784"/>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5">
        <v>0.48599999999999999</v>
      </c>
      <c r="M256" s="36"/>
      <c r="N256" s="1180"/>
      <c r="O256" s="1180"/>
      <c r="P256" s="238" t="s">
        <v>2989</v>
      </c>
      <c r="Q256" s="617"/>
      <c r="AE256" s="531"/>
      <c r="AF256" s="531"/>
    </row>
    <row r="257" spans="1:32" s="151" customFormat="1" ht="11.45" customHeight="1">
      <c r="A257" s="47"/>
      <c r="B257" s="52"/>
      <c r="C257" s="55" t="s">
        <v>4771</v>
      </c>
      <c r="D257" s="52"/>
      <c r="E257" s="52"/>
      <c r="F257" s="52"/>
      <c r="K257" s="527" t="s">
        <v>4772</v>
      </c>
      <c r="L257" s="2416"/>
      <c r="M257" s="36"/>
      <c r="N257" s="1180"/>
      <c r="O257" s="1180"/>
      <c r="P257" s="239"/>
      <c r="Q257" s="619"/>
      <c r="AE257" s="531"/>
      <c r="AF257" s="531"/>
    </row>
    <row r="258" spans="1:32" s="151" customFormat="1" ht="11.45" customHeight="1">
      <c r="A258" s="47"/>
      <c r="B258" s="52" t="s">
        <v>4768</v>
      </c>
      <c r="D258" s="52"/>
      <c r="E258" s="52"/>
      <c r="F258" s="52"/>
      <c r="K258" s="3608" t="s">
        <v>5324</v>
      </c>
      <c r="L258" s="3609"/>
      <c r="M258" s="3609"/>
      <c r="N258" s="3609"/>
      <c r="O258" s="3610"/>
      <c r="P258" s="3752"/>
      <c r="Q258" s="3753"/>
      <c r="AE258" s="531"/>
      <c r="AF258" s="531"/>
    </row>
    <row r="259" spans="1:32" s="151" customFormat="1" ht="11.45" customHeight="1">
      <c r="A259" s="47" t="s">
        <v>2115</v>
      </c>
      <c r="B259" s="52" t="s">
        <v>3908</v>
      </c>
      <c r="D259" s="52"/>
      <c r="E259" s="52"/>
      <c r="F259" s="52"/>
      <c r="G259" s="52"/>
      <c r="H259" s="52"/>
      <c r="I259" s="96"/>
      <c r="J259" s="96"/>
      <c r="K259" s="96"/>
      <c r="M259" s="36"/>
      <c r="N259" s="1180"/>
      <c r="O259" s="527" t="s">
        <v>2115</v>
      </c>
      <c r="P259" s="238" t="s">
        <v>2989</v>
      </c>
      <c r="Q259" s="617"/>
      <c r="AE259" s="531"/>
      <c r="AF259" s="531"/>
    </row>
    <row r="260" spans="1:32" s="151" customFormat="1" ht="11.45" customHeight="1">
      <c r="A260" s="47"/>
      <c r="B260" s="3651" t="s">
        <v>3763</v>
      </c>
      <c r="C260" s="3651"/>
      <c r="D260" s="3651"/>
      <c r="E260" s="3651"/>
      <c r="F260" s="3651"/>
      <c r="G260" s="3651"/>
      <c r="H260" s="495" t="s">
        <v>4117</v>
      </c>
      <c r="K260" s="96"/>
      <c r="M260" s="36"/>
      <c r="N260" s="1180"/>
      <c r="O260" s="66" t="s">
        <v>1737</v>
      </c>
      <c r="P260" s="422" t="s">
        <v>2989</v>
      </c>
      <c r="Q260" s="618"/>
      <c r="AE260" s="531"/>
      <c r="AF260" s="531"/>
    </row>
    <row r="261" spans="1:32" s="151" customFormat="1" ht="11.45" customHeight="1">
      <c r="A261" s="47"/>
      <c r="B261" s="3651"/>
      <c r="C261" s="3651"/>
      <c r="D261" s="3651"/>
      <c r="E261" s="3651"/>
      <c r="F261" s="3651"/>
      <c r="G261" s="3651"/>
      <c r="H261" s="55" t="s">
        <v>4118</v>
      </c>
      <c r="K261" s="96"/>
      <c r="M261" s="36"/>
      <c r="N261" s="1180"/>
      <c r="O261" s="66" t="s">
        <v>1738</v>
      </c>
      <c r="P261" s="422" t="s">
        <v>2989</v>
      </c>
      <c r="Q261" s="618"/>
      <c r="AE261" s="531"/>
      <c r="AF261" s="531"/>
    </row>
    <row r="262" spans="1:32" s="151" customFormat="1" ht="11.45" customHeight="1">
      <c r="A262" s="47"/>
      <c r="B262" s="52"/>
      <c r="D262" s="52"/>
      <c r="E262" s="52"/>
      <c r="F262" s="52"/>
      <c r="G262" s="52"/>
      <c r="H262" s="55" t="s">
        <v>4119</v>
      </c>
      <c r="K262" s="96"/>
      <c r="M262" s="36"/>
      <c r="N262" s="1180"/>
      <c r="O262" s="66" t="s">
        <v>1739</v>
      </c>
      <c r="P262" s="422" t="s">
        <v>2989</v>
      </c>
      <c r="Q262" s="618"/>
      <c r="AE262" s="531"/>
      <c r="AF262" s="531"/>
    </row>
    <row r="263" spans="1:32" s="151" customFormat="1" ht="11.45" customHeight="1">
      <c r="A263" s="47"/>
      <c r="B263" s="52"/>
      <c r="D263" s="52"/>
      <c r="E263" s="52"/>
      <c r="F263" s="52"/>
      <c r="G263" s="52"/>
      <c r="H263" s="55" t="s">
        <v>4120</v>
      </c>
      <c r="K263" s="96"/>
      <c r="M263" s="36"/>
      <c r="N263" s="1180"/>
      <c r="O263" s="527" t="s">
        <v>2365</v>
      </c>
      <c r="P263" s="422" t="s">
        <v>2989</v>
      </c>
      <c r="Q263" s="618"/>
      <c r="AE263" s="531"/>
      <c r="AF263" s="531"/>
    </row>
    <row r="264" spans="1:32" s="151" customFormat="1" ht="21.75" customHeight="1">
      <c r="B264" s="3651" t="s">
        <v>3909</v>
      </c>
      <c r="C264" s="3651"/>
      <c r="D264" s="3651"/>
      <c r="E264" s="3651"/>
      <c r="F264" s="3651"/>
      <c r="G264" s="3651"/>
      <c r="H264" s="3651"/>
      <c r="I264" s="3651"/>
      <c r="J264" s="3651"/>
      <c r="K264" s="3651"/>
      <c r="L264" s="3651"/>
      <c r="M264" s="3651"/>
      <c r="N264" s="3651"/>
      <c r="O264" s="166"/>
      <c r="P264" s="1447" t="s">
        <v>5217</v>
      </c>
      <c r="Q264" s="1448"/>
      <c r="T264" s="531"/>
      <c r="AE264" s="531"/>
      <c r="AF264" s="531"/>
    </row>
    <row r="265" spans="1:32" s="151" customFormat="1" ht="33.75" customHeight="1">
      <c r="A265" s="145" t="s">
        <v>1735</v>
      </c>
      <c r="B265" s="3651" t="s">
        <v>5086</v>
      </c>
      <c r="C265" s="3651"/>
      <c r="D265" s="3651"/>
      <c r="E265" s="3651"/>
      <c r="F265" s="3651"/>
      <c r="G265" s="3651"/>
      <c r="H265" s="3651"/>
      <c r="I265" s="3651"/>
      <c r="J265" s="3651"/>
      <c r="K265" s="3651"/>
      <c r="L265" s="3651"/>
      <c r="M265" s="3651"/>
      <c r="N265" s="3651"/>
      <c r="O265" s="166" t="s">
        <v>1735</v>
      </c>
      <c r="P265" s="2677" t="s">
        <v>5217</v>
      </c>
      <c r="Q265" s="2676"/>
      <c r="T265" s="531"/>
      <c r="AE265" s="531"/>
      <c r="AF265" s="531"/>
    </row>
    <row r="266" spans="1:32" s="151" customFormat="1" ht="21.75" customHeight="1">
      <c r="B266" s="3651" t="s">
        <v>5085</v>
      </c>
      <c r="C266" s="3651"/>
      <c r="D266" s="3651"/>
      <c r="E266" s="3651"/>
      <c r="F266" s="3651"/>
      <c r="G266" s="3651"/>
      <c r="H266" s="3651"/>
      <c r="I266" s="3651"/>
      <c r="J266" s="3651"/>
      <c r="K266" s="3651"/>
      <c r="L266" s="3651"/>
      <c r="M266" s="3651"/>
      <c r="N266" s="3651"/>
      <c r="O266" s="166"/>
      <c r="P266" s="2675" t="s">
        <v>5217</v>
      </c>
      <c r="Q266" s="2674"/>
      <c r="T266" s="531"/>
      <c r="AE266" s="531"/>
      <c r="AF266" s="531"/>
    </row>
    <row r="267" spans="1:32" ht="11.45" customHeight="1">
      <c r="B267" s="66" t="s">
        <v>1737</v>
      </c>
      <c r="C267" s="1021" t="s">
        <v>5083</v>
      </c>
      <c r="E267" s="1021"/>
      <c r="F267" s="1021"/>
      <c r="L267" s="33"/>
      <c r="M267" s="33"/>
      <c r="O267" s="66" t="s">
        <v>1737</v>
      </c>
      <c r="P267" s="2554" t="s">
        <v>2989</v>
      </c>
      <c r="Q267" s="2555"/>
    </row>
    <row r="268" spans="1:32" ht="11.45" customHeight="1">
      <c r="B268" s="66"/>
      <c r="D268" s="55" t="s">
        <v>3865</v>
      </c>
      <c r="E268" s="3467" t="s">
        <v>5309</v>
      </c>
      <c r="F268" s="3468"/>
      <c r="G268" s="3469"/>
      <c r="H268" s="1021" t="s">
        <v>4954</v>
      </c>
      <c r="I268" s="3467" t="s">
        <v>5310</v>
      </c>
      <c r="J268" s="3468"/>
      <c r="K268" s="3469"/>
      <c r="L268" s="138" t="s">
        <v>4955</v>
      </c>
      <c r="M268" s="3467"/>
      <c r="N268" s="3468"/>
      <c r="O268" s="3468"/>
      <c r="P268" s="3468"/>
      <c r="Q268" s="3469"/>
      <c r="U268" s="450"/>
    </row>
    <row r="269" spans="1:32" ht="11.45" customHeight="1">
      <c r="A269" s="47"/>
      <c r="B269" s="66" t="s">
        <v>1738</v>
      </c>
      <c r="C269" s="1021" t="s">
        <v>5084</v>
      </c>
      <c r="E269" s="1021"/>
      <c r="F269" s="1021"/>
      <c r="G269" s="1021"/>
      <c r="H269" s="1021"/>
      <c r="I269" s="42"/>
      <c r="J269" s="33"/>
      <c r="K269" s="42"/>
      <c r="L269" s="33"/>
      <c r="M269" s="33"/>
      <c r="O269" s="66" t="s">
        <v>1738</v>
      </c>
      <c r="P269" s="542" t="s">
        <v>2992</v>
      </c>
      <c r="Q269" s="616"/>
      <c r="S269" s="66"/>
      <c r="U269" s="450"/>
    </row>
    <row r="270" spans="1:32" ht="11.45" customHeight="1">
      <c r="A270" s="47"/>
      <c r="B270" s="66"/>
      <c r="D270" s="55" t="s">
        <v>2301</v>
      </c>
      <c r="E270" s="3467"/>
      <c r="F270" s="3468"/>
      <c r="G270" s="3469"/>
      <c r="H270" s="138" t="s">
        <v>1800</v>
      </c>
      <c r="I270" s="3467"/>
      <c r="J270" s="3468"/>
      <c r="K270" s="3468"/>
      <c r="L270" s="3468"/>
      <c r="M270" s="3469"/>
      <c r="S270" s="66"/>
      <c r="U270" s="450"/>
    </row>
    <row r="271" spans="1:32" ht="11.25" customHeight="1">
      <c r="B271" s="144" t="s">
        <v>3755</v>
      </c>
      <c r="D271" s="144"/>
      <c r="E271" s="144"/>
      <c r="F271" s="144"/>
      <c r="G271" s="144"/>
      <c r="H271" s="40"/>
      <c r="I271" s="1385"/>
      <c r="J271" s="1385"/>
      <c r="K271" s="1385"/>
      <c r="L271" s="1378"/>
      <c r="M271" s="1378"/>
      <c r="N271" s="1378"/>
      <c r="O271" s="1378"/>
      <c r="P271" s="1378"/>
      <c r="Q271" s="1020"/>
    </row>
    <row r="272" spans="1:32" ht="13.35" customHeight="1">
      <c r="A272" s="3622"/>
      <c r="B272" s="3623"/>
      <c r="C272" s="3623"/>
      <c r="D272" s="3623"/>
      <c r="E272" s="3623"/>
      <c r="F272" s="3623"/>
      <c r="G272" s="3623"/>
      <c r="H272" s="3623"/>
      <c r="I272" s="3623"/>
      <c r="J272" s="3623"/>
      <c r="K272" s="3623"/>
      <c r="L272" s="3623"/>
      <c r="M272" s="3623"/>
      <c r="N272" s="3623"/>
      <c r="O272" s="3623"/>
      <c r="P272" s="3623"/>
      <c r="Q272" s="3624"/>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3"/>
      <c r="B274" s="3604"/>
      <c r="C274" s="3604"/>
      <c r="D274" s="3604"/>
      <c r="E274" s="3604"/>
      <c r="F274" s="3604"/>
      <c r="G274" s="3604"/>
      <c r="H274" s="3604"/>
      <c r="I274" s="3604"/>
      <c r="J274" s="3604"/>
      <c r="K274" s="3604"/>
      <c r="L274" s="3604"/>
      <c r="M274" s="3604"/>
      <c r="N274" s="3604"/>
      <c r="O274" s="3604"/>
      <c r="P274" s="3604"/>
      <c r="Q274" s="3605"/>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2662</v>
      </c>
      <c r="C276" s="4"/>
      <c r="D276" s="88"/>
      <c r="E276" s="88"/>
      <c r="F276" s="88"/>
      <c r="G276" s="88"/>
      <c r="H276" s="1379"/>
      <c r="I276" s="1379"/>
      <c r="J276" s="1379"/>
      <c r="K276" s="1379"/>
      <c r="L276" s="1379"/>
      <c r="M276" s="1379"/>
      <c r="O276" s="135" t="s">
        <v>1867</v>
      </c>
      <c r="P276" s="3627"/>
      <c r="Q276" s="3607"/>
    </row>
    <row r="277" spans="1:32" s="474" customFormat="1" ht="21.75" customHeight="1">
      <c r="A277" s="145" t="s">
        <v>1983</v>
      </c>
      <c r="B277" s="3651" t="s">
        <v>4966</v>
      </c>
      <c r="C277" s="3651"/>
      <c r="D277" s="3651"/>
      <c r="E277" s="3651"/>
      <c r="F277" s="3651"/>
      <c r="G277" s="3651"/>
      <c r="H277" s="3651"/>
      <c r="I277" s="3651"/>
      <c r="J277" s="3651"/>
      <c r="K277" s="3651"/>
      <c r="L277" s="3651"/>
      <c r="M277" s="3651"/>
      <c r="N277" s="3651"/>
      <c r="O277" s="166" t="s">
        <v>1983</v>
      </c>
      <c r="P277" s="1389" t="s">
        <v>2989</v>
      </c>
      <c r="Q277" s="1388"/>
      <c r="AE277" s="532"/>
      <c r="AF277" s="532"/>
    </row>
    <row r="278" spans="1:32" s="151" customFormat="1" ht="11.45" customHeight="1">
      <c r="A278" s="47"/>
      <c r="B278" s="52" t="s">
        <v>3758</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1985</v>
      </c>
      <c r="B279" s="52" t="s">
        <v>3759</v>
      </c>
      <c r="D279" s="52"/>
      <c r="E279" s="52"/>
      <c r="F279" s="52"/>
      <c r="G279" s="52"/>
      <c r="H279" s="52"/>
      <c r="I279" s="52"/>
      <c r="J279" s="52"/>
      <c r="K279" s="52"/>
      <c r="L279" s="52"/>
      <c r="M279" s="52"/>
      <c r="O279" s="527" t="s">
        <v>1985</v>
      </c>
      <c r="P279" s="239" t="s">
        <v>2989</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2989</v>
      </c>
      <c r="Q280" s="617"/>
      <c r="AE280" s="531"/>
      <c r="AF280" s="531"/>
    </row>
    <row r="281" spans="1:32" s="151" customFormat="1" ht="11.45" customHeight="1">
      <c r="A281" s="47"/>
      <c r="B281" s="52" t="s">
        <v>3760</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2115</v>
      </c>
      <c r="B282" s="3651" t="s">
        <v>4969</v>
      </c>
      <c r="C282" s="3651"/>
      <c r="D282" s="3651"/>
      <c r="E282" s="3651"/>
      <c r="F282" s="3651"/>
      <c r="G282" s="3651"/>
      <c r="H282" s="3651"/>
      <c r="I282" s="3651"/>
      <c r="J282" s="3651"/>
      <c r="K282" s="3651"/>
      <c r="L282" s="3651"/>
      <c r="M282" s="3651"/>
      <c r="N282" s="3651"/>
      <c r="O282" s="527" t="s">
        <v>2115</v>
      </c>
      <c r="P282" s="1447" t="s">
        <v>2989</v>
      </c>
      <c r="Q282" s="1448"/>
      <c r="AE282" s="531"/>
      <c r="AF282" s="531"/>
    </row>
    <row r="283" spans="1:32" ht="11.25" customHeight="1">
      <c r="B283" s="144" t="s">
        <v>3755</v>
      </c>
      <c r="D283" s="144"/>
      <c r="E283" s="144"/>
      <c r="F283" s="144"/>
      <c r="G283" s="144"/>
      <c r="H283" s="40"/>
      <c r="I283" s="1385"/>
      <c r="J283" s="1385"/>
      <c r="K283" s="1385"/>
      <c r="L283" s="1378"/>
      <c r="M283" s="1378"/>
      <c r="N283" s="1378"/>
      <c r="O283" s="1378"/>
      <c r="P283" s="1378"/>
      <c r="Q283" s="1020"/>
    </row>
    <row r="284" spans="1:32" ht="13.35" customHeight="1">
      <c r="A284" s="3622"/>
      <c r="B284" s="3623"/>
      <c r="C284" s="3623"/>
      <c r="D284" s="3623"/>
      <c r="E284" s="3623"/>
      <c r="F284" s="3623"/>
      <c r="G284" s="3623"/>
      <c r="H284" s="3623"/>
      <c r="I284" s="3623"/>
      <c r="J284" s="3623"/>
      <c r="K284" s="3623"/>
      <c r="L284" s="3623"/>
      <c r="M284" s="3623"/>
      <c r="N284" s="3623"/>
      <c r="O284" s="3623"/>
      <c r="P284" s="3623"/>
      <c r="Q284" s="3624"/>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3"/>
      <c r="B286" s="3604"/>
      <c r="C286" s="3604"/>
      <c r="D286" s="3604"/>
      <c r="E286" s="3604"/>
      <c r="F286" s="3604"/>
      <c r="G286" s="3604"/>
      <c r="H286" s="3604"/>
      <c r="I286" s="3604"/>
      <c r="J286" s="3604"/>
      <c r="K286" s="3604"/>
      <c r="L286" s="3604"/>
      <c r="M286" s="3604"/>
      <c r="N286" s="3604"/>
      <c r="O286" s="3604"/>
      <c r="P286" s="3604"/>
      <c r="Q286" s="3605"/>
    </row>
    <row r="287" spans="1:32" ht="3" customHeight="1"/>
    <row r="288" spans="1:32" ht="14.1" customHeight="1">
      <c r="A288" s="1384" t="s">
        <v>4103</v>
      </c>
      <c r="B288" s="1384" t="s">
        <v>2663</v>
      </c>
      <c r="C288" s="1384"/>
      <c r="D288" s="1379"/>
      <c r="E288" s="1379"/>
      <c r="F288" s="1379"/>
      <c r="G288" s="1379"/>
      <c r="H288" s="1379"/>
      <c r="I288" s="1379"/>
      <c r="J288" s="1379"/>
      <c r="K288" s="1379"/>
      <c r="L288" s="1379"/>
      <c r="M288" s="1379"/>
      <c r="O288" s="135" t="s">
        <v>1867</v>
      </c>
      <c r="P288" s="3627"/>
      <c r="Q288" s="3607"/>
    </row>
    <row r="289" spans="1:32" s="474" customFormat="1" ht="33" customHeight="1">
      <c r="A289" s="145" t="s">
        <v>1983</v>
      </c>
      <c r="B289" s="3651" t="s">
        <v>4968</v>
      </c>
      <c r="C289" s="3651"/>
      <c r="D289" s="3651"/>
      <c r="E289" s="3651"/>
      <c r="F289" s="3651"/>
      <c r="G289" s="3651"/>
      <c r="H289" s="3651"/>
      <c r="I289" s="3651"/>
      <c r="J289" s="3651"/>
      <c r="K289" s="3651"/>
      <c r="L289" s="3651"/>
      <c r="M289" s="3651"/>
      <c r="N289" s="3651"/>
      <c r="O289" s="166" t="s">
        <v>1983</v>
      </c>
      <c r="P289" s="1422" t="s">
        <v>5217</v>
      </c>
      <c r="Q289" s="1421"/>
      <c r="AE289" s="532"/>
      <c r="AF289" s="532"/>
    </row>
    <row r="290" spans="1:32" s="474" customFormat="1" ht="21.75" customHeight="1">
      <c r="A290" s="145"/>
      <c r="B290" s="3651" t="s">
        <v>2813</v>
      </c>
      <c r="C290" s="3651"/>
      <c r="D290" s="3651"/>
      <c r="E290" s="3651"/>
      <c r="F290" s="3651"/>
      <c r="G290" s="3651"/>
      <c r="H290" s="3651"/>
      <c r="I290" s="3651"/>
      <c r="J290" s="3651"/>
      <c r="K290" s="3651"/>
      <c r="L290" s="3651"/>
      <c r="M290" s="3651"/>
      <c r="N290" s="3651"/>
      <c r="O290" s="166"/>
      <c r="P290" s="1426" t="s">
        <v>5217</v>
      </c>
      <c r="Q290" s="1423"/>
      <c r="AE290" s="532"/>
      <c r="AF290" s="532"/>
    </row>
    <row r="291" spans="1:32" s="27" customFormat="1" ht="11.45" customHeight="1">
      <c r="A291" s="142" t="s">
        <v>1985</v>
      </c>
      <c r="B291" s="197" t="s">
        <v>310</v>
      </c>
      <c r="C291" s="163"/>
      <c r="D291" s="660"/>
      <c r="E291" s="660"/>
      <c r="F291" s="163"/>
      <c r="H291" s="163"/>
      <c r="I291" s="163"/>
      <c r="J291" s="2468" t="s">
        <v>4788</v>
      </c>
      <c r="K291" s="3790" t="s">
        <v>3772</v>
      </c>
      <c r="L291" s="3791"/>
      <c r="M291" s="3791"/>
      <c r="N291" s="3792"/>
      <c r="O291" s="527" t="s">
        <v>1985</v>
      </c>
      <c r="P291" s="2706" t="s">
        <v>5217</v>
      </c>
      <c r="Q291" s="2705"/>
      <c r="R291" s="1179"/>
      <c r="S291" s="1395"/>
    </row>
    <row r="292" spans="1:32" s="27" customFormat="1" ht="11.45" customHeight="1">
      <c r="A292" s="142"/>
      <c r="B292" s="197"/>
      <c r="C292" s="163"/>
      <c r="D292" s="660"/>
      <c r="E292" s="660"/>
      <c r="F292" s="163"/>
      <c r="H292" s="163"/>
      <c r="I292" s="163"/>
      <c r="J292" s="2468" t="s">
        <v>4970</v>
      </c>
      <c r="K292" s="3790" t="s">
        <v>4776</v>
      </c>
      <c r="L292" s="3791"/>
      <c r="M292" s="3791"/>
      <c r="N292" s="3792"/>
      <c r="O292" s="527"/>
      <c r="P292" s="527"/>
      <c r="Q292" s="527"/>
      <c r="R292" s="527"/>
      <c r="S292" s="1395"/>
    </row>
    <row r="293" spans="1:32" s="105" customFormat="1" ht="11.45" customHeight="1">
      <c r="A293" s="42"/>
      <c r="B293" s="144" t="s">
        <v>3755</v>
      </c>
      <c r="C293" s="42"/>
      <c r="D293" s="48"/>
      <c r="E293" s="48"/>
      <c r="F293" s="48"/>
      <c r="G293" s="48"/>
      <c r="K293" s="36"/>
      <c r="M293" s="46"/>
      <c r="N293" s="6"/>
      <c r="O293" s="3"/>
      <c r="P293" s="2409"/>
    </row>
    <row r="294" spans="1:32" s="43" customFormat="1" ht="21.75" customHeight="1">
      <c r="A294" s="3622"/>
      <c r="B294" s="3623"/>
      <c r="C294" s="3623"/>
      <c r="D294" s="3623"/>
      <c r="E294" s="3623"/>
      <c r="F294" s="3623"/>
      <c r="G294" s="3623"/>
      <c r="H294" s="3623"/>
      <c r="I294" s="3623"/>
      <c r="J294" s="3623"/>
      <c r="K294" s="3623"/>
      <c r="L294" s="3623"/>
      <c r="M294" s="3623"/>
      <c r="N294" s="3623"/>
      <c r="O294" s="3623"/>
      <c r="P294" s="3623"/>
      <c r="Q294" s="3624"/>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3"/>
      <c r="B296" s="3604"/>
      <c r="C296" s="3604"/>
      <c r="D296" s="3604"/>
      <c r="E296" s="3604"/>
      <c r="F296" s="3604"/>
      <c r="G296" s="3604"/>
      <c r="H296" s="3604"/>
      <c r="I296" s="3604"/>
      <c r="J296" s="3604"/>
      <c r="K296" s="3604"/>
      <c r="L296" s="3604"/>
      <c r="M296" s="3604"/>
      <c r="N296" s="3604"/>
      <c r="O296" s="3604"/>
      <c r="P296" s="3604"/>
      <c r="Q296" s="3605"/>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2664</v>
      </c>
      <c r="C298" s="152"/>
      <c r="D298" s="1382"/>
      <c r="E298" s="1379"/>
      <c r="F298" s="1379"/>
      <c r="G298" s="1379"/>
      <c r="H298" s="1379"/>
      <c r="I298" s="1379"/>
      <c r="J298" s="1379"/>
      <c r="K298" s="1379"/>
      <c r="L298" s="1379"/>
      <c r="M298" s="1379"/>
      <c r="O298" s="135" t="s">
        <v>1867</v>
      </c>
      <c r="P298" s="3627"/>
      <c r="Q298" s="3607"/>
    </row>
    <row r="299" spans="1:32" ht="12.75" customHeight="1">
      <c r="A299" s="14" t="s">
        <v>1983</v>
      </c>
      <c r="B299" s="1384" t="s">
        <v>4123</v>
      </c>
    </row>
    <row r="300" spans="1:32" s="151" customFormat="1" ht="44.25" customHeight="1">
      <c r="A300" s="145"/>
      <c r="B300" s="2579" t="s">
        <v>1737</v>
      </c>
      <c r="C300" s="3651" t="s">
        <v>3912</v>
      </c>
      <c r="D300" s="3651"/>
      <c r="E300" s="3651"/>
      <c r="F300" s="3651"/>
      <c r="G300" s="3651"/>
      <c r="H300" s="3651"/>
      <c r="I300" s="3651"/>
      <c r="J300" s="3651"/>
      <c r="K300" s="3651"/>
      <c r="L300" s="3651"/>
      <c r="M300" s="3651"/>
      <c r="N300" s="3651"/>
      <c r="O300" s="166" t="s">
        <v>2725</v>
      </c>
      <c r="P300" s="1422" t="s">
        <v>2989</v>
      </c>
      <c r="Q300" s="1421"/>
      <c r="AE300" s="531"/>
      <c r="AF300" s="531"/>
    </row>
    <row r="301" spans="1:32" s="474" customFormat="1" ht="12" customHeight="1">
      <c r="A301" s="145"/>
      <c r="B301" s="2579" t="s">
        <v>1738</v>
      </c>
      <c r="C301" s="3651" t="s">
        <v>5210</v>
      </c>
      <c r="D301" s="3651"/>
      <c r="E301" s="3651"/>
      <c r="F301" s="3651"/>
      <c r="G301" s="3651"/>
      <c r="H301" s="3651"/>
      <c r="I301" s="3651"/>
      <c r="J301" s="3651"/>
      <c r="K301" s="3651"/>
      <c r="L301" s="3651"/>
      <c r="M301" s="3651"/>
      <c r="N301" s="3651"/>
      <c r="O301" s="153" t="s">
        <v>1738</v>
      </c>
      <c r="P301" s="633" t="s">
        <v>2989</v>
      </c>
      <c r="Q301" s="620"/>
      <c r="AE301" s="532"/>
      <c r="AF301" s="532"/>
    </row>
    <row r="302" spans="1:32" s="474" customFormat="1" ht="21.75" customHeight="1">
      <c r="A302" s="145"/>
      <c r="B302" s="541" t="s">
        <v>1739</v>
      </c>
      <c r="C302" s="3651" t="s">
        <v>3911</v>
      </c>
      <c r="D302" s="3651"/>
      <c r="E302" s="3651"/>
      <c r="F302" s="3651"/>
      <c r="G302" s="3651"/>
      <c r="H302" s="3651"/>
      <c r="I302" s="3651"/>
      <c r="J302" s="3651"/>
      <c r="K302" s="3651"/>
      <c r="L302" s="3651"/>
      <c r="M302" s="3651"/>
      <c r="N302" s="3651"/>
      <c r="O302" s="166" t="s">
        <v>1739</v>
      </c>
      <c r="P302" s="1447" t="s">
        <v>2989</v>
      </c>
      <c r="Q302" s="1448"/>
      <c r="AE302" s="532"/>
      <c r="AF302" s="532"/>
    </row>
    <row r="303" spans="1:32" s="96" customFormat="1" ht="12.75" customHeight="1">
      <c r="A303" s="14" t="s">
        <v>1985</v>
      </c>
      <c r="B303" s="1384" t="s">
        <v>3878</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1" t="s">
        <v>3752</v>
      </c>
      <c r="D304" s="3651"/>
      <c r="E304" s="3651"/>
      <c r="F304" s="3651"/>
      <c r="G304" s="3651"/>
      <c r="H304" s="3651"/>
      <c r="I304" s="143"/>
      <c r="J304" s="3800" t="s">
        <v>3795</v>
      </c>
      <c r="K304" s="3801"/>
      <c r="L304" s="3801"/>
      <c r="M304" s="3785" t="s">
        <v>3765</v>
      </c>
      <c r="N304" s="3785"/>
      <c r="AE304" s="533"/>
      <c r="AF304" s="533"/>
    </row>
    <row r="305" spans="1:33" s="325" customFormat="1" ht="10.5" customHeight="1">
      <c r="A305" s="338"/>
      <c r="B305" s="2561"/>
      <c r="C305" s="3651"/>
      <c r="D305" s="3651"/>
      <c r="E305" s="3651"/>
      <c r="F305" s="3651"/>
      <c r="G305" s="3651"/>
      <c r="H305" s="3651"/>
      <c r="I305" s="1376"/>
      <c r="J305" s="3801"/>
      <c r="K305" s="3801"/>
      <c r="L305" s="3801"/>
      <c r="M305" s="36" t="s">
        <v>3766</v>
      </c>
      <c r="N305" s="1385" t="s">
        <v>3794</v>
      </c>
      <c r="P305" s="336"/>
    </row>
    <row r="306" spans="1:33" s="325" customFormat="1" ht="13.35" customHeight="1">
      <c r="A306" s="338"/>
      <c r="B306" s="2561"/>
      <c r="C306" s="3651"/>
      <c r="D306" s="3651"/>
      <c r="E306" s="3651"/>
      <c r="F306" s="3651"/>
      <c r="G306" s="3651"/>
      <c r="H306" s="3651"/>
      <c r="I306" s="52" t="s">
        <v>4124</v>
      </c>
      <c r="K306" s="1173">
        <v>4</v>
      </c>
      <c r="L306" s="1175" t="str">
        <f>IF(K306&lt;M306,"Check!!!","")</f>
        <v/>
      </c>
      <c r="M306" s="1176">
        <f>ROUNDUP('Part VI-Revenues &amp; Expenses'!$O$67*'Part VIII-Threshold Criteria'!N306,0)</f>
        <v>4</v>
      </c>
      <c r="N306" s="2521">
        <f>'DCA Underwriting Assumptions'!$Q$139</f>
        <v>0.05</v>
      </c>
      <c r="O306" s="527" t="s">
        <v>3638</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1" t="s">
        <v>3753</v>
      </c>
      <c r="D307" s="3651"/>
      <c r="E307" s="3651"/>
      <c r="F307" s="3651"/>
      <c r="G307" s="3651"/>
      <c r="H307" s="3651"/>
      <c r="I307" s="1008" t="s">
        <v>4125</v>
      </c>
      <c r="J307" s="325"/>
      <c r="K307" s="1173">
        <v>2</v>
      </c>
      <c r="L307" s="1175" t="str">
        <f>IF(K307&lt;M307,"Check!!!","")</f>
        <v/>
      </c>
      <c r="M307" s="1176">
        <f>ROUNDUP(K306*'Part VIII-Threshold Criteria'!N307,0)</f>
        <v>2</v>
      </c>
      <c r="N307" s="2521">
        <f>'DCA Underwriting Assumptions'!$Q$140</f>
        <v>0.4</v>
      </c>
      <c r="O307" s="527" t="s">
        <v>2117</v>
      </c>
      <c r="P307" s="3615" t="s">
        <v>2989</v>
      </c>
      <c r="Q307" s="3613"/>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1"/>
      <c r="D308" s="3651"/>
      <c r="E308" s="3651"/>
      <c r="F308" s="3651"/>
      <c r="G308" s="3651"/>
      <c r="H308" s="3651"/>
      <c r="O308" s="40"/>
      <c r="P308" s="3615"/>
      <c r="Q308" s="361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1" t="s">
        <v>3754</v>
      </c>
      <c r="D309" s="3651"/>
      <c r="E309" s="3651"/>
      <c r="F309" s="3651"/>
      <c r="G309" s="3651"/>
      <c r="H309" s="3651"/>
      <c r="I309" s="52" t="s">
        <v>4126</v>
      </c>
      <c r="J309" s="325"/>
      <c r="K309" s="1173">
        <v>2</v>
      </c>
      <c r="L309" s="1175" t="str">
        <f>IF(K309&lt;M309,"Check!!!","")</f>
        <v/>
      </c>
      <c r="M309" s="1176">
        <f>ROUNDUP('Part VI-Revenues &amp; Expenses'!$O$67*'Part VIII-Threshold Criteria'!N309,0)</f>
        <v>2</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1"/>
      <c r="D310" s="3651"/>
      <c r="E310" s="3651"/>
      <c r="F310" s="3651"/>
      <c r="G310" s="3651"/>
      <c r="H310" s="3651"/>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1"/>
      <c r="D311" s="3651"/>
      <c r="E311" s="3651"/>
      <c r="F311" s="3651"/>
      <c r="G311" s="3651"/>
      <c r="H311" s="3651"/>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3879</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1" t="s">
        <v>3640</v>
      </c>
      <c r="C313" s="3611"/>
      <c r="D313" s="3611"/>
      <c r="E313" s="3611"/>
      <c r="F313" s="3611"/>
      <c r="G313" s="3611"/>
      <c r="H313" s="3611"/>
      <c r="I313" s="3611"/>
      <c r="J313" s="3611"/>
      <c r="K313" s="3611"/>
      <c r="L313" s="3611"/>
      <c r="M313" s="3611"/>
      <c r="N313" s="3611"/>
      <c r="O313" s="166" t="s">
        <v>749</v>
      </c>
      <c r="P313" s="1424" t="s">
        <v>2989</v>
      </c>
      <c r="Q313" s="1425"/>
      <c r="AE313" s="533"/>
      <c r="AF313" s="533"/>
    </row>
    <row r="314" spans="1:33" s="96" customFormat="1" ht="11.25" customHeight="1">
      <c r="B314" s="450" t="s">
        <v>3641</v>
      </c>
      <c r="D314" s="450"/>
      <c r="E314" s="450"/>
      <c r="F314" s="450"/>
      <c r="G314" s="450"/>
      <c r="H314" s="450"/>
      <c r="I314" s="450" t="s">
        <v>3764</v>
      </c>
      <c r="J314" s="450"/>
      <c r="K314" s="450"/>
      <c r="L314" s="3797" t="s">
        <v>5311</v>
      </c>
      <c r="M314" s="3798"/>
      <c r="N314" s="3798"/>
      <c r="O314" s="3799"/>
      <c r="P314" s="450"/>
      <c r="Q314" s="450"/>
      <c r="R314" s="450"/>
      <c r="AE314" s="533"/>
      <c r="AF314" s="533"/>
    </row>
    <row r="315" spans="1:33" s="474" customFormat="1" ht="44.25" customHeight="1">
      <c r="B315" s="2579" t="s">
        <v>1737</v>
      </c>
      <c r="C315" s="3651" t="s">
        <v>3639</v>
      </c>
      <c r="D315" s="3651"/>
      <c r="E315" s="3651"/>
      <c r="F315" s="3651"/>
      <c r="G315" s="3651"/>
      <c r="H315" s="3651"/>
      <c r="I315" s="3651"/>
      <c r="J315" s="3651"/>
      <c r="K315" s="3651"/>
      <c r="L315" s="3651"/>
      <c r="M315" s="3651"/>
      <c r="N315" s="3651"/>
      <c r="O315" s="166" t="s">
        <v>3644</v>
      </c>
      <c r="P315" s="1389" t="s">
        <v>2989</v>
      </c>
      <c r="Q315" s="1388"/>
      <c r="AE315" s="532"/>
      <c r="AF315" s="532"/>
    </row>
    <row r="316" spans="1:33" s="474" customFormat="1" ht="34.5" customHeight="1">
      <c r="B316" s="2579" t="s">
        <v>1738</v>
      </c>
      <c r="C316" s="3651" t="s">
        <v>4914</v>
      </c>
      <c r="D316" s="3651"/>
      <c r="E316" s="3651"/>
      <c r="F316" s="3651"/>
      <c r="G316" s="3651"/>
      <c r="H316" s="3651"/>
      <c r="I316" s="3651"/>
      <c r="J316" s="3651"/>
      <c r="K316" s="3651"/>
      <c r="L316" s="3651"/>
      <c r="M316" s="3651"/>
      <c r="N316" s="3651"/>
      <c r="O316" s="166" t="s">
        <v>3645</v>
      </c>
      <c r="P316" s="633" t="s">
        <v>2989</v>
      </c>
      <c r="Q316" s="620"/>
      <c r="AE316" s="532"/>
      <c r="AF316" s="532"/>
    </row>
    <row r="317" spans="1:33" s="474" customFormat="1" ht="22.5" customHeight="1">
      <c r="B317" s="541" t="s">
        <v>1739</v>
      </c>
      <c r="C317" s="3651" t="s">
        <v>3642</v>
      </c>
      <c r="D317" s="3651"/>
      <c r="E317" s="3651"/>
      <c r="F317" s="3651"/>
      <c r="G317" s="3651"/>
      <c r="H317" s="3651"/>
      <c r="I317" s="3651"/>
      <c r="J317" s="3651"/>
      <c r="K317" s="3651"/>
      <c r="L317" s="3651"/>
      <c r="M317" s="3651"/>
      <c r="N317" s="3651"/>
      <c r="O317" s="166" t="s">
        <v>3646</v>
      </c>
      <c r="P317" s="633" t="s">
        <v>2989</v>
      </c>
      <c r="Q317" s="620"/>
      <c r="AE317" s="532"/>
      <c r="AF317" s="532"/>
    </row>
    <row r="318" spans="1:33" s="474" customFormat="1" ht="32.25" customHeight="1">
      <c r="B318" s="541" t="s">
        <v>2365</v>
      </c>
      <c r="C318" s="3651" t="s">
        <v>3643</v>
      </c>
      <c r="D318" s="3651"/>
      <c r="E318" s="3651"/>
      <c r="F318" s="3651"/>
      <c r="G318" s="3651"/>
      <c r="H318" s="3651"/>
      <c r="I318" s="3651"/>
      <c r="J318" s="3651"/>
      <c r="K318" s="3651"/>
      <c r="L318" s="3651"/>
      <c r="M318" s="3651"/>
      <c r="N318" s="3651"/>
      <c r="O318" s="166" t="s">
        <v>3647</v>
      </c>
      <c r="P318" s="1391" t="s">
        <v>2989</v>
      </c>
      <c r="Q318" s="1390"/>
      <c r="AE318" s="532"/>
      <c r="AF318" s="532"/>
    </row>
    <row r="319" spans="1:33" ht="11.25" customHeight="1">
      <c r="B319" s="144" t="s">
        <v>3755</v>
      </c>
      <c r="D319" s="144"/>
      <c r="E319" s="144"/>
      <c r="F319" s="144"/>
      <c r="G319" s="144"/>
      <c r="H319" s="40"/>
      <c r="I319" s="1385"/>
      <c r="J319" s="1385"/>
      <c r="K319" s="1385"/>
      <c r="L319" s="1378"/>
      <c r="M319" s="1378"/>
      <c r="N319" s="1378"/>
      <c r="O319" s="1378"/>
      <c r="P319" s="1378"/>
      <c r="Q319" s="1020"/>
    </row>
    <row r="320" spans="1:33" ht="32.25" customHeight="1">
      <c r="A320" s="3622"/>
      <c r="B320" s="3623"/>
      <c r="C320" s="3623"/>
      <c r="D320" s="3623"/>
      <c r="E320" s="3623"/>
      <c r="F320" s="3623"/>
      <c r="G320" s="3623"/>
      <c r="H320" s="3623"/>
      <c r="I320" s="3623"/>
      <c r="J320" s="3623"/>
      <c r="K320" s="3623"/>
      <c r="L320" s="3623"/>
      <c r="M320" s="3623"/>
      <c r="N320" s="3623"/>
      <c r="O320" s="3623"/>
      <c r="P320" s="3623"/>
      <c r="Q320" s="3624"/>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2"/>
      <c r="B322" s="3803"/>
      <c r="C322" s="3803"/>
      <c r="D322" s="3803"/>
      <c r="E322" s="3803"/>
      <c r="F322" s="3803"/>
      <c r="G322" s="3803"/>
      <c r="H322" s="3803"/>
      <c r="I322" s="3803"/>
      <c r="J322" s="3803"/>
      <c r="K322" s="3803"/>
      <c r="L322" s="3803"/>
      <c r="M322" s="3803"/>
      <c r="N322" s="3803"/>
      <c r="O322" s="3803"/>
      <c r="P322" s="3803"/>
      <c r="Q322" s="3804"/>
    </row>
    <row r="323" spans="1:256 1523:1523" ht="14.1" customHeight="1">
      <c r="A323" s="1384" t="s">
        <v>4102</v>
      </c>
      <c r="B323" s="10" t="s">
        <v>2665</v>
      </c>
      <c r="C323" s="10"/>
      <c r="D323" s="10"/>
      <c r="E323" s="10"/>
      <c r="F323" s="10"/>
      <c r="G323" s="10"/>
      <c r="H323" s="1379"/>
      <c r="I323" s="1379"/>
      <c r="J323" s="1379"/>
      <c r="K323" s="1379"/>
      <c r="L323" s="1379"/>
      <c r="M323" s="1379"/>
      <c r="O323" s="135" t="s">
        <v>1867</v>
      </c>
      <c r="P323" s="3805"/>
      <c r="Q323" s="3806"/>
    </row>
    <row r="324" spans="1:256 1523:1523" ht="11.45" customHeight="1">
      <c r="B324" s="148" t="s">
        <v>2252</v>
      </c>
      <c r="P324" s="238" t="s">
        <v>2992</v>
      </c>
      <c r="Q324" s="617"/>
    </row>
    <row r="325" spans="1:256 1523:1523" ht="12" customHeight="1">
      <c r="B325" s="1002" t="s">
        <v>2211</v>
      </c>
      <c r="C325" s="1002"/>
      <c r="D325" s="1002"/>
      <c r="E325" s="1002"/>
      <c r="F325" s="1002"/>
      <c r="G325" s="1002"/>
      <c r="H325" s="1002"/>
      <c r="I325" s="1002"/>
      <c r="J325" s="1002"/>
      <c r="K325" s="1002"/>
      <c r="L325" s="1002"/>
      <c r="P325" s="239" t="s">
        <v>2989</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1" t="s">
        <v>2880</v>
      </c>
      <c r="C327" s="3651"/>
      <c r="D327" s="3651"/>
      <c r="E327" s="3651"/>
      <c r="F327" s="3651"/>
      <c r="G327" s="3651"/>
      <c r="H327" s="3651"/>
      <c r="I327" s="3651"/>
      <c r="J327" s="3651"/>
      <c r="K327" s="3651"/>
      <c r="L327" s="3651"/>
      <c r="M327" s="3651"/>
      <c r="N327" s="3651"/>
      <c r="O327" s="166" t="s">
        <v>1983</v>
      </c>
      <c r="P327" s="165" t="s">
        <v>2989</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3" t="s">
        <v>4928</v>
      </c>
      <c r="H329" s="3814"/>
      <c r="I329" s="3814"/>
      <c r="J329" s="3814"/>
      <c r="K329" s="3814"/>
      <c r="L329" s="3814"/>
      <c r="M329" s="3814"/>
      <c r="N329" s="3815"/>
      <c r="O329" s="237" t="s">
        <v>1737</v>
      </c>
      <c r="P329" s="1389" t="s">
        <v>2989</v>
      </c>
      <c r="Q329" s="1388"/>
      <c r="BFO329" s="151" t="s">
        <v>2726</v>
      </c>
    </row>
    <row r="330" spans="1:256 1523:1523" ht="23.25" customHeight="1">
      <c r="B330" s="1002" t="s">
        <v>1738</v>
      </c>
      <c r="C330" s="3651" t="s">
        <v>1132</v>
      </c>
      <c r="D330" s="3651"/>
      <c r="E330" s="3651"/>
      <c r="F330" s="3807"/>
      <c r="G330" s="3150" t="s">
        <v>2649</v>
      </c>
      <c r="H330" s="3816"/>
      <c r="I330" s="3816"/>
      <c r="J330" s="3816"/>
      <c r="K330" s="3816"/>
      <c r="L330" s="3816"/>
      <c r="M330" s="3816"/>
      <c r="N330" s="3817"/>
      <c r="O330" s="237" t="s">
        <v>1738</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89" t="s">
        <v>2671</v>
      </c>
      <c r="C332" s="3789"/>
      <c r="D332" s="3789"/>
      <c r="E332" s="3789"/>
      <c r="F332" s="3789"/>
      <c r="G332" s="3789"/>
      <c r="H332" s="3789"/>
      <c r="I332" s="3789"/>
      <c r="J332" s="3789"/>
      <c r="K332" s="3789"/>
      <c r="L332" s="3789"/>
      <c r="M332" s="3789"/>
      <c r="N332" s="3789"/>
      <c r="O332" s="507" t="s">
        <v>749</v>
      </c>
      <c r="P332" s="1378"/>
      <c r="Q332" s="1020"/>
      <c r="AE332" s="530"/>
      <c r="AF332" s="530"/>
    </row>
    <row r="333" spans="1:256 1523:1523" s="136" customFormat="1" ht="11.25" customHeight="1">
      <c r="A333" s="147"/>
      <c r="B333" s="1002" t="s">
        <v>1737</v>
      </c>
      <c r="C333" s="3793"/>
      <c r="D333" s="3794"/>
      <c r="E333" s="3794"/>
      <c r="F333" s="3794"/>
      <c r="G333" s="3794"/>
      <c r="H333" s="3794"/>
      <c r="I333" s="3794"/>
      <c r="J333" s="3794"/>
      <c r="K333" s="3794"/>
      <c r="L333" s="3794"/>
      <c r="M333" s="3794"/>
      <c r="N333" s="3795"/>
      <c r="O333" s="237" t="s">
        <v>1737</v>
      </c>
      <c r="P333" s="1389"/>
      <c r="Q333" s="1388"/>
      <c r="AE333" s="530"/>
      <c r="AF333" s="530"/>
    </row>
    <row r="334" spans="1:256 1523:1523" s="136" customFormat="1" ht="11.25" customHeight="1">
      <c r="A334" s="147"/>
      <c r="B334" s="1002" t="s">
        <v>1738</v>
      </c>
      <c r="C334" s="3759"/>
      <c r="D334" s="3760"/>
      <c r="E334" s="3760"/>
      <c r="F334" s="3760"/>
      <c r="G334" s="3760"/>
      <c r="H334" s="3760"/>
      <c r="I334" s="3760"/>
      <c r="J334" s="3760"/>
      <c r="K334" s="3760"/>
      <c r="L334" s="3760"/>
      <c r="M334" s="3760"/>
      <c r="N334" s="3761"/>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3755</v>
      </c>
      <c r="D336" s="144"/>
      <c r="E336" s="144"/>
      <c r="F336" s="144"/>
      <c r="G336" s="144"/>
      <c r="H336" s="40"/>
      <c r="I336" s="1385"/>
      <c r="J336" s="1385"/>
      <c r="K336" s="1385"/>
      <c r="L336" s="1378"/>
      <c r="M336" s="1378"/>
      <c r="N336" s="1378"/>
      <c r="O336" s="1378"/>
      <c r="P336" s="1378"/>
      <c r="Q336" s="1020"/>
    </row>
    <row r="337" spans="1:31" ht="11.45" customHeight="1">
      <c r="A337" s="3622"/>
      <c r="B337" s="3623"/>
      <c r="C337" s="3623"/>
      <c r="D337" s="3623"/>
      <c r="E337" s="3623"/>
      <c r="F337" s="3623"/>
      <c r="G337" s="3623"/>
      <c r="H337" s="3623"/>
      <c r="I337" s="3623"/>
      <c r="J337" s="3623"/>
      <c r="K337" s="3623"/>
      <c r="L337" s="3623"/>
      <c r="M337" s="3623"/>
      <c r="N337" s="3623"/>
      <c r="O337" s="3623"/>
      <c r="P337" s="3623"/>
      <c r="Q337" s="3624"/>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3"/>
      <c r="B339" s="3604"/>
      <c r="C339" s="3604"/>
      <c r="D339" s="3604"/>
      <c r="E339" s="3604"/>
      <c r="F339" s="3604"/>
      <c r="G339" s="3604"/>
      <c r="H339" s="3604"/>
      <c r="I339" s="3604"/>
      <c r="J339" s="3604"/>
      <c r="K339" s="3604"/>
      <c r="L339" s="3604"/>
      <c r="M339" s="3604"/>
      <c r="N339" s="3604"/>
      <c r="O339" s="3604"/>
      <c r="P339" s="3604"/>
      <c r="Q339" s="3605"/>
    </row>
    <row r="340" spans="1:31" ht="14.1" customHeight="1">
      <c r="A340" s="1384" t="s">
        <v>4105</v>
      </c>
      <c r="B340" s="1384" t="s">
        <v>4143</v>
      </c>
      <c r="C340" s="1384"/>
      <c r="D340" s="1379"/>
      <c r="E340" s="1379"/>
      <c r="F340" s="1379"/>
      <c r="G340" s="1379"/>
      <c r="H340" s="1379"/>
      <c r="O340" s="135" t="s">
        <v>1867</v>
      </c>
      <c r="P340" s="3627"/>
      <c r="Q340" s="3607"/>
    </row>
    <row r="341" spans="1:31" ht="11.45" customHeight="1">
      <c r="A341" s="47" t="s">
        <v>1983</v>
      </c>
      <c r="B341" s="55" t="s">
        <v>5000</v>
      </c>
      <c r="O341" s="166" t="s">
        <v>1983</v>
      </c>
      <c r="P341" s="238" t="s">
        <v>2989</v>
      </c>
      <c r="Q341" s="617"/>
    </row>
    <row r="342" spans="1:31" ht="11.45" customHeight="1">
      <c r="A342" s="145" t="s">
        <v>1985</v>
      </c>
      <c r="B342" s="55" t="s">
        <v>4091</v>
      </c>
      <c r="O342" s="166" t="s">
        <v>1985</v>
      </c>
      <c r="P342" s="422" t="s">
        <v>2989</v>
      </c>
      <c r="Q342" s="618"/>
    </row>
    <row r="343" spans="1:31" ht="11.45" customHeight="1">
      <c r="A343" s="145" t="s">
        <v>749</v>
      </c>
      <c r="B343" s="148" t="s">
        <v>2350</v>
      </c>
      <c r="O343" s="166" t="s">
        <v>749</v>
      </c>
      <c r="P343" s="422" t="s">
        <v>2989</v>
      </c>
      <c r="Q343" s="618"/>
    </row>
    <row r="344" spans="1:31" ht="11.45" customHeight="1">
      <c r="A344" s="47" t="s">
        <v>2115</v>
      </c>
      <c r="B344" s="55" t="s">
        <v>3843</v>
      </c>
      <c r="O344" s="527" t="s">
        <v>2115</v>
      </c>
      <c r="P344" s="239" t="s">
        <v>2992</v>
      </c>
      <c r="Q344" s="619"/>
    </row>
    <row r="345" spans="1:31" ht="11.45" customHeight="1">
      <c r="A345" s="145" t="s">
        <v>1735</v>
      </c>
      <c r="B345" s="55" t="s">
        <v>2883</v>
      </c>
      <c r="N345" s="166" t="s">
        <v>1735</v>
      </c>
      <c r="O345" s="3786" t="s">
        <v>3837</v>
      </c>
      <c r="P345" s="3787"/>
      <c r="Q345" s="3788"/>
    </row>
    <row r="346" spans="1:31" ht="11.45" customHeight="1">
      <c r="A346" s="145" t="s">
        <v>1736</v>
      </c>
      <c r="B346" s="470" t="s">
        <v>2351</v>
      </c>
      <c r="N346" s="166" t="s">
        <v>1736</v>
      </c>
      <c r="O346" s="3810" t="s">
        <v>2884</v>
      </c>
      <c r="P346" s="3811"/>
      <c r="Q346" s="3812"/>
    </row>
    <row r="347" spans="1:31" ht="11.25" customHeight="1">
      <c r="B347" s="144" t="s">
        <v>3755</v>
      </c>
      <c r="D347" s="144"/>
      <c r="E347" s="144"/>
      <c r="F347" s="144"/>
      <c r="G347" s="144"/>
      <c r="H347" s="40"/>
      <c r="I347" s="1385"/>
      <c r="J347" s="1385"/>
      <c r="K347" s="1385"/>
      <c r="L347" s="1378"/>
      <c r="M347" s="1378"/>
      <c r="N347" s="1378"/>
      <c r="O347" s="1378"/>
      <c r="P347" s="1378"/>
      <c r="Q347" s="1020"/>
    </row>
    <row r="348" spans="1:31" ht="13.35" customHeight="1">
      <c r="A348" s="3622" t="s">
        <v>243</v>
      </c>
      <c r="B348" s="3623"/>
      <c r="C348" s="3623"/>
      <c r="D348" s="3623"/>
      <c r="E348" s="3623"/>
      <c r="F348" s="3623"/>
      <c r="G348" s="3623"/>
      <c r="H348" s="3623"/>
      <c r="I348" s="3623"/>
      <c r="J348" s="3623"/>
      <c r="K348" s="3623"/>
      <c r="L348" s="3623"/>
      <c r="M348" s="3623"/>
      <c r="N348" s="3623"/>
      <c r="O348" s="3623"/>
      <c r="P348" s="3623"/>
      <c r="Q348" s="3624"/>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3"/>
      <c r="B350" s="3604"/>
      <c r="C350" s="3604"/>
      <c r="D350" s="3604"/>
      <c r="E350" s="3604"/>
      <c r="F350" s="3604"/>
      <c r="G350" s="3604"/>
      <c r="H350" s="3604"/>
      <c r="I350" s="3604"/>
      <c r="J350" s="3604"/>
      <c r="K350" s="3604"/>
      <c r="L350" s="3604"/>
      <c r="M350" s="3604"/>
      <c r="N350" s="3604"/>
      <c r="O350" s="3604"/>
      <c r="P350" s="3604"/>
      <c r="Q350" s="3605"/>
    </row>
    <row r="351" spans="1:31" ht="14.1" customHeight="1">
      <c r="A351" s="1384" t="s">
        <v>4106</v>
      </c>
      <c r="B351" s="4" t="s">
        <v>2666</v>
      </c>
      <c r="C351" s="4"/>
      <c r="D351" s="88"/>
      <c r="E351" s="1379"/>
      <c r="F351" s="1379"/>
      <c r="G351" s="1379"/>
      <c r="H351" s="1379"/>
      <c r="I351" s="1379"/>
      <c r="J351" s="1379"/>
      <c r="K351" s="1379"/>
      <c r="L351" s="1379"/>
      <c r="M351" s="1379"/>
      <c r="O351" s="135" t="s">
        <v>1867</v>
      </c>
      <c r="P351" s="3627"/>
      <c r="Q351" s="3607"/>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2989</v>
      </c>
      <c r="Q352" s="617"/>
    </row>
    <row r="353" spans="1:32" ht="12.75" customHeight="1">
      <c r="A353" s="145" t="s">
        <v>1985</v>
      </c>
      <c r="B353" s="143" t="s">
        <v>3852</v>
      </c>
      <c r="D353" s="143"/>
      <c r="E353" s="143"/>
      <c r="F353" s="143"/>
      <c r="G353" s="143"/>
      <c r="H353" s="143"/>
      <c r="I353" s="143"/>
      <c r="J353" s="143"/>
      <c r="K353" s="143"/>
      <c r="L353" s="143"/>
      <c r="M353" s="143"/>
      <c r="N353" s="143"/>
      <c r="O353" s="166" t="s">
        <v>1985</v>
      </c>
      <c r="P353" s="422" t="s">
        <v>2992</v>
      </c>
      <c r="Q353" s="618"/>
    </row>
    <row r="354" spans="1:32" ht="22.5" customHeight="1">
      <c r="A354" s="145" t="s">
        <v>749</v>
      </c>
      <c r="B354" s="3651" t="s">
        <v>4092</v>
      </c>
      <c r="C354" s="3651"/>
      <c r="D354" s="3651"/>
      <c r="E354" s="3651"/>
      <c r="F354" s="3651"/>
      <c r="G354" s="3651"/>
      <c r="H354" s="3651"/>
      <c r="I354" s="3651"/>
      <c r="J354" s="3651"/>
      <c r="K354" s="3651"/>
      <c r="L354" s="3651"/>
      <c r="M354" s="3651"/>
      <c r="N354" s="3651"/>
      <c r="O354" s="166" t="s">
        <v>749</v>
      </c>
      <c r="P354" s="239" t="s">
        <v>2989</v>
      </c>
      <c r="Q354" s="619"/>
    </row>
    <row r="355" spans="1:32" ht="11.25" customHeight="1">
      <c r="B355" s="144" t="s">
        <v>3755</v>
      </c>
      <c r="D355" s="144"/>
      <c r="E355" s="144"/>
      <c r="F355" s="144"/>
      <c r="G355" s="144"/>
      <c r="H355" s="40"/>
      <c r="I355" s="1385"/>
      <c r="J355" s="1385"/>
      <c r="K355" s="1385"/>
      <c r="L355" s="1378"/>
      <c r="M355" s="1378"/>
      <c r="N355" s="1378"/>
      <c r="O355" s="1378"/>
      <c r="P355" s="1378"/>
      <c r="Q355" s="1020"/>
    </row>
    <row r="356" spans="1:32" ht="11.45" customHeight="1">
      <c r="A356" s="3622"/>
      <c r="B356" s="3623"/>
      <c r="C356" s="3623"/>
      <c r="D356" s="3623"/>
      <c r="E356" s="3623"/>
      <c r="F356" s="3623"/>
      <c r="G356" s="3623"/>
      <c r="H356" s="3623"/>
      <c r="I356" s="3623"/>
      <c r="J356" s="3623"/>
      <c r="K356" s="3623"/>
      <c r="L356" s="3623"/>
      <c r="M356" s="3623"/>
      <c r="N356" s="3623"/>
      <c r="O356" s="3623"/>
      <c r="P356" s="3623"/>
      <c r="Q356" s="3624"/>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3"/>
      <c r="B358" s="3604"/>
      <c r="C358" s="3604"/>
      <c r="D358" s="3604"/>
      <c r="E358" s="3604"/>
      <c r="F358" s="3604"/>
      <c r="G358" s="3604"/>
      <c r="H358" s="3604"/>
      <c r="I358" s="3604"/>
      <c r="J358" s="3604"/>
      <c r="K358" s="3604"/>
      <c r="L358" s="3604"/>
      <c r="M358" s="3604"/>
      <c r="N358" s="3604"/>
      <c r="O358" s="3604"/>
      <c r="P358" s="3604"/>
      <c r="Q358" s="3605"/>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1867</v>
      </c>
      <c r="P360" s="3606"/>
      <c r="Q360" s="3607"/>
    </row>
    <row r="361" spans="1:32" ht="10.5" customHeight="1">
      <c r="A361" s="47" t="s">
        <v>1983</v>
      </c>
      <c r="B361" s="138" t="s">
        <v>4083</v>
      </c>
      <c r="D361" s="154"/>
      <c r="E361" s="154"/>
      <c r="F361" s="154"/>
      <c r="G361" s="154"/>
      <c r="H361" s="527" t="s">
        <v>1983</v>
      </c>
      <c r="I361" s="3608"/>
      <c r="J361" s="3609"/>
      <c r="K361" s="3609"/>
      <c r="L361" s="3609"/>
      <c r="M361" s="3609"/>
      <c r="N361" s="3609"/>
      <c r="O361" s="3609"/>
      <c r="P361" s="3610"/>
      <c r="Q361" s="615"/>
    </row>
    <row r="362" spans="1:32" ht="10.5" customHeight="1">
      <c r="A362" s="145" t="s">
        <v>1985</v>
      </c>
      <c r="B362" s="138" t="s">
        <v>4084</v>
      </c>
      <c r="D362" s="154"/>
      <c r="E362" s="154"/>
      <c r="F362" s="154"/>
      <c r="G362" s="154"/>
      <c r="H362" s="166" t="s">
        <v>1985</v>
      </c>
      <c r="I362" s="3608"/>
      <c r="J362" s="3609"/>
      <c r="K362" s="3609"/>
      <c r="L362" s="3609"/>
      <c r="M362" s="3609"/>
      <c r="N362" s="3609"/>
      <c r="O362" s="3609"/>
      <c r="P362" s="3610"/>
      <c r="Q362" s="615"/>
    </row>
    <row r="363" spans="1:32" ht="21.75" customHeight="1">
      <c r="A363" s="145" t="s">
        <v>749</v>
      </c>
      <c r="B363" s="3796" t="s">
        <v>4074</v>
      </c>
      <c r="C363" s="3796"/>
      <c r="D363" s="3796"/>
      <c r="E363" s="3796"/>
      <c r="F363" s="3796"/>
      <c r="G363" s="3796"/>
      <c r="H363" s="3796"/>
      <c r="I363" s="3796"/>
      <c r="J363" s="3796"/>
      <c r="K363" s="3796"/>
      <c r="L363" s="3796"/>
      <c r="M363" s="3796"/>
      <c r="N363" s="3796"/>
      <c r="O363" s="166" t="s">
        <v>749</v>
      </c>
      <c r="P363" s="1265"/>
      <c r="Q363" s="1421"/>
    </row>
    <row r="364" spans="1:32" ht="21.75" customHeight="1">
      <c r="A364" s="145" t="s">
        <v>2115</v>
      </c>
      <c r="B364" s="3651" t="s">
        <v>4075</v>
      </c>
      <c r="C364" s="3651"/>
      <c r="D364" s="3651"/>
      <c r="E364" s="3651"/>
      <c r="F364" s="3651"/>
      <c r="G364" s="3651"/>
      <c r="H364" s="3651"/>
      <c r="I364" s="3651"/>
      <c r="J364" s="3651"/>
      <c r="K364" s="3651"/>
      <c r="L364" s="3651"/>
      <c r="M364" s="3651"/>
      <c r="N364" s="3651"/>
      <c r="O364" s="527" t="s">
        <v>2115</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51" t="s">
        <v>4077</v>
      </c>
      <c r="C366" s="3651"/>
      <c r="D366" s="3651"/>
      <c r="E366" s="3651"/>
      <c r="F366" s="3651"/>
      <c r="G366" s="3651"/>
      <c r="H366" s="3651"/>
      <c r="I366" s="3651"/>
      <c r="J366" s="3651"/>
      <c r="K366" s="3651"/>
      <c r="L366" s="3651"/>
      <c r="M366" s="3651"/>
      <c r="N366" s="3651"/>
      <c r="O366" s="166" t="s">
        <v>1736</v>
      </c>
      <c r="P366" s="1003"/>
      <c r="Q366" s="1004"/>
      <c r="AE366" s="530"/>
      <c r="AF366" s="530"/>
    </row>
    <row r="367" spans="1:32" s="136" customFormat="1" ht="10.5" customHeight="1">
      <c r="A367" s="145" t="s">
        <v>1947</v>
      </c>
      <c r="B367" s="143" t="s">
        <v>4078</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3369</v>
      </c>
      <c r="B369" s="3651" t="s">
        <v>4079</v>
      </c>
      <c r="C369" s="3651"/>
      <c r="D369" s="3651"/>
      <c r="E369" s="3651"/>
      <c r="F369" s="3651"/>
      <c r="G369" s="3651"/>
      <c r="H369" s="3651"/>
      <c r="I369" s="3651"/>
      <c r="J369" s="3651"/>
      <c r="K369" s="3651"/>
      <c r="L369" s="3651"/>
      <c r="M369" s="3651"/>
      <c r="N369" s="3651"/>
      <c r="O369" s="166" t="s">
        <v>3369</v>
      </c>
      <c r="P369" s="1422"/>
      <c r="Q369" s="1388"/>
    </row>
    <row r="370" spans="1:32" ht="33" customHeight="1">
      <c r="A370" s="145" t="s">
        <v>616</v>
      </c>
      <c r="B370" s="3651" t="s">
        <v>4080</v>
      </c>
      <c r="C370" s="3651"/>
      <c r="D370" s="3651"/>
      <c r="E370" s="3651"/>
      <c r="F370" s="3651"/>
      <c r="G370" s="3651"/>
      <c r="H370" s="3651"/>
      <c r="I370" s="3651"/>
      <c r="J370" s="3651"/>
      <c r="K370" s="3651"/>
      <c r="L370" s="3651"/>
      <c r="M370" s="3651"/>
      <c r="N370" s="3651"/>
      <c r="O370" s="166" t="s">
        <v>616</v>
      </c>
      <c r="P370" s="1447"/>
      <c r="Q370" s="1390"/>
    </row>
    <row r="371" spans="1:32" ht="10.5" customHeight="1">
      <c r="B371" s="144" t="s">
        <v>3755</v>
      </c>
      <c r="D371" s="144"/>
      <c r="E371" s="144"/>
      <c r="F371" s="144"/>
      <c r="G371" s="144"/>
      <c r="H371" s="40"/>
      <c r="I371" s="1385"/>
      <c r="J371" s="1385"/>
      <c r="K371" s="1385"/>
      <c r="L371" s="1378"/>
      <c r="M371" s="1378"/>
      <c r="N371" s="1378"/>
      <c r="O371" s="1378"/>
      <c r="P371" s="1378"/>
      <c r="Q371" s="1020"/>
    </row>
    <row r="372" spans="1:32" ht="31.5" customHeight="1">
      <c r="A372" s="3622"/>
      <c r="B372" s="3623"/>
      <c r="C372" s="3623"/>
      <c r="D372" s="3623"/>
      <c r="E372" s="3623"/>
      <c r="F372" s="3623"/>
      <c r="G372" s="3623"/>
      <c r="H372" s="3623"/>
      <c r="I372" s="3623"/>
      <c r="J372" s="3623"/>
      <c r="K372" s="3623"/>
      <c r="L372" s="3623"/>
      <c r="M372" s="3623"/>
      <c r="N372" s="3623"/>
      <c r="O372" s="3623"/>
      <c r="P372" s="3623"/>
      <c r="Q372" s="3624"/>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3"/>
      <c r="B374" s="3604"/>
      <c r="C374" s="3604"/>
      <c r="D374" s="3604"/>
      <c r="E374" s="3604"/>
      <c r="F374" s="3604"/>
      <c r="G374" s="3604"/>
      <c r="H374" s="3604"/>
      <c r="I374" s="3604"/>
      <c r="J374" s="3604"/>
      <c r="K374" s="3604"/>
      <c r="L374" s="3604"/>
      <c r="M374" s="3604"/>
      <c r="N374" s="3604"/>
      <c r="O374" s="3604"/>
      <c r="P374" s="3604"/>
      <c r="Q374" s="3605"/>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1867</v>
      </c>
      <c r="P376" s="3627"/>
      <c r="Q376" s="3607"/>
    </row>
    <row r="377" spans="1:32" s="42" customFormat="1" ht="10.5" customHeight="1">
      <c r="A377" s="47" t="s">
        <v>1983</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6" t="s">
        <v>4926</v>
      </c>
      <c r="D378" s="3626"/>
      <c r="E378" s="3626"/>
      <c r="F378" s="3626"/>
      <c r="G378" s="50"/>
      <c r="H378" s="36" t="s">
        <v>617</v>
      </c>
      <c r="J378" s="3832"/>
      <c r="K378" s="3833"/>
      <c r="L378" s="3833"/>
      <c r="M378" s="3834"/>
      <c r="N378" s="3733" t="s">
        <v>3917</v>
      </c>
      <c r="O378" s="3643"/>
      <c r="P378" s="3820"/>
      <c r="Q378" s="3821"/>
      <c r="AE378" s="50"/>
      <c r="AF378" s="50"/>
    </row>
    <row r="379" spans="1:32" s="42" customFormat="1" ht="11.25" customHeight="1">
      <c r="A379" s="47"/>
      <c r="B379" s="40"/>
      <c r="C379" s="2498"/>
      <c r="D379" s="2498"/>
      <c r="E379" s="2498"/>
      <c r="F379" s="2498"/>
      <c r="G379" s="2498"/>
      <c r="H379" s="40" t="s">
        <v>5211</v>
      </c>
      <c r="I379" s="2498"/>
      <c r="J379" s="3608"/>
      <c r="K379" s="3609"/>
      <c r="L379" s="3609"/>
      <c r="M379" s="3609"/>
      <c r="N379" s="3609"/>
      <c r="O379" s="3609"/>
      <c r="P379" s="3609"/>
      <c r="Q379" s="3610"/>
      <c r="AE379" s="50"/>
      <c r="AF379" s="50"/>
    </row>
    <row r="380" spans="1:32" s="42" customFormat="1" ht="11.25" customHeight="1">
      <c r="B380" s="40" t="s">
        <v>1738</v>
      </c>
      <c r="C380" s="52" t="s">
        <v>3919</v>
      </c>
      <c r="J380" s="3824"/>
      <c r="K380" s="3825"/>
      <c r="O380" s="527"/>
      <c r="AE380" s="50"/>
      <c r="AF380" s="50"/>
    </row>
    <row r="381" spans="1:32" s="42" customFormat="1" ht="11.25" customHeight="1">
      <c r="A381" s="47"/>
      <c r="B381" s="40" t="s">
        <v>1739</v>
      </c>
      <c r="C381" s="52" t="s">
        <v>3920</v>
      </c>
      <c r="D381" s="46"/>
      <c r="E381" s="137"/>
      <c r="I381" s="137"/>
      <c r="J381" s="3835" t="str">
        <f>'Part I-Project Information'!K40</f>
        <v>Rural</v>
      </c>
      <c r="K381" s="3836"/>
      <c r="L381" s="1381" t="s">
        <v>3921</v>
      </c>
      <c r="M381" s="137"/>
      <c r="N381" s="137"/>
      <c r="O381" s="527" t="s">
        <v>1739</v>
      </c>
      <c r="P381" s="542"/>
      <c r="Q381" s="616"/>
      <c r="AE381" s="50"/>
      <c r="AF381" s="50"/>
    </row>
    <row r="382" spans="1:32" s="42" customFormat="1" ht="11.25" customHeight="1">
      <c r="A382" s="47"/>
      <c r="B382" s="40" t="s">
        <v>2365</v>
      </c>
      <c r="C382" s="52" t="s">
        <v>4915</v>
      </c>
      <c r="E382" s="137"/>
      <c r="F382" s="137"/>
      <c r="G382" s="137"/>
      <c r="H382" s="52" t="s">
        <v>4916</v>
      </c>
      <c r="I382" s="137"/>
      <c r="J382" s="3822"/>
      <c r="K382" s="3823"/>
      <c r="L382" s="3841"/>
      <c r="M382" s="3842"/>
      <c r="O382" s="527"/>
      <c r="AE382" s="50"/>
      <c r="AF382" s="50"/>
    </row>
    <row r="383" spans="1:32" s="42" customFormat="1" ht="11.25" customHeight="1">
      <c r="A383" s="47"/>
      <c r="B383" s="40"/>
      <c r="C383" s="52"/>
      <c r="E383" s="137"/>
      <c r="F383" s="137"/>
      <c r="G383" s="137"/>
      <c r="H383" s="52" t="s">
        <v>4917</v>
      </c>
      <c r="I383" s="137"/>
      <c r="J383" s="3659"/>
      <c r="K383" s="3661"/>
      <c r="L383" s="3830"/>
      <c r="M383" s="3831"/>
      <c r="N383" s="52"/>
      <c r="O383" s="527"/>
      <c r="AE383" s="50"/>
      <c r="AF383" s="50"/>
    </row>
    <row r="384" spans="1:32" s="42" customFormat="1" ht="11.25" customHeight="1">
      <c r="A384" s="47"/>
      <c r="B384" s="40" t="s">
        <v>1549</v>
      </c>
      <c r="C384" s="52" t="s">
        <v>3923</v>
      </c>
      <c r="E384" s="52"/>
      <c r="F384" s="3826">
        <f>'Part IV-A-Uses of Funds'!J173</f>
        <v>512639</v>
      </c>
      <c r="G384" s="3827"/>
      <c r="H384" s="52" t="s">
        <v>3924</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837"/>
      <c r="K385" s="3838"/>
      <c r="L385" s="3839"/>
      <c r="M385" s="3840"/>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3929</v>
      </c>
      <c r="D387" s="137"/>
      <c r="E387" s="137"/>
      <c r="F387" s="137"/>
      <c r="G387" s="137"/>
      <c r="H387" s="137"/>
      <c r="P387" s="137"/>
      <c r="Q387" s="137"/>
      <c r="R387" s="137"/>
      <c r="AE387" s="50"/>
      <c r="AF387" s="50"/>
    </row>
    <row r="388" spans="1:32" s="42" customFormat="1" ht="11.25" customHeight="1">
      <c r="B388" s="40" t="s">
        <v>1737</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625" t="s">
        <v>3934</v>
      </c>
      <c r="K389" s="3625"/>
      <c r="L389" s="3625"/>
      <c r="M389" s="3625"/>
      <c r="N389" s="3602" t="s">
        <v>3931</v>
      </c>
      <c r="O389" s="3602"/>
      <c r="AE389" s="50"/>
      <c r="AF389" s="50"/>
    </row>
    <row r="390" spans="1:32" s="42" customFormat="1" ht="11.25" customHeight="1">
      <c r="A390" s="2548"/>
      <c r="B390" s="40" t="s">
        <v>1738</v>
      </c>
      <c r="C390" s="1021" t="s">
        <v>3930</v>
      </c>
      <c r="E390" s="137"/>
      <c r="F390" s="137"/>
      <c r="G390" s="137"/>
      <c r="H390" s="137"/>
      <c r="I390" s="527" t="s">
        <v>1738</v>
      </c>
      <c r="J390" s="3828"/>
      <c r="K390" s="3829"/>
      <c r="L390" s="3600"/>
      <c r="M390" s="3601"/>
      <c r="N390" s="1347" t="str">
        <f>IF(J390="","",(J390-J382)/J390)</f>
        <v/>
      </c>
      <c r="O390" s="1348" t="str">
        <f>IF(L390="","",(L390-L382)/L390)</f>
        <v/>
      </c>
      <c r="P390" s="2878"/>
      <c r="Q390" s="2879"/>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2365</v>
      </c>
      <c r="C392" s="52" t="s">
        <v>3935</v>
      </c>
      <c r="E392" s="137"/>
      <c r="F392" s="137"/>
      <c r="G392" s="137"/>
      <c r="H392" s="137"/>
      <c r="M392" s="137"/>
      <c r="N392" s="137"/>
      <c r="O392" s="527" t="s">
        <v>2365</v>
      </c>
      <c r="P392" s="239"/>
      <c r="Q392" s="619"/>
      <c r="AE392" s="50"/>
      <c r="AF392" s="50"/>
    </row>
    <row r="393" spans="1:32" ht="10.5" customHeight="1">
      <c r="B393" s="144" t="s">
        <v>3755</v>
      </c>
      <c r="D393" s="144"/>
      <c r="E393" s="144"/>
      <c r="F393" s="144"/>
      <c r="G393" s="144"/>
      <c r="H393" s="40"/>
      <c r="I393" s="1385"/>
      <c r="J393" s="1385"/>
      <c r="K393" s="1385"/>
      <c r="L393" s="1378"/>
      <c r="M393" s="1378"/>
      <c r="N393" s="1378"/>
      <c r="O393" s="1378"/>
      <c r="P393" s="1378"/>
      <c r="Q393" s="1020"/>
    </row>
    <row r="394" spans="1:32" ht="31.5" customHeight="1">
      <c r="A394" s="3622"/>
      <c r="B394" s="3623"/>
      <c r="C394" s="3623"/>
      <c r="D394" s="3623"/>
      <c r="E394" s="3623"/>
      <c r="F394" s="3623"/>
      <c r="G394" s="3623"/>
      <c r="H394" s="3623"/>
      <c r="I394" s="3623"/>
      <c r="J394" s="3623"/>
      <c r="K394" s="3623"/>
      <c r="L394" s="3623"/>
      <c r="M394" s="3623"/>
      <c r="N394" s="3623"/>
      <c r="O394" s="3623"/>
      <c r="P394" s="3623"/>
      <c r="Q394" s="3624"/>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3"/>
      <c r="B396" s="3604"/>
      <c r="C396" s="3604"/>
      <c r="D396" s="3604"/>
      <c r="E396" s="3604"/>
      <c r="F396" s="3604"/>
      <c r="G396" s="3604"/>
      <c r="H396" s="3604"/>
      <c r="I396" s="3604"/>
      <c r="J396" s="3604"/>
      <c r="K396" s="3604"/>
      <c r="L396" s="3604"/>
      <c r="M396" s="3604"/>
      <c r="N396" s="3604"/>
      <c r="O396" s="3604"/>
      <c r="P396" s="3604"/>
      <c r="Q396" s="3605"/>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2683</v>
      </c>
      <c r="C399" s="4"/>
      <c r="D399" s="4"/>
      <c r="E399" s="4"/>
      <c r="F399" s="4"/>
      <c r="G399" s="4"/>
      <c r="H399" s="1379"/>
      <c r="I399" s="1379"/>
      <c r="J399" s="1379"/>
      <c r="O399" s="135" t="s">
        <v>1867</v>
      </c>
      <c r="P399" s="3627"/>
      <c r="Q399" s="3607"/>
    </row>
    <row r="400" spans="1:32" ht="11.45" customHeight="1">
      <c r="A400" s="47" t="s">
        <v>1983</v>
      </c>
      <c r="B400" s="121" t="s">
        <v>1034</v>
      </c>
      <c r="E400" s="3638"/>
      <c r="F400" s="3639"/>
      <c r="G400" s="3639"/>
      <c r="H400" s="3639"/>
      <c r="I400" s="3640"/>
      <c r="J400" s="3641" t="s">
        <v>2670</v>
      </c>
      <c r="K400" s="3642"/>
      <c r="L400" s="3643"/>
      <c r="M400" s="3638"/>
      <c r="N400" s="3639"/>
      <c r="O400" s="3639"/>
      <c r="P400" s="3639"/>
      <c r="Q400" s="3640"/>
    </row>
    <row r="401" spans="1:31" ht="11.45" customHeight="1">
      <c r="A401" s="47" t="s">
        <v>1985</v>
      </c>
      <c r="B401" s="52" t="s">
        <v>3463</v>
      </c>
      <c r="D401" s="52"/>
      <c r="E401" s="52"/>
      <c r="F401" s="52"/>
      <c r="G401" s="52"/>
      <c r="H401" s="52"/>
      <c r="I401" s="52"/>
      <c r="J401" s="52"/>
      <c r="K401" s="52"/>
      <c r="L401" s="1021"/>
      <c r="M401" s="1021"/>
      <c r="O401" s="527" t="s">
        <v>1985</v>
      </c>
      <c r="P401" s="238"/>
      <c r="Q401" s="617"/>
    </row>
    <row r="402" spans="1:31" ht="22.5" customHeight="1">
      <c r="A402" s="145" t="s">
        <v>749</v>
      </c>
      <c r="B402" s="3651" t="s">
        <v>3473</v>
      </c>
      <c r="C402" s="3651"/>
      <c r="D402" s="3651"/>
      <c r="E402" s="3651"/>
      <c r="F402" s="3651"/>
      <c r="G402" s="3651"/>
      <c r="H402" s="3651"/>
      <c r="I402" s="3651"/>
      <c r="J402" s="3651"/>
      <c r="K402" s="3651"/>
      <c r="L402" s="3651"/>
      <c r="M402" s="3651"/>
      <c r="N402" s="3651"/>
      <c r="O402" s="166" t="s">
        <v>749</v>
      </c>
      <c r="P402" s="633"/>
      <c r="Q402" s="620"/>
    </row>
    <row r="403" spans="1:31">
      <c r="A403" s="47" t="s">
        <v>2115</v>
      </c>
      <c r="B403" s="55" t="s">
        <v>3697</v>
      </c>
      <c r="G403" s="1381"/>
      <c r="H403" s="1381"/>
      <c r="I403" s="1381"/>
      <c r="J403" s="1021" t="s">
        <v>3698</v>
      </c>
      <c r="L403" s="1381"/>
      <c r="M403" s="3808">
        <f>'Part III-Sources of Funds'!H5</f>
        <v>0</v>
      </c>
      <c r="N403" s="3809"/>
      <c r="O403" s="527" t="s">
        <v>2115</v>
      </c>
      <c r="P403" s="239"/>
      <c r="Q403" s="619"/>
    </row>
    <row r="404" spans="1:31" ht="11.25" customHeight="1">
      <c r="B404" s="144" t="s">
        <v>3755</v>
      </c>
      <c r="D404" s="144"/>
      <c r="E404" s="144"/>
      <c r="F404" s="144"/>
      <c r="G404" s="144"/>
      <c r="H404" s="40"/>
      <c r="I404" s="1385"/>
      <c r="J404" s="1385"/>
      <c r="K404" s="1385"/>
      <c r="L404" s="1378"/>
      <c r="M404" s="1378"/>
      <c r="N404" s="1378"/>
      <c r="O404" s="1378"/>
      <c r="P404" s="1378"/>
      <c r="Q404" s="1020"/>
    </row>
    <row r="405" spans="1:31" ht="11.45" customHeight="1">
      <c r="A405" s="3622"/>
      <c r="B405" s="3623"/>
      <c r="C405" s="3623"/>
      <c r="D405" s="3623"/>
      <c r="E405" s="3623"/>
      <c r="F405" s="3623"/>
      <c r="G405" s="3623"/>
      <c r="H405" s="3623"/>
      <c r="I405" s="3623"/>
      <c r="J405" s="3623"/>
      <c r="K405" s="3623"/>
      <c r="L405" s="3623"/>
      <c r="M405" s="3623"/>
      <c r="N405" s="3623"/>
      <c r="O405" s="3623"/>
      <c r="P405" s="3623"/>
      <c r="Q405" s="3624"/>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3"/>
      <c r="B407" s="3604"/>
      <c r="C407" s="3604"/>
      <c r="D407" s="3604"/>
      <c r="E407" s="3604"/>
      <c r="F407" s="3604"/>
      <c r="G407" s="3604"/>
      <c r="H407" s="3604"/>
      <c r="I407" s="3604"/>
      <c r="J407" s="3604"/>
      <c r="K407" s="3604"/>
      <c r="L407" s="3604"/>
      <c r="M407" s="3604"/>
      <c r="N407" s="3604"/>
      <c r="O407" s="3604"/>
      <c r="P407" s="3604"/>
      <c r="Q407" s="3605"/>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2667</v>
      </c>
      <c r="C409" s="4"/>
      <c r="D409" s="4"/>
      <c r="E409" s="1379"/>
      <c r="G409" s="143" t="s">
        <v>701</v>
      </c>
      <c r="H409" s="1379"/>
      <c r="I409" s="1379"/>
      <c r="J409" s="1379"/>
      <c r="K409" s="1379"/>
      <c r="L409" s="1379"/>
      <c r="M409" s="1379"/>
      <c r="O409" s="135" t="s">
        <v>1867</v>
      </c>
      <c r="P409" s="3627"/>
      <c r="Q409" s="3628"/>
    </row>
    <row r="410" spans="1:31" ht="12" customHeight="1">
      <c r="A410" s="47" t="s">
        <v>1983</v>
      </c>
      <c r="B410" s="52" t="s">
        <v>2672</v>
      </c>
      <c r="D410" s="1022"/>
      <c r="E410" s="1022"/>
      <c r="H410" s="143"/>
      <c r="O410" s="527" t="s">
        <v>1983</v>
      </c>
      <c r="P410" s="238" t="s">
        <v>2989</v>
      </c>
      <c r="Q410" s="617"/>
    </row>
    <row r="411" spans="1:31" ht="12" customHeight="1">
      <c r="A411" s="47" t="s">
        <v>1985</v>
      </c>
      <c r="B411" s="52" t="s">
        <v>3582</v>
      </c>
      <c r="D411" s="1022"/>
      <c r="E411" s="1022"/>
      <c r="O411" s="527" t="s">
        <v>1985</v>
      </c>
      <c r="P411" s="422" t="s">
        <v>2992</v>
      </c>
      <c r="Q411" s="618"/>
    </row>
    <row r="412" spans="1:31" ht="12" customHeight="1">
      <c r="A412" s="47" t="s">
        <v>749</v>
      </c>
      <c r="B412" s="52" t="s">
        <v>4081</v>
      </c>
      <c r="D412" s="1022"/>
      <c r="E412" s="1022"/>
      <c r="O412" s="527" t="s">
        <v>749</v>
      </c>
      <c r="P412" s="422" t="s">
        <v>2992</v>
      </c>
      <c r="Q412" s="618"/>
    </row>
    <row r="413" spans="1:31" ht="12" customHeight="1">
      <c r="A413" s="47" t="s">
        <v>2115</v>
      </c>
      <c r="B413" s="52" t="s">
        <v>3583</v>
      </c>
      <c r="E413" s="143"/>
      <c r="O413" s="527" t="s">
        <v>2115</v>
      </c>
      <c r="P413" s="422" t="s">
        <v>2992</v>
      </c>
      <c r="Q413" s="618"/>
    </row>
    <row r="414" spans="1:31" ht="12" customHeight="1">
      <c r="A414" s="47" t="s">
        <v>1735</v>
      </c>
      <c r="B414" s="52" t="s">
        <v>2079</v>
      </c>
      <c r="E414" s="143"/>
      <c r="G414" s="527" t="s">
        <v>1735</v>
      </c>
      <c r="H414" s="3629"/>
      <c r="I414" s="3630"/>
      <c r="J414" s="3630"/>
      <c r="K414" s="3630"/>
      <c r="L414" s="3630"/>
      <c r="M414" s="3630"/>
      <c r="N414" s="3630"/>
      <c r="O414" s="3631"/>
      <c r="P414" s="239"/>
      <c r="Q414" s="619"/>
    </row>
    <row r="415" spans="1:31" ht="11.25" customHeight="1">
      <c r="B415" s="144" t="s">
        <v>3755</v>
      </c>
      <c r="D415" s="144"/>
      <c r="E415" s="144"/>
      <c r="F415" s="144"/>
      <c r="G415" s="144"/>
      <c r="H415" s="40"/>
      <c r="I415" s="1385"/>
      <c r="J415" s="1385"/>
      <c r="K415" s="1385"/>
      <c r="L415" s="1378"/>
      <c r="M415" s="1378"/>
      <c r="N415" s="1378"/>
      <c r="O415" s="1378"/>
      <c r="P415" s="1378"/>
      <c r="Q415" s="1020"/>
    </row>
    <row r="416" spans="1:31" ht="11.45" customHeight="1">
      <c r="A416" s="3622"/>
      <c r="B416" s="3623"/>
      <c r="C416" s="3623"/>
      <c r="D416" s="3623"/>
      <c r="E416" s="3623"/>
      <c r="F416" s="3623"/>
      <c r="G416" s="3623"/>
      <c r="H416" s="3623"/>
      <c r="I416" s="3623"/>
      <c r="J416" s="3623"/>
      <c r="K416" s="3623"/>
      <c r="L416" s="3623"/>
      <c r="M416" s="3623"/>
      <c r="N416" s="3623"/>
      <c r="O416" s="3623"/>
      <c r="P416" s="3623"/>
      <c r="Q416" s="3624"/>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3"/>
      <c r="B418" s="3604"/>
      <c r="C418" s="3604"/>
      <c r="D418" s="3604"/>
      <c r="E418" s="3604"/>
      <c r="F418" s="3604"/>
      <c r="G418" s="3604"/>
      <c r="H418" s="3604"/>
      <c r="I418" s="3604"/>
      <c r="J418" s="3604"/>
      <c r="K418" s="3604"/>
      <c r="L418" s="3604"/>
      <c r="M418" s="3604"/>
      <c r="N418" s="3604"/>
      <c r="O418" s="3604"/>
      <c r="P418" s="3604"/>
      <c r="Q418" s="3605"/>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2668</v>
      </c>
      <c r="C420" s="4"/>
      <c r="D420" s="4"/>
      <c r="E420" s="4"/>
      <c r="F420" s="4"/>
      <c r="G420" s="4"/>
      <c r="H420" s="1379"/>
      <c r="I420" s="1379"/>
      <c r="J420" s="1379"/>
      <c r="K420" s="1379"/>
      <c r="L420" s="1379"/>
      <c r="M420" s="1379"/>
      <c r="O420" s="135" t="s">
        <v>1867</v>
      </c>
      <c r="P420" s="3627"/>
      <c r="Q420" s="3628"/>
    </row>
    <row r="421" spans="1:32" ht="12" customHeight="1">
      <c r="A421" s="47" t="s">
        <v>1983</v>
      </c>
      <c r="B421" s="39" t="s">
        <v>752</v>
      </c>
      <c r="D421" s="42"/>
      <c r="E421" s="42"/>
      <c r="F421" s="42"/>
      <c r="G421" s="42"/>
      <c r="H421" s="42"/>
      <c r="I421" s="42"/>
      <c r="J421" s="42"/>
      <c r="K421" s="42"/>
      <c r="L421" s="42"/>
      <c r="M421" s="42"/>
      <c r="N421" s="42"/>
      <c r="O421" s="527" t="s">
        <v>1983</v>
      </c>
      <c r="P421" s="238" t="s">
        <v>2989</v>
      </c>
      <c r="Q421" s="617"/>
    </row>
    <row r="422" spans="1:32" ht="12" customHeight="1">
      <c r="A422" s="47" t="s">
        <v>1985</v>
      </c>
      <c r="B422" s="36" t="s">
        <v>3475</v>
      </c>
      <c r="D422" s="42"/>
      <c r="E422" s="42"/>
      <c r="F422" s="42"/>
      <c r="G422" s="42"/>
      <c r="H422" s="42"/>
      <c r="I422" s="42"/>
      <c r="J422" s="42"/>
      <c r="K422" s="42"/>
      <c r="L422" s="42"/>
      <c r="M422" s="42"/>
      <c r="N422" s="42"/>
      <c r="O422" s="527" t="s">
        <v>1446</v>
      </c>
      <c r="P422" s="239" t="s">
        <v>2992</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t="s">
        <v>2992</v>
      </c>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t="s">
        <v>2992</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2989</v>
      </c>
      <c r="Q426" s="618"/>
    </row>
    <row r="427" spans="1:32" ht="12" customHeight="1">
      <c r="A427" s="47" t="s">
        <v>2115</v>
      </c>
      <c r="B427" s="3651" t="s">
        <v>2814</v>
      </c>
      <c r="C427" s="3651"/>
      <c r="D427" s="3651"/>
      <c r="E427" s="3651"/>
      <c r="F427" s="1021"/>
      <c r="G427" s="138" t="s">
        <v>2202</v>
      </c>
      <c r="J427" s="1081">
        <v>0</v>
      </c>
      <c r="K427" s="625"/>
      <c r="M427" s="138" t="s">
        <v>2205</v>
      </c>
      <c r="P427" s="1083">
        <v>0</v>
      </c>
      <c r="Q427" s="626"/>
    </row>
    <row r="428" spans="1:32" ht="12" customHeight="1">
      <c r="A428" s="47"/>
      <c r="B428" s="3651"/>
      <c r="C428" s="3651"/>
      <c r="D428" s="3651"/>
      <c r="E428" s="3651"/>
      <c r="F428" s="1021"/>
      <c r="G428" s="138" t="s">
        <v>2203</v>
      </c>
      <c r="J428" s="1083">
        <v>0</v>
      </c>
      <c r="K428" s="626"/>
      <c r="M428" s="138" t="s">
        <v>2206</v>
      </c>
      <c r="P428" s="1082">
        <v>0</v>
      </c>
      <c r="Q428" s="627"/>
    </row>
    <row r="429" spans="1:32" ht="12" customHeight="1">
      <c r="A429" s="47"/>
      <c r="B429" s="3651"/>
      <c r="C429" s="3651"/>
      <c r="D429" s="3651"/>
      <c r="E429" s="3651"/>
      <c r="F429" s="1021"/>
      <c r="G429" s="138" t="s">
        <v>2204</v>
      </c>
      <c r="J429" s="1082">
        <v>2</v>
      </c>
      <c r="K429" s="627"/>
      <c r="L429" s="1021"/>
      <c r="M429" s="42"/>
      <c r="N429" s="527"/>
    </row>
    <row r="430" spans="1:32" ht="12" customHeight="1">
      <c r="A430" s="47" t="s">
        <v>1735</v>
      </c>
      <c r="B430" s="1021" t="s">
        <v>4933</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t="s">
        <v>2989</v>
      </c>
      <c r="K431" s="617"/>
      <c r="L431" s="1021"/>
      <c r="M431" s="495" t="s">
        <v>4780</v>
      </c>
    </row>
    <row r="432" spans="1:32" ht="12" customHeight="1">
      <c r="A432" s="42"/>
      <c r="G432" s="495" t="s">
        <v>4778</v>
      </c>
      <c r="H432" s="1021"/>
      <c r="I432" s="1021"/>
      <c r="J432" s="422" t="s">
        <v>2989</v>
      </c>
      <c r="K432" s="618"/>
      <c r="M432" s="3616" t="s">
        <v>5329</v>
      </c>
      <c r="N432" s="3617"/>
      <c r="O432" s="3617"/>
      <c r="P432" s="3617"/>
      <c r="Q432" s="3618"/>
    </row>
    <row r="433" spans="1:32" ht="12" customHeight="1">
      <c r="A433" s="42"/>
      <c r="G433" s="495" t="s">
        <v>4779</v>
      </c>
      <c r="H433" s="1021"/>
      <c r="J433" s="239" t="s">
        <v>2989</v>
      </c>
      <c r="K433" s="619"/>
      <c r="M433" s="3619"/>
      <c r="N433" s="3620"/>
      <c r="O433" s="3620"/>
      <c r="P433" s="3620"/>
      <c r="Q433" s="3621"/>
    </row>
    <row r="434" spans="1:32" ht="12" customHeight="1">
      <c r="A434" s="47"/>
      <c r="B434" s="495" t="s">
        <v>1738</v>
      </c>
      <c r="C434" s="1021" t="s">
        <v>4781</v>
      </c>
      <c r="D434" s="151"/>
      <c r="E434" s="1021"/>
      <c r="F434" s="1021"/>
      <c r="L434" s="1021"/>
      <c r="M434" s="1021"/>
      <c r="O434" s="527" t="s">
        <v>1738</v>
      </c>
      <c r="P434" s="542" t="s">
        <v>5333</v>
      </c>
      <c r="Q434" s="616" t="s">
        <v>1771</v>
      </c>
    </row>
    <row r="435" spans="1:32" ht="12" customHeight="1">
      <c r="A435" s="42"/>
      <c r="B435" s="151"/>
      <c r="C435" s="495" t="s">
        <v>2434</v>
      </c>
      <c r="D435" s="495" t="s">
        <v>4789</v>
      </c>
      <c r="E435" s="1021"/>
      <c r="F435" s="1021"/>
      <c r="G435" s="3632" t="s">
        <v>5330</v>
      </c>
      <c r="H435" s="3633"/>
      <c r="I435" s="3633"/>
      <c r="J435" s="3633"/>
      <c r="K435" s="3634"/>
      <c r="L435" s="2468"/>
    </row>
    <row r="436" spans="1:32" ht="12" customHeight="1">
      <c r="A436" s="42"/>
      <c r="B436" s="151"/>
      <c r="C436" s="495" t="s">
        <v>2435</v>
      </c>
      <c r="D436" s="495" t="s">
        <v>4790</v>
      </c>
      <c r="E436" s="1021"/>
      <c r="F436" s="2468"/>
      <c r="G436" s="3635" t="s">
        <v>5331</v>
      </c>
      <c r="H436" s="3636"/>
      <c r="I436" s="3637"/>
      <c r="J436" s="495" t="s">
        <v>4791</v>
      </c>
      <c r="K436" s="151"/>
      <c r="M436" s="3632"/>
      <c r="N436" s="3633"/>
      <c r="O436" s="3633"/>
      <c r="P436" s="3633"/>
      <c r="Q436" s="3634"/>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644" t="s">
        <v>5332</v>
      </c>
      <c r="C438" s="3645"/>
      <c r="D438" s="3645"/>
      <c r="E438" s="3645"/>
      <c r="F438" s="3645"/>
      <c r="G438" s="3645"/>
      <c r="H438" s="3645"/>
      <c r="I438" s="3645"/>
      <c r="J438" s="3645"/>
      <c r="K438" s="3645"/>
      <c r="L438" s="3645"/>
      <c r="M438" s="3645"/>
      <c r="N438" s="3645"/>
      <c r="O438" s="3645"/>
      <c r="P438" s="3645"/>
      <c r="Q438" s="3646"/>
      <c r="R438" s="509" t="s">
        <v>4783</v>
      </c>
      <c r="U438" s="139"/>
      <c r="V438" s="139"/>
      <c r="W438" s="139"/>
      <c r="X438" s="139"/>
      <c r="Y438" s="139"/>
      <c r="Z438" s="139"/>
      <c r="AA438" s="139"/>
      <c r="AB438" s="139"/>
      <c r="AC438" s="139"/>
      <c r="AD438" s="139"/>
      <c r="AE438" s="529"/>
    </row>
    <row r="439" spans="1:32" ht="12" customHeight="1">
      <c r="B439" s="144" t="s">
        <v>3755</v>
      </c>
      <c r="D439" s="144"/>
      <c r="E439" s="144"/>
      <c r="F439" s="144"/>
      <c r="G439" s="144"/>
      <c r="H439" s="40"/>
      <c r="I439" s="1385"/>
      <c r="J439" s="1385"/>
      <c r="K439" s="1385"/>
    </row>
    <row r="440" spans="1:32" ht="37.5" customHeight="1">
      <c r="A440" s="3622" t="s">
        <v>5335</v>
      </c>
      <c r="B440" s="3623"/>
      <c r="C440" s="3623"/>
      <c r="D440" s="3623"/>
      <c r="E440" s="3623"/>
      <c r="F440" s="3623"/>
      <c r="G440" s="3623"/>
      <c r="H440" s="3623"/>
      <c r="I440" s="3623"/>
      <c r="J440" s="3623"/>
      <c r="K440" s="3623"/>
      <c r="L440" s="3623"/>
      <c r="M440" s="3623"/>
      <c r="N440" s="3623"/>
      <c r="O440" s="3623"/>
      <c r="P440" s="3623"/>
      <c r="Q440" s="3624"/>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3"/>
      <c r="B442" s="3604"/>
      <c r="C442" s="3604"/>
      <c r="D442" s="3604"/>
      <c r="E442" s="3604"/>
      <c r="F442" s="3604"/>
      <c r="G442" s="3604"/>
      <c r="H442" s="3604"/>
      <c r="I442" s="3604"/>
      <c r="J442" s="3604"/>
      <c r="K442" s="3604"/>
      <c r="L442" s="3604"/>
      <c r="M442" s="3604"/>
      <c r="N442" s="3604"/>
      <c r="O442" s="3604"/>
      <c r="P442" s="3604"/>
      <c r="Q442" s="3605"/>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2815</v>
      </c>
      <c r="C444" s="4"/>
      <c r="D444" s="88"/>
      <c r="E444" s="1379"/>
      <c r="F444" s="1379"/>
      <c r="G444" s="1379"/>
      <c r="H444" s="1379"/>
      <c r="O444" s="135" t="s">
        <v>1867</v>
      </c>
      <c r="P444" s="3627"/>
      <c r="Q444" s="3607"/>
    </row>
    <row r="445" spans="1:32" ht="14.1" customHeight="1">
      <c r="B445" s="88" t="s">
        <v>5051</v>
      </c>
      <c r="C445" s="4"/>
      <c r="D445" s="88"/>
      <c r="E445" s="1379"/>
      <c r="F445" s="1379"/>
      <c r="G445" s="1379"/>
      <c r="H445" s="1379"/>
    </row>
    <row r="446" spans="1:32" s="136" customFormat="1" ht="21.75" customHeight="1">
      <c r="A446" s="145" t="s">
        <v>1983</v>
      </c>
      <c r="B446" s="3611" t="s">
        <v>3939</v>
      </c>
      <c r="C446" s="3611"/>
      <c r="D446" s="3611"/>
      <c r="E446" s="3611"/>
      <c r="F446" s="3611"/>
      <c r="G446" s="3611"/>
      <c r="H446" s="3611"/>
      <c r="I446" s="3611"/>
      <c r="J446" s="3611"/>
      <c r="K446" s="3611"/>
      <c r="L446" s="3611"/>
      <c r="M446" s="3611"/>
      <c r="N446" s="3611"/>
      <c r="O446" s="166" t="s">
        <v>1983</v>
      </c>
      <c r="P446" s="1389" t="s">
        <v>5217</v>
      </c>
      <c r="Q446" s="1388"/>
      <c r="AE446" s="530"/>
      <c r="AF446" s="530"/>
    </row>
    <row r="447" spans="1:32" s="136" customFormat="1" ht="22.5" customHeight="1">
      <c r="A447" s="145" t="s">
        <v>1985</v>
      </c>
      <c r="B447" s="3611" t="s">
        <v>3937</v>
      </c>
      <c r="C447" s="3611"/>
      <c r="D447" s="3611"/>
      <c r="E447" s="3611"/>
      <c r="F447" s="3611"/>
      <c r="G447" s="3611"/>
      <c r="H447" s="3611"/>
      <c r="I447" s="3611"/>
      <c r="J447" s="3611"/>
      <c r="K447" s="3611"/>
      <c r="L447" s="3611"/>
      <c r="M447" s="3611"/>
      <c r="N447" s="3611"/>
      <c r="O447" s="166" t="s">
        <v>1985</v>
      </c>
      <c r="P447" s="633" t="s">
        <v>5217</v>
      </c>
      <c r="Q447" s="620"/>
      <c r="AE447" s="530"/>
      <c r="AF447" s="530"/>
    </row>
    <row r="448" spans="1:32" s="136" customFormat="1" ht="22.5" customHeight="1">
      <c r="B448" s="2579" t="s">
        <v>1737</v>
      </c>
      <c r="C448" s="3611" t="s">
        <v>4995</v>
      </c>
      <c r="D448" s="3611"/>
      <c r="E448" s="3611"/>
      <c r="F448" s="3611"/>
      <c r="G448" s="3611"/>
      <c r="H448" s="3611"/>
      <c r="I448" s="3611"/>
      <c r="J448" s="3611"/>
      <c r="K448" s="3611"/>
      <c r="L448" s="3611"/>
      <c r="M448" s="3611"/>
      <c r="N448" s="3611"/>
      <c r="O448" s="166" t="s">
        <v>1737</v>
      </c>
      <c r="P448" s="633" t="s">
        <v>5217</v>
      </c>
      <c r="Q448" s="620"/>
      <c r="AE448" s="530"/>
      <c r="AF448" s="530"/>
    </row>
    <row r="449" spans="1:32" s="42" customFormat="1" ht="12" customHeight="1">
      <c r="B449" s="2579" t="s">
        <v>1738</v>
      </c>
      <c r="C449" s="36" t="s">
        <v>4996</v>
      </c>
      <c r="D449" s="1359"/>
      <c r="E449" s="1359"/>
      <c r="F449" s="1359"/>
      <c r="G449" s="1359"/>
      <c r="H449" s="1359"/>
      <c r="I449" s="1359"/>
      <c r="J449" s="1359"/>
      <c r="K449" s="1359"/>
      <c r="L449" s="1359"/>
      <c r="M449" s="1359"/>
      <c r="N449" s="1359"/>
      <c r="O449" s="527" t="s">
        <v>1738</v>
      </c>
      <c r="P449" s="422" t="s">
        <v>5217</v>
      </c>
      <c r="Q449" s="618"/>
      <c r="AE449" s="50"/>
      <c r="AF449" s="50"/>
    </row>
    <row r="450" spans="1:32" s="136" customFormat="1" ht="33" customHeight="1">
      <c r="B450" s="541" t="s">
        <v>1739</v>
      </c>
      <c r="C450" s="3611" t="s">
        <v>4997</v>
      </c>
      <c r="D450" s="3611"/>
      <c r="E450" s="3611"/>
      <c r="F450" s="3611"/>
      <c r="G450" s="3611"/>
      <c r="H450" s="3611"/>
      <c r="I450" s="3611"/>
      <c r="J450" s="3611"/>
      <c r="K450" s="3611"/>
      <c r="L450" s="3611"/>
      <c r="M450" s="3611"/>
      <c r="N450" s="3611"/>
      <c r="O450" s="166" t="s">
        <v>1739</v>
      </c>
      <c r="P450" s="633" t="s">
        <v>5217</v>
      </c>
      <c r="Q450" s="620"/>
      <c r="AE450" s="530"/>
      <c r="AF450" s="530"/>
    </row>
    <row r="451" spans="1:32" s="136" customFormat="1" ht="22.5" customHeight="1">
      <c r="B451" s="541" t="s">
        <v>2365</v>
      </c>
      <c r="C451" s="3611" t="s">
        <v>4998</v>
      </c>
      <c r="D451" s="3611"/>
      <c r="E451" s="3611"/>
      <c r="F451" s="3611"/>
      <c r="G451" s="3611"/>
      <c r="H451" s="3611"/>
      <c r="I451" s="3611"/>
      <c r="J451" s="3611"/>
      <c r="K451" s="3611"/>
      <c r="L451" s="3611"/>
      <c r="M451" s="3611"/>
      <c r="N451" s="3611"/>
      <c r="O451" s="166" t="s">
        <v>2365</v>
      </c>
      <c r="P451" s="633" t="s">
        <v>5217</v>
      </c>
      <c r="Q451" s="620"/>
      <c r="AE451" s="530"/>
      <c r="AF451" s="530"/>
    </row>
    <row r="452" spans="1:32" s="136" customFormat="1" ht="22.5" customHeight="1">
      <c r="A452" s="145" t="s">
        <v>749</v>
      </c>
      <c r="B452" s="3611" t="s">
        <v>3943</v>
      </c>
      <c r="C452" s="3611"/>
      <c r="D452" s="3611"/>
      <c r="E452" s="3611"/>
      <c r="F452" s="3611"/>
      <c r="G452" s="3611"/>
      <c r="H452" s="3611"/>
      <c r="I452" s="3611"/>
      <c r="J452" s="3611"/>
      <c r="K452" s="3611"/>
      <c r="L452" s="3611"/>
      <c r="M452" s="3611"/>
      <c r="N452" s="3611"/>
      <c r="O452" s="166" t="s">
        <v>749</v>
      </c>
      <c r="P452" s="633" t="s">
        <v>5217</v>
      </c>
      <c r="Q452" s="620"/>
      <c r="AE452" s="530"/>
      <c r="AF452" s="530"/>
    </row>
    <row r="453" spans="1:32" s="136" customFormat="1" ht="22.5" customHeight="1">
      <c r="A453" s="145" t="s">
        <v>2115</v>
      </c>
      <c r="B453" s="3611" t="s">
        <v>3944</v>
      </c>
      <c r="C453" s="3611"/>
      <c r="D453" s="3611"/>
      <c r="E453" s="3611"/>
      <c r="F453" s="3611"/>
      <c r="G453" s="3611"/>
      <c r="H453" s="3611"/>
      <c r="I453" s="3611"/>
      <c r="J453" s="3611"/>
      <c r="K453" s="3611"/>
      <c r="L453" s="3611"/>
      <c r="M453" s="3611"/>
      <c r="N453" s="3611"/>
      <c r="O453" s="166" t="s">
        <v>2115</v>
      </c>
      <c r="P453" s="633" t="s">
        <v>5217</v>
      </c>
      <c r="Q453" s="620"/>
      <c r="AE453" s="530"/>
      <c r="AF453" s="530"/>
    </row>
    <row r="454" spans="1:32" s="136" customFormat="1" ht="21.75" customHeight="1">
      <c r="A454" s="145" t="s">
        <v>1735</v>
      </c>
      <c r="B454" s="3611" t="s">
        <v>3945</v>
      </c>
      <c r="C454" s="3611"/>
      <c r="D454" s="3611"/>
      <c r="E454" s="3611"/>
      <c r="F454" s="3611"/>
      <c r="G454" s="3611"/>
      <c r="H454" s="3611"/>
      <c r="I454" s="3611"/>
      <c r="J454" s="3611"/>
      <c r="K454" s="3611"/>
      <c r="L454" s="3611"/>
      <c r="M454" s="3611"/>
      <c r="N454" s="3611"/>
      <c r="O454" s="166" t="s">
        <v>1735</v>
      </c>
      <c r="P454" s="633" t="s">
        <v>5217</v>
      </c>
      <c r="Q454" s="620"/>
      <c r="AE454" s="530"/>
      <c r="AF454" s="530"/>
    </row>
    <row r="455" spans="1:32" s="474" customFormat="1" ht="21.75" customHeight="1">
      <c r="A455" s="145" t="s">
        <v>1736</v>
      </c>
      <c r="B455" s="3611" t="s">
        <v>3476</v>
      </c>
      <c r="C455" s="3611"/>
      <c r="D455" s="3611"/>
      <c r="E455" s="3611"/>
      <c r="F455" s="3611"/>
      <c r="G455" s="3611"/>
      <c r="H455" s="3611"/>
      <c r="I455" s="3611"/>
      <c r="J455" s="3611"/>
      <c r="K455" s="3611"/>
      <c r="L455" s="3611"/>
      <c r="M455" s="3611"/>
      <c r="N455" s="3611"/>
      <c r="O455" s="166" t="s">
        <v>1736</v>
      </c>
      <c r="P455" s="1447" t="s">
        <v>5217</v>
      </c>
      <c r="Q455" s="1448"/>
      <c r="AE455" s="532"/>
      <c r="AF455" s="532"/>
    </row>
    <row r="456" spans="1:32" ht="11.25" customHeight="1">
      <c r="B456" s="144" t="s">
        <v>3755</v>
      </c>
      <c r="D456" s="144"/>
      <c r="E456" s="144"/>
      <c r="F456" s="144"/>
      <c r="G456" s="144"/>
      <c r="H456" s="40"/>
      <c r="I456" s="1385"/>
      <c r="J456" s="1385"/>
      <c r="K456" s="1385"/>
      <c r="L456" s="1378"/>
      <c r="M456" s="1378"/>
      <c r="N456" s="1378"/>
      <c r="O456" s="1378"/>
      <c r="P456" s="1378"/>
      <c r="Q456" s="1020"/>
    </row>
    <row r="457" spans="1:32" ht="22.5" customHeight="1">
      <c r="A457" s="3622"/>
      <c r="B457" s="3623"/>
      <c r="C457" s="3623"/>
      <c r="D457" s="3623"/>
      <c r="E457" s="3623"/>
      <c r="F457" s="3623"/>
      <c r="G457" s="3623"/>
      <c r="H457" s="3623"/>
      <c r="I457" s="3623"/>
      <c r="J457" s="3623"/>
      <c r="K457" s="3623"/>
      <c r="L457" s="3623"/>
      <c r="M457" s="3623"/>
      <c r="N457" s="3623"/>
      <c r="O457" s="3623"/>
      <c r="P457" s="3623"/>
      <c r="Q457" s="3624"/>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3"/>
      <c r="B459" s="3604"/>
      <c r="C459" s="3604"/>
      <c r="D459" s="3604"/>
      <c r="E459" s="3604"/>
      <c r="F459" s="3604"/>
      <c r="G459" s="3604"/>
      <c r="H459" s="3604"/>
      <c r="I459" s="3604"/>
      <c r="J459" s="3604"/>
      <c r="K459" s="3604"/>
      <c r="L459" s="3604"/>
      <c r="M459" s="3604"/>
      <c r="N459" s="3604"/>
      <c r="O459" s="3604"/>
      <c r="P459" s="3604"/>
      <c r="Q459" s="3605"/>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4792</v>
      </c>
      <c r="C461" s="10" t="s">
        <v>2718</v>
      </c>
      <c r="D461" s="58"/>
      <c r="E461" s="52"/>
      <c r="J461" s="61"/>
      <c r="M461" s="2419"/>
      <c r="N461" s="6"/>
      <c r="O461" s="135" t="s">
        <v>1867</v>
      </c>
      <c r="P461" s="3627"/>
      <c r="Q461" s="3607"/>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t="s">
        <v>2992</v>
      </c>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t="s">
        <v>5238</v>
      </c>
      <c r="Q463" s="619"/>
      <c r="AE463" s="531"/>
      <c r="AF463" s="531"/>
    </row>
    <row r="464" spans="1:32" s="43" customFormat="1" ht="12" customHeight="1" thickBot="1">
      <c r="A464" s="47" t="s">
        <v>1983</v>
      </c>
      <c r="B464" s="88" t="s">
        <v>4793</v>
      </c>
      <c r="D464" s="33"/>
      <c r="E464" s="33"/>
      <c r="F464" s="33"/>
      <c r="O464" s="527" t="s">
        <v>1983</v>
      </c>
    </row>
    <row r="465" spans="1:31" s="472" customFormat="1" ht="15" customHeight="1" thickBot="1">
      <c r="A465" s="145"/>
      <c r="B465" s="504" t="s">
        <v>1986</v>
      </c>
      <c r="C465" s="3611" t="s">
        <v>4920</v>
      </c>
      <c r="D465" s="3611"/>
      <c r="E465" s="3611"/>
      <c r="F465" s="3611"/>
      <c r="G465" s="3611"/>
      <c r="H465" s="3611"/>
      <c r="I465" s="3611"/>
      <c r="J465" s="3611"/>
      <c r="K465" s="3602" t="s">
        <v>5046</v>
      </c>
      <c r="L465" s="2630" t="s">
        <v>4795</v>
      </c>
      <c r="M465" s="2636"/>
      <c r="N465" s="2631">
        <f>ROUNDUP('Part VI-Revenues &amp; Expenses'!$O$63*0.1,0)</f>
        <v>8</v>
      </c>
      <c r="O465" s="449" t="s">
        <v>1986</v>
      </c>
      <c r="P465" s="3614"/>
      <c r="Q465" s="3612"/>
      <c r="R465" s="2628"/>
      <c r="S465" s="2628"/>
    </row>
    <row r="466" spans="1:31" s="472" customFormat="1" ht="15" customHeight="1">
      <c r="A466" s="145"/>
      <c r="B466" s="504"/>
      <c r="C466" s="3611"/>
      <c r="D466" s="3611"/>
      <c r="E466" s="3611"/>
      <c r="F466" s="3611"/>
      <c r="G466" s="3611"/>
      <c r="H466" s="3611"/>
      <c r="I466" s="3611"/>
      <c r="J466" s="3611"/>
      <c r="K466" s="3818"/>
      <c r="L466" s="2625" t="s">
        <v>5047</v>
      </c>
      <c r="M466" s="2637"/>
      <c r="N466" s="2629">
        <f>'Part VI-Revenues &amp; Expenses'!$O$63</f>
        <v>76</v>
      </c>
      <c r="P466" s="3615"/>
      <c r="Q466" s="3613"/>
      <c r="R466" s="2628"/>
      <c r="S466" s="2628"/>
    </row>
    <row r="467" spans="1:31" s="472" customFormat="1" ht="15" customHeight="1">
      <c r="A467" s="145"/>
      <c r="B467" s="504"/>
      <c r="C467" s="3611"/>
      <c r="D467" s="3611"/>
      <c r="E467" s="3611"/>
      <c r="F467" s="3611"/>
      <c r="G467" s="3611"/>
      <c r="H467" s="3611"/>
      <c r="I467" s="3611"/>
      <c r="J467" s="3611"/>
      <c r="K467" s="2627">
        <f>'Part VI-Revenues &amp; Expenses'!$O$88</f>
        <v>76</v>
      </c>
      <c r="L467" s="1490" t="s">
        <v>4797</v>
      </c>
      <c r="M467" s="2638"/>
      <c r="N467" s="2523">
        <f>'Part VI-Revenues &amp; Expenses'!$O$67</f>
        <v>76</v>
      </c>
      <c r="P467" s="3615"/>
      <c r="Q467" s="3613"/>
    </row>
    <row r="468" spans="1:31" s="500" customFormat="1" ht="22.5" customHeight="1">
      <c r="A468" s="608"/>
      <c r="B468" s="504" t="s">
        <v>1988</v>
      </c>
      <c r="C468" s="3611" t="s">
        <v>4921</v>
      </c>
      <c r="D468" s="3611"/>
      <c r="E468" s="3611"/>
      <c r="F468" s="3611"/>
      <c r="G468" s="3611"/>
      <c r="H468" s="3611"/>
      <c r="I468" s="3611"/>
      <c r="J468" s="3611"/>
      <c r="K468" s="675"/>
      <c r="L468" s="675"/>
      <c r="M468" s="675"/>
      <c r="O468" s="449" t="s">
        <v>1988</v>
      </c>
      <c r="P468" s="2566"/>
      <c r="Q468" s="2565"/>
    </row>
    <row r="469" spans="1:31" s="500" customFormat="1" ht="12" customHeight="1" thickBot="1">
      <c r="A469" s="608"/>
      <c r="B469" s="504" t="s">
        <v>2533</v>
      </c>
      <c r="C469" s="3611" t="s">
        <v>4922</v>
      </c>
      <c r="D469" s="3611"/>
      <c r="E469" s="3611"/>
      <c r="F469" s="3611"/>
      <c r="G469" s="3611"/>
      <c r="H469" s="3611"/>
      <c r="I469" s="675"/>
      <c r="J469" s="1359" t="s">
        <v>4798</v>
      </c>
      <c r="K469" s="2524">
        <f>'Part VI-Revenues &amp; Expenses'!$O$103</f>
        <v>0</v>
      </c>
      <c r="L469" s="1489" t="s">
        <v>4796</v>
      </c>
      <c r="M469" s="2633"/>
      <c r="N469" s="2626">
        <f>ROUNDUP(N467*0.1,0)</f>
        <v>8</v>
      </c>
      <c r="O469" s="449" t="s">
        <v>2533</v>
      </c>
      <c r="P469" s="3615"/>
      <c r="Q469" s="3613"/>
      <c r="R469" s="2628"/>
      <c r="S469" s="2628"/>
    </row>
    <row r="470" spans="1:31" s="500" customFormat="1" ht="12" customHeight="1" thickBot="1">
      <c r="A470" s="608"/>
      <c r="B470" s="504"/>
      <c r="C470" s="3611"/>
      <c r="D470" s="3611"/>
      <c r="E470" s="3611"/>
      <c r="F470" s="3611"/>
      <c r="G470" s="3611"/>
      <c r="H470" s="3611"/>
      <c r="I470" s="675"/>
      <c r="J470" s="1359" t="s">
        <v>4799</v>
      </c>
      <c r="K470" s="2525">
        <f>IF(N467=0,"",K469/N467)</f>
        <v>0</v>
      </c>
      <c r="L470" s="2634" t="s">
        <v>5045</v>
      </c>
      <c r="M470" s="2635"/>
      <c r="N470" s="2632">
        <f>'Part VI-Revenues &amp; Expenses'!$K$67/'Part VI-Revenues &amp; Expenses'!$O$67</f>
        <v>0.18421052631578946</v>
      </c>
      <c r="O470" s="449" t="str">
        <f>IF(AND(N470&lt;0.1,P469="Yes"), "Check!","")</f>
        <v/>
      </c>
      <c r="P470" s="3648"/>
      <c r="Q470" s="3647"/>
      <c r="R470" s="2628"/>
      <c r="S470" s="2628"/>
    </row>
    <row r="471" spans="1:31" s="43" customFormat="1" ht="12" customHeight="1">
      <c r="A471" s="47" t="s">
        <v>1985</v>
      </c>
      <c r="B471" s="88" t="s">
        <v>4923</v>
      </c>
      <c r="D471" s="40"/>
      <c r="G471" s="36"/>
      <c r="M471" s="6"/>
      <c r="R471" s="434"/>
    </row>
    <row r="472" spans="1:31" s="472" customFormat="1" ht="21.75" customHeight="1">
      <c r="A472" s="145"/>
      <c r="B472" s="3611" t="s">
        <v>4924</v>
      </c>
      <c r="C472" s="3611"/>
      <c r="D472" s="3611"/>
      <c r="E472" s="3611"/>
      <c r="F472" s="3611"/>
      <c r="G472" s="3611"/>
      <c r="H472" s="3611"/>
      <c r="I472" s="3611"/>
      <c r="J472" s="3611"/>
      <c r="K472" s="3611"/>
      <c r="L472" s="3611"/>
      <c r="M472" s="3611"/>
      <c r="N472" s="3611"/>
      <c r="O472" s="166" t="s">
        <v>1985</v>
      </c>
      <c r="P472" s="1424" t="s">
        <v>5217</v>
      </c>
      <c r="Q472" s="1425"/>
      <c r="R472" s="584"/>
    </row>
    <row r="473" spans="1:31" s="43" customFormat="1" ht="11.25" customHeight="1">
      <c r="A473" s="42"/>
      <c r="B473" s="97" t="s">
        <v>3755</v>
      </c>
      <c r="C473" s="42"/>
      <c r="D473" s="48"/>
      <c r="E473" s="48"/>
      <c r="F473" s="48"/>
      <c r="G473" s="48"/>
      <c r="H473" s="36"/>
      <c r="I473" s="36"/>
      <c r="J473" s="36"/>
      <c r="K473" s="36"/>
      <c r="M473" s="46"/>
      <c r="N473" s="62"/>
      <c r="O473" s="3"/>
      <c r="P473" s="2421"/>
    </row>
    <row r="474" spans="1:31" s="43" customFormat="1" ht="21.75" customHeight="1">
      <c r="A474" s="3622"/>
      <c r="B474" s="3623"/>
      <c r="C474" s="3623"/>
      <c r="D474" s="3623"/>
      <c r="E474" s="3623"/>
      <c r="F474" s="3623"/>
      <c r="G474" s="3623"/>
      <c r="H474" s="3623"/>
      <c r="I474" s="3623"/>
      <c r="J474" s="3623"/>
      <c r="K474" s="3623"/>
      <c r="L474" s="3623"/>
      <c r="M474" s="3623"/>
      <c r="N474" s="3623"/>
      <c r="O474" s="3623"/>
      <c r="P474" s="3623"/>
      <c r="Q474" s="3624"/>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3"/>
      <c r="B476" s="3604"/>
      <c r="C476" s="3604"/>
      <c r="D476" s="3604"/>
      <c r="E476" s="3604"/>
      <c r="F476" s="3604"/>
      <c r="G476" s="3604"/>
      <c r="H476" s="3604"/>
      <c r="I476" s="3604"/>
      <c r="J476" s="3604"/>
      <c r="K476" s="3604"/>
      <c r="L476" s="3604"/>
      <c r="M476" s="3604"/>
      <c r="N476" s="3604"/>
      <c r="O476" s="3604"/>
      <c r="P476" s="3604"/>
      <c r="Q476" s="3605"/>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4794</v>
      </c>
      <c r="B478" s="4"/>
      <c r="C478" s="4" t="s">
        <v>2669</v>
      </c>
      <c r="D478" s="88"/>
      <c r="E478" s="1379"/>
      <c r="F478" s="1379"/>
      <c r="G478" s="1379"/>
      <c r="H478" s="1379"/>
      <c r="I478" s="1379"/>
      <c r="J478" s="1379"/>
      <c r="K478" s="1379"/>
      <c r="L478" s="1379"/>
      <c r="M478" s="1379"/>
      <c r="O478" s="135" t="s">
        <v>1867</v>
      </c>
      <c r="P478" s="3627"/>
      <c r="Q478" s="3607"/>
    </row>
    <row r="479" spans="1:31" ht="11.25" customHeight="1">
      <c r="A479" s="1384"/>
      <c r="B479" s="144" t="s">
        <v>3755</v>
      </c>
      <c r="D479" s="144"/>
      <c r="E479" s="144"/>
      <c r="F479" s="144"/>
      <c r="G479" s="144"/>
      <c r="H479" s="40"/>
      <c r="I479" s="1385"/>
      <c r="J479" s="1385"/>
      <c r="K479" s="1385"/>
      <c r="L479" s="1378"/>
      <c r="M479" s="1378"/>
      <c r="N479" s="1378"/>
      <c r="O479" s="1378"/>
      <c r="P479" s="1378"/>
      <c r="Q479" s="1020"/>
    </row>
    <row r="480" spans="1:31" ht="22.5" customHeight="1">
      <c r="A480" s="3622" t="s">
        <v>970</v>
      </c>
      <c r="B480" s="3623"/>
      <c r="C480" s="3623"/>
      <c r="D480" s="3623"/>
      <c r="E480" s="3623"/>
      <c r="F480" s="3623"/>
      <c r="G480" s="3623"/>
      <c r="H480" s="3623"/>
      <c r="I480" s="3623"/>
      <c r="J480" s="3623"/>
      <c r="K480" s="3623"/>
      <c r="L480" s="3623"/>
      <c r="M480" s="3623"/>
      <c r="N480" s="3623"/>
      <c r="O480" s="3623"/>
      <c r="P480" s="3623"/>
      <c r="Q480" s="3624"/>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3"/>
      <c r="B482" s="3604"/>
      <c r="C482" s="3604"/>
      <c r="D482" s="3604"/>
      <c r="E482" s="3604"/>
      <c r="F482" s="3604"/>
      <c r="G482" s="3604"/>
      <c r="H482" s="3604"/>
      <c r="I482" s="3604"/>
      <c r="J482" s="3604"/>
      <c r="K482" s="3604"/>
      <c r="L482" s="3604"/>
      <c r="M482" s="3604"/>
      <c r="N482" s="3604"/>
      <c r="O482" s="3604"/>
      <c r="P482" s="3604"/>
      <c r="Q482" s="3605"/>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4802</v>
      </c>
      <c r="B485" s="4"/>
      <c r="C485" s="4" t="s">
        <v>5213</v>
      </c>
      <c r="D485" s="88"/>
      <c r="E485" s="2423"/>
      <c r="F485" s="2423"/>
      <c r="G485" s="2423"/>
      <c r="H485" s="2423"/>
      <c r="I485" s="2423"/>
      <c r="J485" s="2423"/>
      <c r="K485" s="2423"/>
      <c r="L485" s="2423"/>
      <c r="M485" s="2423"/>
      <c r="O485" s="135" t="s">
        <v>1867</v>
      </c>
      <c r="P485" s="3627"/>
      <c r="Q485" s="3607"/>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t="s">
        <v>2989</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3835</v>
      </c>
      <c r="P502" s="1210"/>
      <c r="AE502" s="502"/>
      <c r="AF502" s="502"/>
    </row>
    <row r="503" spans="1:32" s="495" customFormat="1" ht="11.25">
      <c r="B503" s="1208"/>
      <c r="C503" s="1207" t="s">
        <v>2543</v>
      </c>
      <c r="D503" s="1207"/>
      <c r="E503" s="1207"/>
      <c r="F503" s="1207"/>
      <c r="G503" s="1207"/>
      <c r="H503" s="1207"/>
      <c r="I503" s="1207"/>
      <c r="J503" s="2526" t="s">
        <v>1724</v>
      </c>
      <c r="K503" s="1207"/>
      <c r="L503" s="1208"/>
      <c r="M503" s="1208"/>
      <c r="N503" s="1209"/>
      <c r="O503" s="1208" t="s">
        <v>3836</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3837</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3838</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3868</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3839</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3840</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3841</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3842</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3779</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3772</v>
      </c>
      <c r="K525" s="1208"/>
      <c r="L525" s="1208"/>
      <c r="M525" s="1208"/>
      <c r="N525" s="1207"/>
      <c r="O525" s="1207"/>
      <c r="P525" s="1207"/>
      <c r="AE525" s="478"/>
      <c r="AF525" s="478"/>
    </row>
    <row r="526" spans="2:32" s="55" customFormat="1" ht="11.25">
      <c r="B526" s="1207"/>
      <c r="C526" s="1207" t="s">
        <v>2543</v>
      </c>
      <c r="D526" s="1208"/>
      <c r="E526" s="1208"/>
      <c r="F526" s="1208"/>
      <c r="G526" s="1208"/>
      <c r="H526" s="1207"/>
      <c r="I526" s="1208"/>
      <c r="J526" s="1208" t="s">
        <v>3773</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4774</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4775</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2505</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2675</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2676</v>
      </c>
      <c r="D564" s="1207"/>
      <c r="E564" s="1207"/>
      <c r="F564" s="1207"/>
      <c r="G564" s="1207"/>
      <c r="H564" s="1207"/>
      <c r="I564" s="1207"/>
      <c r="J564" s="1207"/>
      <c r="K564" s="1207" t="s">
        <v>3767</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2649</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4928</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4979</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4976</v>
      </c>
      <c r="N582" s="1207"/>
      <c r="O582" s="1207"/>
      <c r="P582" s="1207"/>
      <c r="AE582" s="478"/>
      <c r="AF582" s="478"/>
    </row>
    <row r="583" spans="2:32" s="55" customFormat="1" ht="11.25">
      <c r="B583" s="1207"/>
      <c r="C583" s="1207" t="s">
        <v>2543</v>
      </c>
      <c r="D583" s="1207"/>
      <c r="E583" s="1207"/>
      <c r="F583" s="1207"/>
      <c r="G583" s="1207"/>
      <c r="H583" s="1207"/>
      <c r="I583" s="1207"/>
      <c r="J583" s="1207"/>
      <c r="K583" s="1207"/>
      <c r="L583" s="1207"/>
      <c r="M583" s="1207" t="s">
        <v>5013</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4977</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5075</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5076</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V36" sqref="V3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2019-5 Enclave at Milledgeville, Milledgeville, Baldwin County</v>
      </c>
      <c r="B1" s="3297"/>
      <c r="C1" s="3297"/>
      <c r="D1" s="3297"/>
      <c r="E1" s="3297"/>
      <c r="F1" s="3297"/>
      <c r="G1" s="3297"/>
      <c r="H1" s="3297"/>
      <c r="I1" s="3297"/>
      <c r="J1" s="3297"/>
      <c r="K1" s="3297"/>
      <c r="L1" s="3297"/>
      <c r="M1" s="3297"/>
      <c r="N1" s="3297"/>
      <c r="O1" s="3297"/>
      <c r="P1" s="329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2" t="s">
        <v>4947</v>
      </c>
      <c r="B3" s="3972"/>
      <c r="C3" s="3972"/>
      <c r="D3" s="3972"/>
      <c r="E3" s="3972"/>
      <c r="F3" s="3972"/>
      <c r="G3" s="3972"/>
      <c r="H3" s="3972"/>
      <c r="I3" s="3972"/>
      <c r="J3" s="3972"/>
      <c r="K3" s="3972"/>
      <c r="L3" s="3972"/>
      <c r="M3" s="1435" t="s">
        <v>2219</v>
      </c>
      <c r="N3" s="74"/>
      <c r="O3" s="85" t="s">
        <v>2218</v>
      </c>
      <c r="P3" s="1436" t="s">
        <v>256</v>
      </c>
      <c r="Q3" s="2575"/>
      <c r="R3" s="2575"/>
      <c r="S3" s="2575"/>
    </row>
    <row r="4" spans="1:22" s="44" customFormat="1" ht="12" customHeight="1">
      <c r="A4" s="3972"/>
      <c r="B4" s="3972"/>
      <c r="C4" s="3972"/>
      <c r="D4" s="3972"/>
      <c r="E4" s="3972"/>
      <c r="F4" s="3972"/>
      <c r="G4" s="3972"/>
      <c r="H4" s="3972"/>
      <c r="I4" s="3972"/>
      <c r="J4" s="3972"/>
      <c r="K4" s="3972"/>
      <c r="L4" s="3972"/>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36" t="str">
        <f>'Part I-Project Information'!$B$6</f>
        <v>May 2019 Final</v>
      </c>
      <c r="C6" s="4036"/>
      <c r="D6" s="4036"/>
      <c r="E6" s="4036"/>
      <c r="F6" s="4036"/>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4812</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20" t="s">
        <v>4175</v>
      </c>
      <c r="G10" s="4020"/>
      <c r="H10" s="4020"/>
      <c r="I10" s="4020"/>
      <c r="J10" s="4020"/>
      <c r="K10" s="4020"/>
      <c r="L10" s="4020"/>
      <c r="M10" s="4020"/>
      <c r="N10" s="4020"/>
      <c r="O10" s="2517" t="s">
        <v>4810</v>
      </c>
      <c r="P10" s="2518">
        <f>SUM(P11:P20)</f>
        <v>0</v>
      </c>
      <c r="Q10" s="3929" t="s">
        <v>5023</v>
      </c>
      <c r="R10" s="3929"/>
      <c r="S10" s="3929"/>
      <c r="T10" s="3929"/>
      <c r="U10" s="3929"/>
      <c r="V10" s="3929"/>
    </row>
    <row r="11" spans="1:22" s="42" customFormat="1" ht="11.25" customHeight="1">
      <c r="A11" s="1457" t="s">
        <v>742</v>
      </c>
      <c r="B11" s="1458" t="s">
        <v>4150</v>
      </c>
      <c r="C11" s="1459"/>
      <c r="D11" s="1460"/>
      <c r="E11" s="2507">
        <f>$O$61</f>
        <v>0</v>
      </c>
      <c r="F11" s="4021">
        <f>$A$67</f>
        <v>0</v>
      </c>
      <c r="G11" s="4022"/>
      <c r="H11" s="4022"/>
      <c r="I11" s="4022"/>
      <c r="J11" s="4022"/>
      <c r="K11" s="4022"/>
      <c r="L11" s="4022"/>
      <c r="M11" s="4022"/>
      <c r="N11" s="4022"/>
      <c r="O11" s="4022"/>
      <c r="P11" s="2537"/>
      <c r="Q11" s="3929"/>
      <c r="R11" s="3929"/>
      <c r="S11" s="3929"/>
      <c r="T11" s="3929"/>
      <c r="U11" s="3929"/>
      <c r="V11" s="3929"/>
    </row>
    <row r="12" spans="1:22" s="42" customFormat="1" ht="11.25" customHeight="1">
      <c r="A12" s="1461" t="s">
        <v>530</v>
      </c>
      <c r="B12" s="1119" t="s">
        <v>4152</v>
      </c>
      <c r="C12" s="1324"/>
      <c r="D12" s="1462"/>
      <c r="E12" s="2508">
        <f>$O$153</f>
        <v>0</v>
      </c>
      <c r="F12" s="3975">
        <f>$A$185</f>
        <v>0</v>
      </c>
      <c r="G12" s="3976"/>
      <c r="H12" s="3976"/>
      <c r="I12" s="3976"/>
      <c r="J12" s="3976"/>
      <c r="K12" s="3976"/>
      <c r="L12" s="3976"/>
      <c r="M12" s="3976"/>
      <c r="N12" s="3976"/>
      <c r="O12" s="3977"/>
      <c r="P12" s="2538"/>
      <c r="Q12" s="3943" t="str">
        <f>IF(OR($A$67="",$A$302="",$A$185="",$A$224="",$A$273="",$A$325="",$A$365="",$A$380="",$A$416="",$A$436=""),"Some Applicant Scoring Justification boxes are empty! Check to see if points claimed.","")</f>
        <v>Some Applicant Scoring Justification boxes are empty! Check to see if points claimed.</v>
      </c>
      <c r="R12" s="3944"/>
      <c r="S12" s="3944"/>
    </row>
    <row r="13" spans="1:22" s="42" customFormat="1" ht="11.25" customHeight="1">
      <c r="A13" s="1461" t="s">
        <v>772</v>
      </c>
      <c r="B13" s="1119" t="s">
        <v>4153</v>
      </c>
      <c r="C13" s="1324"/>
      <c r="D13" s="1462"/>
      <c r="E13" s="2509">
        <f>$O$189</f>
        <v>0</v>
      </c>
      <c r="F13" s="3975">
        <f>$A$224</f>
        <v>0</v>
      </c>
      <c r="G13" s="3976"/>
      <c r="H13" s="3976"/>
      <c r="I13" s="3976"/>
      <c r="J13" s="3976"/>
      <c r="K13" s="3976"/>
      <c r="L13" s="3976"/>
      <c r="M13" s="3976"/>
      <c r="N13" s="3976"/>
      <c r="O13" s="3977"/>
      <c r="P13" s="2538"/>
      <c r="Q13" s="3943"/>
      <c r="R13" s="3944"/>
      <c r="S13" s="3944"/>
    </row>
    <row r="14" spans="1:22" s="42" customFormat="1" ht="11.25" customHeight="1">
      <c r="A14" s="1467" t="s">
        <v>292</v>
      </c>
      <c r="B14" s="1468" t="s">
        <v>4154</v>
      </c>
      <c r="C14" s="1469"/>
      <c r="D14" s="1470"/>
      <c r="E14" s="2510" t="s">
        <v>1733</v>
      </c>
      <c r="F14" s="4023">
        <f>$A$273</f>
        <v>0</v>
      </c>
      <c r="G14" s="4024"/>
      <c r="H14" s="4024"/>
      <c r="I14" s="4024"/>
      <c r="J14" s="4024"/>
      <c r="K14" s="4024"/>
      <c r="L14" s="4024"/>
      <c r="M14" s="4024"/>
      <c r="N14" s="4024"/>
      <c r="O14" s="4025"/>
      <c r="P14" s="2538"/>
      <c r="Q14" s="3943"/>
      <c r="R14" s="3944"/>
      <c r="S14" s="3944"/>
    </row>
    <row r="15" spans="1:22" s="42" customFormat="1" ht="11.25" customHeight="1">
      <c r="A15" s="1461" t="s">
        <v>362</v>
      </c>
      <c r="B15" s="1119" t="s">
        <v>3791</v>
      </c>
      <c r="C15" s="1324"/>
      <c r="D15" s="1462"/>
      <c r="E15" s="2508">
        <f>$O$298</f>
        <v>0</v>
      </c>
      <c r="F15" s="3975">
        <f>$A$302</f>
        <v>0</v>
      </c>
      <c r="G15" s="3976"/>
      <c r="H15" s="3976"/>
      <c r="I15" s="3976"/>
      <c r="J15" s="3976"/>
      <c r="K15" s="3976"/>
      <c r="L15" s="3976"/>
      <c r="M15" s="3976"/>
      <c r="N15" s="3976"/>
      <c r="O15" s="3977"/>
      <c r="P15" s="2538"/>
      <c r="Q15" s="3943"/>
      <c r="R15" s="3944"/>
      <c r="S15" s="3944"/>
    </row>
    <row r="16" spans="1:22" s="42" customFormat="1" ht="11.25" customHeight="1">
      <c r="A16" s="1461" t="s">
        <v>4903</v>
      </c>
      <c r="B16" s="1119" t="s">
        <v>4460</v>
      </c>
      <c r="C16" s="1324"/>
      <c r="D16" s="1462"/>
      <c r="E16" s="2510">
        <f>$O$306</f>
        <v>0</v>
      </c>
      <c r="F16" s="3975">
        <f>$A$325</f>
        <v>0</v>
      </c>
      <c r="G16" s="3976"/>
      <c r="H16" s="3976"/>
      <c r="I16" s="3976"/>
      <c r="J16" s="3976"/>
      <c r="K16" s="3976"/>
      <c r="L16" s="3976"/>
      <c r="M16" s="3976"/>
      <c r="N16" s="3976"/>
      <c r="O16" s="3977"/>
      <c r="P16" s="2538"/>
      <c r="Q16" s="3943"/>
      <c r="R16" s="3944"/>
      <c r="S16" s="3944"/>
    </row>
    <row r="17" spans="1:19" s="42" customFormat="1" ht="11.25" customHeight="1">
      <c r="A17" s="1461" t="s">
        <v>2781</v>
      </c>
      <c r="B17" s="1119" t="s">
        <v>4155</v>
      </c>
      <c r="C17" s="1324"/>
      <c r="D17" s="1462"/>
      <c r="E17" s="2510">
        <f>$O$359</f>
        <v>0</v>
      </c>
      <c r="F17" s="4033">
        <f>$A$365</f>
        <v>0</v>
      </c>
      <c r="G17" s="4034"/>
      <c r="H17" s="4034"/>
      <c r="I17" s="4034"/>
      <c r="J17" s="4034"/>
      <c r="K17" s="4034"/>
      <c r="L17" s="4034"/>
      <c r="M17" s="4034"/>
      <c r="N17" s="4034"/>
      <c r="O17" s="4035"/>
      <c r="P17" s="2538"/>
      <c r="Q17" s="3943"/>
      <c r="R17" s="3944"/>
      <c r="S17" s="3944"/>
    </row>
    <row r="18" spans="1:19" s="42" customFormat="1" ht="11.25" customHeight="1">
      <c r="A18" s="1467" t="s">
        <v>2251</v>
      </c>
      <c r="B18" s="1468" t="s">
        <v>4156</v>
      </c>
      <c r="C18" s="1469"/>
      <c r="D18" s="1470"/>
      <c r="E18" s="2511">
        <f>O369</f>
        <v>0</v>
      </c>
      <c r="F18" s="3975">
        <f>$A$380</f>
        <v>0</v>
      </c>
      <c r="G18" s="3976"/>
      <c r="H18" s="3976"/>
      <c r="I18" s="3976"/>
      <c r="J18" s="3976"/>
      <c r="K18" s="3976"/>
      <c r="L18" s="3976"/>
      <c r="M18" s="3976"/>
      <c r="N18" s="3976"/>
      <c r="O18" s="3977"/>
      <c r="P18" s="2538"/>
      <c r="Q18" s="3943"/>
      <c r="R18" s="3944"/>
      <c r="S18" s="3944"/>
    </row>
    <row r="19" spans="1:19" s="42" customFormat="1" ht="11.25" customHeight="1">
      <c r="A19" s="1461" t="s">
        <v>4103</v>
      </c>
      <c r="B19" s="1119" t="s">
        <v>4157</v>
      </c>
      <c r="C19" s="1324"/>
      <c r="D19" s="1462"/>
      <c r="E19" s="2508">
        <f>$O$384</f>
        <v>0</v>
      </c>
      <c r="F19" s="3975">
        <f>$A$416</f>
        <v>0</v>
      </c>
      <c r="G19" s="3976"/>
      <c r="H19" s="3976"/>
      <c r="I19" s="3976"/>
      <c r="J19" s="3976"/>
      <c r="K19" s="3976"/>
      <c r="L19" s="3976"/>
      <c r="M19" s="3976"/>
      <c r="N19" s="3976"/>
      <c r="O19" s="3977"/>
      <c r="P19" s="2538"/>
      <c r="Q19" s="3943"/>
      <c r="R19" s="3944"/>
      <c r="S19" s="3944"/>
    </row>
    <row r="20" spans="1:19" s="42" customFormat="1" ht="11.25" customHeight="1">
      <c r="A20" s="1463" t="s">
        <v>4104</v>
      </c>
      <c r="B20" s="1464" t="s">
        <v>4159</v>
      </c>
      <c r="C20" s="1465"/>
      <c r="D20" s="1466"/>
      <c r="E20" s="2512">
        <f>$O$420</f>
        <v>0</v>
      </c>
      <c r="F20" s="4017">
        <f>$A$436</f>
        <v>0</v>
      </c>
      <c r="G20" s="4018"/>
      <c r="H20" s="4018"/>
      <c r="I20" s="4018"/>
      <c r="J20" s="4018"/>
      <c r="K20" s="4018"/>
      <c r="L20" s="4018"/>
      <c r="M20" s="4018"/>
      <c r="N20" s="4018"/>
      <c r="O20" s="4019"/>
      <c r="P20" s="2539"/>
      <c r="Q20" s="3943"/>
      <c r="R20" s="3944"/>
      <c r="S20" s="3944"/>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2783</v>
      </c>
      <c r="C22" s="4"/>
      <c r="D22" s="4"/>
      <c r="E22" s="4"/>
      <c r="F22" s="1508"/>
      <c r="H22" s="192" t="s">
        <v>4908</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4805</v>
      </c>
      <c r="D24" s="48"/>
      <c r="E24" s="48"/>
      <c r="F24" s="1508"/>
      <c r="M24" s="6"/>
      <c r="N24" s="65" t="s">
        <v>1983</v>
      </c>
    </row>
    <row r="25" spans="1:19" s="43" customFormat="1" ht="11.25" customHeight="1">
      <c r="A25" s="198"/>
      <c r="B25" s="2454" t="s">
        <v>1986</v>
      </c>
      <c r="C25" s="114" t="s">
        <v>4808</v>
      </c>
      <c r="D25" s="48"/>
      <c r="E25" s="48"/>
      <c r="F25" s="1508"/>
      <c r="H25" s="192" t="s">
        <v>3648</v>
      </c>
      <c r="J25" s="49"/>
      <c r="M25" s="6"/>
      <c r="N25" s="449" t="s">
        <v>1986</v>
      </c>
      <c r="O25" s="977"/>
      <c r="P25" s="1406">
        <f>F33</f>
        <v>0</v>
      </c>
    </row>
    <row r="26" spans="1:19" s="43" customFormat="1" ht="11.25" customHeight="1">
      <c r="A26" s="198"/>
      <c r="B26" s="2454" t="s">
        <v>1988</v>
      </c>
      <c r="C26" s="114" t="s">
        <v>5087</v>
      </c>
      <c r="D26" s="48"/>
      <c r="E26" s="48"/>
      <c r="F26" s="2426"/>
      <c r="H26" s="192" t="s">
        <v>4806</v>
      </c>
      <c r="J26" s="49"/>
      <c r="M26" s="6"/>
      <c r="N26" s="449" t="s">
        <v>1988</v>
      </c>
      <c r="O26" s="2443"/>
      <c r="P26" s="2444">
        <f>J33</f>
        <v>0</v>
      </c>
    </row>
    <row r="27" spans="1:19" s="43" customFormat="1" ht="11.25" customHeight="1">
      <c r="A27" s="198"/>
      <c r="B27" s="2454" t="s">
        <v>2533</v>
      </c>
      <c r="C27" s="114" t="s">
        <v>4807</v>
      </c>
      <c r="D27" s="48"/>
      <c r="E27" s="48"/>
      <c r="F27" s="2426"/>
      <c r="H27" s="192" t="s">
        <v>4811</v>
      </c>
      <c r="J27" s="49"/>
      <c r="M27" s="6"/>
      <c r="N27" s="449" t="s">
        <v>2533</v>
      </c>
      <c r="O27" s="600"/>
      <c r="P27" s="2445"/>
    </row>
    <row r="28" spans="1:19" s="43" customFormat="1" ht="11.25" customHeight="1">
      <c r="C28" s="4037" t="s">
        <v>5049</v>
      </c>
      <c r="D28" s="4038"/>
      <c r="E28" s="4038"/>
      <c r="F28" s="4038"/>
      <c r="G28" s="4038"/>
      <c r="H28" s="4038"/>
      <c r="I28" s="4038"/>
      <c r="J28" s="4038"/>
      <c r="K28" s="4038"/>
      <c r="L28" s="4038"/>
      <c r="M28" s="4038"/>
      <c r="N28" s="4038"/>
      <c r="O28" s="4038"/>
      <c r="P28" s="4039"/>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2728</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5" t="s">
        <v>5018</v>
      </c>
      <c r="B32" s="4005"/>
      <c r="C32" s="4005"/>
      <c r="D32" s="4005"/>
      <c r="E32" s="4005"/>
      <c r="F32" s="2440" t="s">
        <v>4147</v>
      </c>
      <c r="G32" s="4009" t="s">
        <v>5019</v>
      </c>
      <c r="H32" s="4009"/>
      <c r="I32" s="4009"/>
      <c r="J32" s="2440" t="s">
        <v>4147</v>
      </c>
      <c r="K32" s="4013" t="s">
        <v>4804</v>
      </c>
      <c r="L32" s="4013"/>
      <c r="M32" s="4013"/>
      <c r="N32" s="4013"/>
      <c r="O32" s="4007" t="s">
        <v>4147</v>
      </c>
      <c r="P32" s="4008"/>
      <c r="R32" s="511"/>
      <c r="S32" s="162"/>
    </row>
    <row r="33" spans="1:20" s="42" customFormat="1" ht="11.25" customHeight="1">
      <c r="A33" s="4006"/>
      <c r="B33" s="4006"/>
      <c r="C33" s="4006"/>
      <c r="D33" s="4006"/>
      <c r="E33" s="4006"/>
      <c r="F33" s="77">
        <f>SUM(F34:F45)</f>
        <v>0</v>
      </c>
      <c r="G33" s="4010"/>
      <c r="H33" s="4011"/>
      <c r="I33" s="4012"/>
      <c r="J33" s="77">
        <f>SUM(J34:J45)</f>
        <v>0</v>
      </c>
      <c r="K33" s="4014"/>
      <c r="L33" s="4015"/>
      <c r="M33" s="4015"/>
      <c r="N33" s="4016"/>
      <c r="O33" s="3996">
        <f>SUM(O34:O45)</f>
        <v>0</v>
      </c>
      <c r="P33" s="3997"/>
      <c r="Q33" s="511"/>
      <c r="R33" s="162"/>
    </row>
    <row r="34" spans="1:20" s="42" customFormat="1" ht="24.75" customHeight="1">
      <c r="A34" s="3998">
        <v>1</v>
      </c>
      <c r="B34" s="3999"/>
      <c r="C34" s="3999"/>
      <c r="D34" s="3999"/>
      <c r="E34" s="4000"/>
      <c r="F34" s="1005"/>
      <c r="G34" s="3998">
        <v>1</v>
      </c>
      <c r="H34" s="3999"/>
      <c r="I34" s="4000"/>
      <c r="J34" s="1009" t="s">
        <v>1733</v>
      </c>
      <c r="K34" s="4001">
        <v>1</v>
      </c>
      <c r="L34" s="4002"/>
      <c r="M34" s="4002"/>
      <c r="N34" s="4002"/>
      <c r="O34" s="4003" t="s">
        <v>1733</v>
      </c>
      <c r="P34" s="4004"/>
      <c r="Q34" s="509" t="s">
        <v>1254</v>
      </c>
      <c r="R34" s="162"/>
    </row>
    <row r="35" spans="1:20" s="42" customFormat="1" ht="24.75" customHeight="1">
      <c r="A35" s="3964">
        <v>2</v>
      </c>
      <c r="B35" s="3965"/>
      <c r="C35" s="3965"/>
      <c r="D35" s="3965"/>
      <c r="E35" s="3966"/>
      <c r="F35" s="1006"/>
      <c r="G35" s="3964">
        <v>2</v>
      </c>
      <c r="H35" s="3965"/>
      <c r="I35" s="3966"/>
      <c r="J35" s="1006"/>
      <c r="K35" s="3967">
        <v>2</v>
      </c>
      <c r="L35" s="3968"/>
      <c r="M35" s="3968"/>
      <c r="N35" s="3968"/>
      <c r="O35" s="4031"/>
      <c r="P35" s="4032"/>
      <c r="Q35" s="510"/>
      <c r="R35" s="162"/>
    </row>
    <row r="36" spans="1:20" s="42" customFormat="1" ht="24.75" customHeight="1">
      <c r="A36" s="3964">
        <v>3</v>
      </c>
      <c r="B36" s="3965"/>
      <c r="C36" s="3965"/>
      <c r="D36" s="3965"/>
      <c r="E36" s="3966"/>
      <c r="F36" s="1006"/>
      <c r="G36" s="3964">
        <v>3</v>
      </c>
      <c r="H36" s="3965"/>
      <c r="I36" s="3966"/>
      <c r="J36" s="1471" t="s">
        <v>2904</v>
      </c>
      <c r="K36" s="3967">
        <v>3</v>
      </c>
      <c r="L36" s="3968"/>
      <c r="M36" s="3968"/>
      <c r="N36" s="3968"/>
      <c r="O36" s="4136" t="s">
        <v>2904</v>
      </c>
      <c r="P36" s="4137"/>
      <c r="Q36" s="4149" t="s">
        <v>4809</v>
      </c>
      <c r="R36" s="4150"/>
      <c r="S36" s="2446"/>
      <c r="T36" s="2446"/>
    </row>
    <row r="37" spans="1:20" s="42" customFormat="1" ht="24.75" customHeight="1">
      <c r="A37" s="3964">
        <v>4</v>
      </c>
      <c r="B37" s="3965"/>
      <c r="C37" s="3965"/>
      <c r="D37" s="3965"/>
      <c r="E37" s="3966"/>
      <c r="F37" s="1006"/>
      <c r="G37" s="3964">
        <v>4</v>
      </c>
      <c r="H37" s="3965"/>
      <c r="I37" s="3966"/>
      <c r="J37" s="1006"/>
      <c r="K37" s="3967">
        <v>4</v>
      </c>
      <c r="L37" s="3968"/>
      <c r="M37" s="3968"/>
      <c r="N37" s="3968"/>
      <c r="O37" s="4136" t="s">
        <v>2904</v>
      </c>
      <c r="P37" s="4137"/>
      <c r="Q37" s="4149"/>
      <c r="R37" s="4150"/>
      <c r="S37" s="2446"/>
      <c r="T37" s="2446"/>
    </row>
    <row r="38" spans="1:20" s="42" customFormat="1" ht="24.75" customHeight="1">
      <c r="A38" s="3964">
        <v>5</v>
      </c>
      <c r="B38" s="3965"/>
      <c r="C38" s="3965"/>
      <c r="D38" s="3965"/>
      <c r="E38" s="3966"/>
      <c r="F38" s="1006"/>
      <c r="G38" s="3964">
        <v>5</v>
      </c>
      <c r="H38" s="3965"/>
      <c r="I38" s="3966"/>
      <c r="J38" s="1471" t="s">
        <v>3585</v>
      </c>
      <c r="K38" s="3967">
        <v>5</v>
      </c>
      <c r="L38" s="3968"/>
      <c r="M38" s="3968"/>
      <c r="N38" s="3968"/>
      <c r="O38" s="4031"/>
      <c r="P38" s="4032"/>
      <c r="Q38" s="4149"/>
      <c r="R38" s="4150"/>
      <c r="S38" s="2446"/>
      <c r="T38" s="2446"/>
    </row>
    <row r="39" spans="1:20" s="42" customFormat="1" ht="24" customHeight="1">
      <c r="A39" s="3964">
        <v>6</v>
      </c>
      <c r="B39" s="3965"/>
      <c r="C39" s="3965"/>
      <c r="D39" s="3965"/>
      <c r="E39" s="3966"/>
      <c r="F39" s="1006"/>
      <c r="G39" s="3964">
        <v>6</v>
      </c>
      <c r="H39" s="3965"/>
      <c r="I39" s="3966"/>
      <c r="J39" s="1006"/>
      <c r="K39" s="3967">
        <v>6</v>
      </c>
      <c r="L39" s="3968"/>
      <c r="M39" s="3968"/>
      <c r="N39" s="3968"/>
      <c r="O39" s="4031"/>
      <c r="P39" s="4032"/>
      <c r="Q39" s="4149"/>
      <c r="R39" s="4150"/>
    </row>
    <row r="40" spans="1:20" s="42" customFormat="1" ht="10.5" customHeight="1">
      <c r="A40" s="3964">
        <v>7</v>
      </c>
      <c r="B40" s="3965"/>
      <c r="C40" s="3965"/>
      <c r="D40" s="3965"/>
      <c r="E40" s="3966"/>
      <c r="F40" s="1006"/>
      <c r="G40" s="3964">
        <v>7</v>
      </c>
      <c r="H40" s="3965"/>
      <c r="I40" s="3966"/>
      <c r="J40" s="1471" t="s">
        <v>3586</v>
      </c>
      <c r="K40" s="3967">
        <v>7</v>
      </c>
      <c r="L40" s="3968"/>
      <c r="M40" s="3968"/>
      <c r="N40" s="3968"/>
      <c r="O40" s="4031"/>
      <c r="P40" s="4032"/>
      <c r="Q40" s="162"/>
      <c r="R40" s="162"/>
    </row>
    <row r="41" spans="1:20" s="42" customFormat="1" ht="10.5" customHeight="1">
      <c r="A41" s="3964">
        <v>8</v>
      </c>
      <c r="B41" s="3965"/>
      <c r="C41" s="3965"/>
      <c r="D41" s="3965"/>
      <c r="E41" s="3966"/>
      <c r="F41" s="1006"/>
      <c r="G41" s="3964">
        <v>8</v>
      </c>
      <c r="H41" s="3965"/>
      <c r="I41" s="3966"/>
      <c r="J41" s="1006"/>
      <c r="K41" s="3967">
        <v>8</v>
      </c>
      <c r="L41" s="3968"/>
      <c r="M41" s="3968"/>
      <c r="N41" s="3968"/>
      <c r="O41" s="4031"/>
      <c r="P41" s="4032"/>
      <c r="Q41" s="162"/>
      <c r="R41" s="162"/>
    </row>
    <row r="42" spans="1:20" s="42" customFormat="1" ht="11.25" customHeight="1">
      <c r="A42" s="3964">
        <v>9</v>
      </c>
      <c r="B42" s="3965"/>
      <c r="C42" s="3965"/>
      <c r="D42" s="3965"/>
      <c r="E42" s="3966"/>
      <c r="F42" s="1006"/>
      <c r="G42" s="3964">
        <v>9</v>
      </c>
      <c r="H42" s="3965"/>
      <c r="I42" s="3966"/>
      <c r="J42" s="1471" t="s">
        <v>3587</v>
      </c>
      <c r="K42" s="3967">
        <v>9</v>
      </c>
      <c r="L42" s="3968"/>
      <c r="M42" s="3968"/>
      <c r="N42" s="3968"/>
      <c r="O42" s="4031"/>
      <c r="P42" s="4032"/>
      <c r="Q42" s="162"/>
      <c r="R42" s="162"/>
    </row>
    <row r="43" spans="1:20" s="42" customFormat="1" ht="11.25" customHeight="1">
      <c r="A43" s="3964">
        <v>10</v>
      </c>
      <c r="B43" s="3965"/>
      <c r="C43" s="3965"/>
      <c r="D43" s="3965"/>
      <c r="E43" s="3966"/>
      <c r="F43" s="1006"/>
      <c r="G43" s="3964">
        <v>10</v>
      </c>
      <c r="H43" s="3965"/>
      <c r="I43" s="3966"/>
      <c r="J43" s="1006"/>
      <c r="K43" s="3967">
        <v>10</v>
      </c>
      <c r="L43" s="3968"/>
      <c r="M43" s="3968"/>
      <c r="N43" s="3968"/>
      <c r="O43" s="4031"/>
      <c r="P43" s="4032"/>
      <c r="Q43" s="162"/>
    </row>
    <row r="44" spans="1:20" s="42" customFormat="1" ht="11.25" customHeight="1">
      <c r="A44" s="3964">
        <v>11</v>
      </c>
      <c r="B44" s="3965"/>
      <c r="C44" s="3965"/>
      <c r="D44" s="3965"/>
      <c r="E44" s="3966"/>
      <c r="F44" s="1006"/>
      <c r="G44" s="3964">
        <v>11</v>
      </c>
      <c r="H44" s="3965"/>
      <c r="I44" s="3966"/>
      <c r="J44" s="1471" t="s">
        <v>3588</v>
      </c>
      <c r="K44" s="3964">
        <v>11</v>
      </c>
      <c r="L44" s="3965"/>
      <c r="M44" s="3965"/>
      <c r="N44" s="3966"/>
      <c r="O44" s="4031"/>
      <c r="P44" s="4032"/>
      <c r="Q44" s="162"/>
      <c r="R44" s="162"/>
    </row>
    <row r="45" spans="1:20" s="42" customFormat="1" ht="11.25" customHeight="1">
      <c r="A45" s="3969">
        <v>12</v>
      </c>
      <c r="B45" s="3970"/>
      <c r="C45" s="3970"/>
      <c r="D45" s="3970"/>
      <c r="E45" s="3971"/>
      <c r="F45" s="1007"/>
      <c r="G45" s="3969">
        <v>12</v>
      </c>
      <c r="H45" s="3970"/>
      <c r="I45" s="3971"/>
      <c r="J45" s="1007"/>
      <c r="K45" s="3969">
        <v>12</v>
      </c>
      <c r="L45" s="3970"/>
      <c r="M45" s="3970"/>
      <c r="N45" s="3971"/>
      <c r="O45" s="4027"/>
      <c r="P45" s="4028"/>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1983</v>
      </c>
      <c r="B49" s="1037" t="s">
        <v>2624</v>
      </c>
      <c r="E49" s="57"/>
      <c r="G49" s="89"/>
      <c r="H49" s="55" t="s">
        <v>5020</v>
      </c>
      <c r="J49" s="2609"/>
      <c r="K49" s="2609" t="str">
        <f>'Part I-Project Information'!$K$94</f>
        <v>40% of Units at 60% of AMI</v>
      </c>
      <c r="M49" s="1011"/>
      <c r="N49" s="7"/>
      <c r="Q49" s="7"/>
      <c r="R49" s="434"/>
    </row>
    <row r="50" spans="1:18" s="105" customFormat="1" ht="9" customHeight="1">
      <c r="A50" s="142"/>
      <c r="B50" s="4151" t="s">
        <v>4813</v>
      </c>
      <c r="C50" s="4151"/>
      <c r="D50" s="4151"/>
      <c r="E50" s="4151"/>
      <c r="F50" s="4151"/>
      <c r="G50" s="4151"/>
      <c r="H50" s="4151"/>
      <c r="I50" s="4151"/>
      <c r="J50" s="4151"/>
      <c r="K50" s="4151"/>
      <c r="L50" s="4151"/>
      <c r="M50" s="1011"/>
      <c r="N50" s="7"/>
      <c r="Q50" s="7"/>
      <c r="R50" s="434"/>
    </row>
    <row r="51" spans="1:18" s="105" customFormat="1" ht="13.5" customHeight="1">
      <c r="B51" s="4151"/>
      <c r="C51" s="4151"/>
      <c r="D51" s="4151"/>
      <c r="E51" s="4151"/>
      <c r="F51" s="4151"/>
      <c r="G51" s="4151"/>
      <c r="H51" s="4151"/>
      <c r="I51" s="4151"/>
      <c r="J51" s="4151"/>
      <c r="K51" s="4151"/>
      <c r="L51" s="4151"/>
      <c r="M51" s="1020">
        <v>2</v>
      </c>
      <c r="N51" s="449" t="s">
        <v>1983</v>
      </c>
      <c r="O51" s="1042">
        <f>MIN($M51, O52+O53)</f>
        <v>0</v>
      </c>
      <c r="P51" s="1042">
        <f>MIN($M51, P52+P53)</f>
        <v>0</v>
      </c>
    </row>
    <row r="52" spans="1:18" s="105" customFormat="1" ht="13.5" customHeight="1">
      <c r="A52" s="142"/>
      <c r="B52" s="1532" t="s">
        <v>1986</v>
      </c>
      <c r="C52" s="2455" t="s">
        <v>4814</v>
      </c>
      <c r="D52" s="52"/>
      <c r="H52" s="52" t="s">
        <v>4815</v>
      </c>
      <c r="I52" s="2452"/>
      <c r="K52" s="2611">
        <f>'Part VI-Revenues &amp; Expenses'!B49</f>
        <v>60</v>
      </c>
      <c r="L52" s="4026" t="str">
        <f>IF(AND(O52&gt;0,O53&gt;0), "CHOOSE EITHER A OR B, NOT BOTH!", "")</f>
        <v/>
      </c>
      <c r="M52" s="1197">
        <v>2</v>
      </c>
      <c r="N52" s="194" t="s">
        <v>1986</v>
      </c>
      <c r="O52" s="598"/>
      <c r="P52" s="612"/>
      <c r="Q52" s="2549" t="str">
        <f>IF(OR($O52=$M52,$O52=0,$O52=""),"","*CHECK!*")</f>
        <v/>
      </c>
      <c r="R52" s="1141" t="s">
        <v>2705</v>
      </c>
    </row>
    <row r="53" spans="1:18" s="105" customFormat="1" ht="13.5" customHeight="1">
      <c r="A53" s="2453" t="s">
        <v>3343</v>
      </c>
      <c r="B53" s="1532" t="s">
        <v>1988</v>
      </c>
      <c r="C53" s="2455" t="s">
        <v>4816</v>
      </c>
      <c r="D53" s="52"/>
      <c r="I53" s="2452"/>
      <c r="K53" s="52"/>
      <c r="L53" s="4026"/>
      <c r="M53" s="1197">
        <v>2</v>
      </c>
      <c r="N53" s="194" t="s">
        <v>1988</v>
      </c>
      <c r="O53" s="599"/>
      <c r="P53" s="613"/>
      <c r="Q53" s="2549"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29" t="s">
        <v>4817</v>
      </c>
      <c r="I55" s="4030"/>
      <c r="J55" s="2458" t="s">
        <v>4818</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76</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3958</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3"/>
      <c r="B59" s="3604"/>
      <c r="C59" s="3604"/>
      <c r="D59" s="3604"/>
      <c r="E59" s="3604"/>
      <c r="F59" s="3604"/>
      <c r="G59" s="3604"/>
      <c r="H59" s="3604"/>
      <c r="I59" s="3604"/>
      <c r="J59" s="3604"/>
      <c r="K59" s="3604"/>
      <c r="L59" s="3604"/>
      <c r="M59" s="3604"/>
      <c r="N59" s="3604"/>
      <c r="O59" s="3604"/>
      <c r="P59" s="3605"/>
      <c r="Q59" s="509"/>
    </row>
    <row r="60" spans="1:18" ht="7.5" customHeight="1" thickBot="1"/>
    <row r="61" spans="1:18" s="43" customFormat="1" ht="12.6" customHeight="1" thickBot="1">
      <c r="A61" s="157" t="s">
        <v>742</v>
      </c>
      <c r="B61" s="108" t="s">
        <v>4098</v>
      </c>
      <c r="D61" s="41"/>
      <c r="I61" s="3974" t="s">
        <v>3771</v>
      </c>
      <c r="J61" s="3974"/>
      <c r="K61" s="3974"/>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3856</v>
      </c>
      <c r="D63" s="33"/>
      <c r="N63" s="527"/>
      <c r="O63" s="238"/>
      <c r="P63" s="617"/>
    </row>
    <row r="64" spans="1:18" s="105" customFormat="1" ht="12" customHeight="1">
      <c r="A64" s="142" t="s">
        <v>1983</v>
      </c>
      <c r="B64" s="184" t="s">
        <v>1874</v>
      </c>
      <c r="C64" s="4"/>
      <c r="D64" s="4"/>
      <c r="F64" s="327"/>
      <c r="H64" s="969" t="s">
        <v>2717</v>
      </c>
      <c r="I64" s="3972" t="s">
        <v>4178</v>
      </c>
      <c r="J64" s="3972"/>
      <c r="K64" s="3972"/>
      <c r="L64" s="3972"/>
      <c r="M64" s="73">
        <v>10</v>
      </c>
      <c r="N64" s="194" t="s">
        <v>1983</v>
      </c>
      <c r="O64" s="598"/>
      <c r="P64" s="612"/>
      <c r="Q64" s="2549" t="str">
        <f>IF(OR($O64=$M64,$O64=0,$O64=""),"","*CHECK!*")</f>
        <v/>
      </c>
    </row>
    <row r="65" spans="1:21" s="105" customFormat="1" ht="12.6" customHeight="1">
      <c r="A65" s="142" t="s">
        <v>1985</v>
      </c>
      <c r="B65" s="184" t="s">
        <v>3845</v>
      </c>
      <c r="D65" s="1357"/>
      <c r="F65" s="2610"/>
      <c r="H65" s="969" t="s">
        <v>3987</v>
      </c>
      <c r="I65" s="3972"/>
      <c r="J65" s="3972"/>
      <c r="K65" s="3972"/>
      <c r="L65" s="3972"/>
      <c r="M65" s="2597" t="s">
        <v>1238</v>
      </c>
      <c r="N65" s="527" t="s">
        <v>1985</v>
      </c>
      <c r="O65" s="599"/>
      <c r="P65" s="613"/>
    </row>
    <row r="66" spans="1:21" s="43" customFormat="1" ht="11.25" customHeight="1" thickBot="1">
      <c r="A66" s="42"/>
      <c r="B66" s="1488" t="s">
        <v>3756</v>
      </c>
      <c r="C66" s="42"/>
      <c r="D66" s="48"/>
      <c r="E66" s="48"/>
      <c r="F66" s="48"/>
      <c r="G66" s="48"/>
      <c r="H66" s="36"/>
      <c r="I66" s="3973"/>
      <c r="J66" s="3973"/>
      <c r="K66" s="3973"/>
      <c r="L66" s="3973"/>
      <c r="M66" s="46"/>
      <c r="N66" s="62"/>
      <c r="O66" s="3"/>
      <c r="P66" s="1505"/>
    </row>
    <row r="67" spans="1:21" s="43" customFormat="1" ht="72" customHeight="1" thickTop="1" thickBot="1">
      <c r="A67" s="3867"/>
      <c r="B67" s="3868"/>
      <c r="C67" s="3868"/>
      <c r="D67" s="3868"/>
      <c r="E67" s="3868"/>
      <c r="F67" s="3868"/>
      <c r="G67" s="3868"/>
      <c r="H67" s="3868"/>
      <c r="I67" s="3868"/>
      <c r="J67" s="3868"/>
      <c r="K67" s="3868"/>
      <c r="L67" s="3868"/>
      <c r="M67" s="3868"/>
      <c r="N67" s="3868"/>
      <c r="O67" s="3868"/>
      <c r="P67" s="3869"/>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3"/>
      <c r="B69" s="3604"/>
      <c r="C69" s="3604"/>
      <c r="D69" s="3604"/>
      <c r="E69" s="3604"/>
      <c r="F69" s="3604"/>
      <c r="G69" s="3604"/>
      <c r="H69" s="3604"/>
      <c r="I69" s="3604"/>
      <c r="J69" s="3604"/>
      <c r="K69" s="3604"/>
      <c r="L69" s="3604"/>
      <c r="M69" s="3604"/>
      <c r="N69" s="3604"/>
      <c r="O69" s="3604"/>
      <c r="P69" s="3605"/>
      <c r="Q69" s="509"/>
      <c r="R69" s="510"/>
    </row>
    <row r="70" spans="1:21" ht="7.5" customHeight="1" thickBot="1">
      <c r="M70" s="33"/>
      <c r="N70" s="118"/>
      <c r="O70" s="155"/>
      <c r="P70" s="155"/>
    </row>
    <row r="71" spans="1:21" s="43" customFormat="1" ht="12.6" customHeight="1" thickBot="1">
      <c r="A71" s="157" t="s">
        <v>1792</v>
      </c>
      <c r="B71" s="108" t="s">
        <v>2630</v>
      </c>
      <c r="D71" s="41"/>
      <c r="K71" s="1178" t="s">
        <v>1879</v>
      </c>
      <c r="M71" s="1503">
        <v>6</v>
      </c>
      <c r="N71" s="527"/>
      <c r="O71" s="1329">
        <f>IF($J$72="Flexible",MIN($M71,MAX(O86,O92)),IF(AND($J$72="Rural",O100&gt;0),MIN($M100,O100),0))</f>
        <v>0</v>
      </c>
      <c r="P71" s="1329">
        <f>IF($J$72="Flexible",MIN($M71,MAX(P86,P92)),IF(AND($J$72="Rural",P100&gt;0),MIN($M100,P100),0))</f>
        <v>0</v>
      </c>
      <c r="Q71" s="112" t="s">
        <v>441</v>
      </c>
      <c r="R71" s="3930" t="s">
        <v>5022</v>
      </c>
      <c r="S71" s="3930"/>
      <c r="T71" s="3930"/>
      <c r="U71" s="3930"/>
    </row>
    <row r="72" spans="1:21" s="43" customFormat="1" ht="17.25" customHeight="1">
      <c r="A72" s="157"/>
      <c r="B72" s="114" t="s">
        <v>3961</v>
      </c>
      <c r="D72" s="41"/>
      <c r="H72" s="184" t="s">
        <v>2793</v>
      </c>
      <c r="I72" s="588"/>
      <c r="J72" s="586" t="str">
        <f>'Part I-Project Information'!$H$105</f>
        <v>N/A - 4% Bond</v>
      </c>
      <c r="K72" s="48"/>
      <c r="M72" s="1503"/>
      <c r="N72" s="527"/>
      <c r="O72" s="1172" t="s">
        <v>3595</v>
      </c>
      <c r="P72" s="1172" t="s">
        <v>3596</v>
      </c>
      <c r="Q72" s="112"/>
      <c r="R72" s="3930"/>
      <c r="S72" s="3930"/>
      <c r="T72" s="3930"/>
      <c r="U72" s="3930"/>
    </row>
    <row r="73" spans="1:21" s="43" customFormat="1" ht="11.25" customHeight="1">
      <c r="A73" s="157"/>
      <c r="B73" s="432" t="s">
        <v>1986</v>
      </c>
      <c r="C73" s="36" t="s">
        <v>4825</v>
      </c>
      <c r="D73" s="1357"/>
      <c r="E73" s="105"/>
      <c r="F73" s="105"/>
      <c r="G73" s="105"/>
      <c r="H73" s="45"/>
      <c r="I73" s="49"/>
      <c r="J73" s="48"/>
      <c r="K73" s="48"/>
      <c r="L73" s="105"/>
      <c r="M73" s="2433"/>
      <c r="N73" s="527"/>
      <c r="O73" s="238"/>
      <c r="P73" s="617"/>
      <c r="Q73" s="112"/>
      <c r="R73" s="3930"/>
      <c r="S73" s="3930"/>
      <c r="T73" s="3930"/>
      <c r="U73" s="3930"/>
    </row>
    <row r="74" spans="1:21" s="43" customFormat="1" ht="11.25" customHeight="1">
      <c r="A74" s="157"/>
      <c r="B74" s="432" t="s">
        <v>1988</v>
      </c>
      <c r="C74" s="36" t="s">
        <v>4826</v>
      </c>
      <c r="D74" s="1357"/>
      <c r="E74" s="105"/>
      <c r="F74" s="105"/>
      <c r="G74" s="105"/>
      <c r="H74" s="45"/>
      <c r="I74" s="49"/>
      <c r="J74" s="48"/>
      <c r="K74" s="48"/>
      <c r="L74" s="105"/>
      <c r="M74" s="105"/>
      <c r="N74" s="527"/>
      <c r="O74" s="422"/>
      <c r="P74" s="618"/>
      <c r="Q74" s="112"/>
      <c r="R74" s="3930"/>
      <c r="S74" s="3930"/>
      <c r="T74" s="3930"/>
      <c r="U74" s="3930"/>
    </row>
    <row r="75" spans="1:21" s="43" customFormat="1" ht="11.25" customHeight="1">
      <c r="A75" s="157"/>
      <c r="B75" s="432" t="s">
        <v>2533</v>
      </c>
      <c r="C75" s="36" t="s">
        <v>4827</v>
      </c>
      <c r="D75" s="1357"/>
      <c r="E75" s="105"/>
      <c r="F75" s="105"/>
      <c r="G75" s="105"/>
      <c r="H75" s="45"/>
      <c r="I75" s="49"/>
      <c r="J75" s="48"/>
      <c r="K75" s="48"/>
      <c r="L75" s="105"/>
      <c r="M75" s="105"/>
      <c r="N75" s="527"/>
      <c r="O75" s="422"/>
      <c r="P75" s="618"/>
      <c r="Q75" s="112"/>
      <c r="R75" s="3930"/>
      <c r="S75" s="3930"/>
      <c r="T75" s="3930"/>
      <c r="U75" s="3930"/>
    </row>
    <row r="76" spans="1:21" s="43" customFormat="1" ht="11.25" customHeight="1">
      <c r="A76" s="157"/>
      <c r="B76" s="432" t="s">
        <v>1224</v>
      </c>
      <c r="C76" s="36" t="s">
        <v>4820</v>
      </c>
      <c r="D76" s="1357"/>
      <c r="E76" s="105"/>
      <c r="F76" s="105"/>
      <c r="G76" s="105"/>
      <c r="H76" s="45"/>
      <c r="I76" s="49"/>
      <c r="J76" s="48"/>
      <c r="K76" s="48"/>
      <c r="L76" s="105"/>
      <c r="M76" s="105"/>
      <c r="N76" s="527"/>
      <c r="O76" s="239"/>
      <c r="P76" s="619"/>
      <c r="Q76" s="112"/>
      <c r="R76" s="3930"/>
      <c r="S76" s="3930"/>
      <c r="T76" s="3930"/>
      <c r="U76" s="3930"/>
    </row>
    <row r="77" spans="1:21" s="43" customFormat="1" ht="3" customHeight="1">
      <c r="A77" s="157"/>
      <c r="B77" s="108"/>
      <c r="D77" s="41"/>
      <c r="H77" s="45"/>
      <c r="I77" s="49"/>
      <c r="J77" s="48"/>
      <c r="K77" s="48"/>
      <c r="M77" s="1503"/>
      <c r="N77" s="527"/>
      <c r="O77" s="3"/>
      <c r="P77" s="3"/>
      <c r="Q77" s="112"/>
      <c r="R77" s="3930"/>
      <c r="S77" s="3930"/>
      <c r="T77" s="3930"/>
      <c r="U77" s="3930"/>
    </row>
    <row r="78" spans="1:21" s="43" customFormat="1" ht="13.5" customHeight="1">
      <c r="A78" s="157"/>
      <c r="B78" s="114" t="s">
        <v>3967</v>
      </c>
      <c r="D78" s="41"/>
      <c r="F78" s="3953" t="s">
        <v>3716</v>
      </c>
      <c r="G78" s="3953"/>
      <c r="H78" s="3953"/>
      <c r="I78" s="3953"/>
      <c r="J78" s="3953" t="s">
        <v>3717</v>
      </c>
      <c r="K78" s="3953"/>
      <c r="L78" s="3953"/>
      <c r="M78" s="3953"/>
      <c r="N78" s="527"/>
      <c r="O78" s="3960" t="s">
        <v>5021</v>
      </c>
      <c r="P78" s="3961"/>
      <c r="Q78" s="112"/>
      <c r="R78" s="3930"/>
      <c r="S78" s="3930"/>
      <c r="T78" s="3930"/>
      <c r="U78" s="3930"/>
    </row>
    <row r="79" spans="1:21" s="43" customFormat="1" ht="12.75" customHeight="1">
      <c r="A79" s="157"/>
      <c r="C79" s="557" t="s">
        <v>3966</v>
      </c>
      <c r="D79" s="712"/>
      <c r="E79" s="300"/>
      <c r="F79" s="3931"/>
      <c r="G79" s="3932"/>
      <c r="H79" s="3962"/>
      <c r="I79" s="3963"/>
      <c r="J79" s="3931"/>
      <c r="K79" s="3932"/>
      <c r="L79" s="3962"/>
      <c r="M79" s="3963"/>
      <c r="N79" s="527"/>
      <c r="Q79" s="112"/>
      <c r="R79" s="3930"/>
      <c r="S79" s="3930"/>
      <c r="T79" s="3930"/>
      <c r="U79" s="3930"/>
    </row>
    <row r="80" spans="1:21" s="43" customFormat="1" ht="12.75" customHeight="1">
      <c r="A80" s="4040" t="s">
        <v>4144</v>
      </c>
      <c r="B80" s="4040"/>
      <c r="D80" s="1438" t="s">
        <v>3968</v>
      </c>
      <c r="E80" s="300"/>
      <c r="F80" s="3851"/>
      <c r="G80" s="3852"/>
      <c r="H80" s="3994"/>
      <c r="I80" s="3995"/>
      <c r="J80" s="3851"/>
      <c r="K80" s="3852"/>
      <c r="L80" s="3994"/>
      <c r="M80" s="3995"/>
      <c r="N80" s="527"/>
      <c r="O80" s="1445"/>
      <c r="P80" s="1446"/>
      <c r="Q80" s="112"/>
      <c r="R80" s="3930"/>
      <c r="S80" s="3930"/>
      <c r="T80" s="3930"/>
      <c r="U80" s="3930"/>
    </row>
    <row r="81" spans="1:21" s="43" customFormat="1" ht="12.75" customHeight="1">
      <c r="A81" s="4040"/>
      <c r="B81" s="4040"/>
      <c r="C81" s="557" t="s">
        <v>4096</v>
      </c>
      <c r="D81" s="712"/>
      <c r="E81" s="300"/>
      <c r="F81" s="3941"/>
      <c r="G81" s="3942"/>
      <c r="H81" s="3954"/>
      <c r="I81" s="3955"/>
      <c r="J81" s="3941"/>
      <c r="K81" s="3942"/>
      <c r="L81" s="3954"/>
      <c r="M81" s="3955"/>
      <c r="N81" s="527"/>
      <c r="O81" s="527"/>
      <c r="P81" s="527"/>
      <c r="Q81" s="112"/>
      <c r="R81" s="3930"/>
      <c r="S81" s="3930"/>
      <c r="T81" s="3930"/>
      <c r="U81" s="3930"/>
    </row>
    <row r="82" spans="1:21" s="43" customFormat="1" ht="12.75" customHeight="1">
      <c r="A82" s="4040"/>
      <c r="B82" s="4040"/>
      <c r="E82" s="2406" t="s">
        <v>4095</v>
      </c>
      <c r="F82" s="3848"/>
      <c r="G82" s="3849"/>
      <c r="H82" s="3951"/>
      <c r="I82" s="3952"/>
      <c r="J82" s="3848"/>
      <c r="K82" s="3849"/>
      <c r="L82" s="3951"/>
      <c r="M82" s="3952"/>
      <c r="N82" s="527"/>
      <c r="O82" s="1445"/>
      <c r="P82" s="1446"/>
      <c r="Q82" s="112"/>
      <c r="R82" s="3930"/>
      <c r="S82" s="3930"/>
      <c r="T82" s="3930"/>
      <c r="U82" s="3930"/>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2784</v>
      </c>
      <c r="B84" s="108"/>
      <c r="D84" s="41"/>
      <c r="F84" s="61" t="s">
        <v>3757</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3749</v>
      </c>
      <c r="D86" s="41"/>
      <c r="F86" s="45" t="s">
        <v>3858</v>
      </c>
      <c r="M86" s="1503">
        <v>6</v>
      </c>
      <c r="N86" s="449" t="s">
        <v>1983</v>
      </c>
      <c r="O86" s="1177">
        <f>IF($J$72="Flexible",MIN($M86,O87+O88+O89),0)</f>
        <v>0</v>
      </c>
      <c r="P86" s="1177">
        <f>IF($J$72="Flexible",MIN($M86,P87+P88+P89),0)</f>
        <v>0</v>
      </c>
      <c r="Q86" s="112"/>
    </row>
    <row r="87" spans="1:21" s="472" customFormat="1" ht="23.25" customHeight="1">
      <c r="B87" s="504" t="s">
        <v>1986</v>
      </c>
      <c r="C87" s="3611" t="s">
        <v>4821</v>
      </c>
      <c r="D87" s="3611"/>
      <c r="E87" s="3611"/>
      <c r="F87" s="3611"/>
      <c r="G87" s="3611"/>
      <c r="H87" s="3611"/>
      <c r="I87" s="4138" t="s">
        <v>4093</v>
      </c>
      <c r="J87" s="4139"/>
      <c r="K87" s="4139"/>
      <c r="L87" s="4140"/>
      <c r="M87" s="583">
        <v>5</v>
      </c>
      <c r="N87" s="543" t="s">
        <v>1986</v>
      </c>
      <c r="O87" s="981"/>
      <c r="P87" s="980"/>
      <c r="Q87" s="2549" t="str">
        <f>IF(OR($O87=$M87,$O87=0,$O87=""),"","*CHECK!*")</f>
        <v/>
      </c>
      <c r="R87" s="1141" t="s">
        <v>2705</v>
      </c>
    </row>
    <row r="88" spans="1:21" s="472" customFormat="1" ht="12" customHeight="1">
      <c r="A88" s="672" t="s">
        <v>1353</v>
      </c>
      <c r="B88" s="504" t="s">
        <v>1988</v>
      </c>
      <c r="C88" s="450" t="s">
        <v>3962</v>
      </c>
      <c r="D88" s="450"/>
      <c r="E88" s="450"/>
      <c r="F88" s="450"/>
      <c r="G88" s="450"/>
      <c r="H88" s="2597" t="str">
        <f>IF(AND(O88&gt;0,O87&gt;0),"Pick A1 or A2!","")</f>
        <v/>
      </c>
      <c r="I88" s="4141"/>
      <c r="J88" s="4142"/>
      <c r="K88" s="4142"/>
      <c r="L88" s="4143"/>
      <c r="M88" s="73">
        <v>4</v>
      </c>
      <c r="N88" s="499" t="s">
        <v>1988</v>
      </c>
      <c r="O88" s="598"/>
      <c r="P88" s="612"/>
      <c r="Q88" s="2549" t="str">
        <f>IF(OR($O88=$M88,$O88=0,$O88=""),"","*CHECK!*")</f>
        <v/>
      </c>
      <c r="R88" s="1141" t="s">
        <v>2705</v>
      </c>
    </row>
    <row r="89" spans="1:21" s="472" customFormat="1" ht="12" customHeight="1">
      <c r="B89" s="504" t="s">
        <v>2533</v>
      </c>
      <c r="C89" s="450" t="s">
        <v>3750</v>
      </c>
      <c r="D89" s="450"/>
      <c r="E89" s="450"/>
      <c r="F89" s="450"/>
      <c r="I89" s="4141"/>
      <c r="J89" s="4142"/>
      <c r="K89" s="4142"/>
      <c r="L89" s="4143"/>
      <c r="M89" s="73">
        <v>1</v>
      </c>
      <c r="N89" s="499" t="s">
        <v>2533</v>
      </c>
      <c r="O89" s="599"/>
      <c r="P89" s="613"/>
      <c r="Q89" s="2549" t="str">
        <f>IF(OR($O89=$M89,$O89=0,$O89=""),"","*CHECK!*")</f>
        <v/>
      </c>
      <c r="R89" s="1141" t="s">
        <v>2705</v>
      </c>
    </row>
    <row r="90" spans="1:21" s="472" customFormat="1" ht="12" customHeight="1">
      <c r="B90" s="504"/>
      <c r="C90" s="969" t="s">
        <v>4094</v>
      </c>
      <c r="D90" s="450"/>
      <c r="E90" s="450"/>
      <c r="F90" s="2462" t="str">
        <f>'Part I-Project Information'!$H$82</f>
        <v>Family</v>
      </c>
      <c r="G90" s="969"/>
      <c r="H90" s="2462"/>
      <c r="I90" s="4141"/>
      <c r="J90" s="4142"/>
      <c r="K90" s="4142"/>
      <c r="L90" s="4143"/>
      <c r="M90" s="105"/>
      <c r="N90" s="105"/>
      <c r="O90" s="105"/>
      <c r="P90" s="105"/>
      <c r="Q90" s="1179"/>
      <c r="R90" s="1395"/>
    </row>
    <row r="91" spans="1:21" s="472" customFormat="1" ht="12" customHeight="1">
      <c r="B91" s="504"/>
      <c r="C91" s="969"/>
      <c r="D91" s="450"/>
      <c r="E91" s="450"/>
      <c r="F91" s="2462"/>
      <c r="G91" s="969"/>
      <c r="H91" s="2462"/>
      <c r="I91" s="4144"/>
      <c r="J91" s="4145"/>
      <c r="K91" s="4145"/>
      <c r="L91" s="4146"/>
      <c r="M91" s="105"/>
      <c r="N91" s="105"/>
      <c r="O91" s="105"/>
      <c r="P91" s="105"/>
      <c r="Q91" s="1179"/>
      <c r="R91" s="1395"/>
    </row>
    <row r="92" spans="1:21" s="472" customFormat="1" ht="12" customHeight="1">
      <c r="A92" s="147" t="s">
        <v>1985</v>
      </c>
      <c r="B92" s="1394" t="s">
        <v>3751</v>
      </c>
      <c r="C92" s="736"/>
      <c r="D92" s="736"/>
      <c r="E92" s="736"/>
      <c r="F92" s="1354" t="s">
        <v>3857</v>
      </c>
      <c r="I92" s="3956" t="s">
        <v>3747</v>
      </c>
      <c r="J92" s="3957"/>
      <c r="K92" s="3957"/>
      <c r="L92" s="3978" t="s">
        <v>3748</v>
      </c>
      <c r="M92" s="2596">
        <v>3</v>
      </c>
      <c r="N92" s="527" t="s">
        <v>1985</v>
      </c>
      <c r="O92" s="1177">
        <f>IF($J$72="Flexible",MIN($M92,O95+O96+O97),0)</f>
        <v>0</v>
      </c>
      <c r="P92" s="1177">
        <f>IF($J$72="Flexible",MIN($M92,P95+P96+P97),0)</f>
        <v>0</v>
      </c>
      <c r="Q92" s="584"/>
      <c r="R92" s="448"/>
    </row>
    <row r="93" spans="1:21" s="43" customFormat="1" ht="11.25" customHeight="1">
      <c r="A93" s="157"/>
      <c r="B93" s="446" t="s">
        <v>3782</v>
      </c>
      <c r="C93" s="192" t="s">
        <v>4823</v>
      </c>
      <c r="D93" s="1357"/>
      <c r="E93" s="105"/>
      <c r="F93" s="105"/>
      <c r="G93" s="105"/>
      <c r="H93" s="45"/>
      <c r="I93" s="3958"/>
      <c r="J93" s="3959"/>
      <c r="K93" s="3959"/>
      <c r="L93" s="3979"/>
      <c r="M93" s="105"/>
      <c r="N93" s="446" t="s">
        <v>3782</v>
      </c>
      <c r="O93" s="1174"/>
      <c r="P93" s="1084"/>
      <c r="Q93" s="112"/>
      <c r="R93" s="448"/>
      <c r="S93" s="472"/>
      <c r="T93" s="472"/>
      <c r="U93" s="472"/>
    </row>
    <row r="94" spans="1:21" s="43" customFormat="1" ht="11.25" customHeight="1">
      <c r="A94" s="157"/>
      <c r="B94" s="446" t="s">
        <v>3783</v>
      </c>
      <c r="C94" s="192" t="s">
        <v>4822</v>
      </c>
      <c r="D94" s="1357"/>
      <c r="E94" s="105"/>
      <c r="F94" s="105"/>
      <c r="G94" s="105"/>
      <c r="H94" s="45"/>
      <c r="I94" s="3945" t="s">
        <v>4824</v>
      </c>
      <c r="J94" s="3946"/>
      <c r="K94" s="3946"/>
      <c r="L94" s="3947"/>
      <c r="M94" s="105"/>
      <c r="N94" s="446" t="s">
        <v>3783</v>
      </c>
      <c r="O94" s="239"/>
      <c r="P94" s="619"/>
      <c r="Q94" s="112"/>
      <c r="R94" s="448"/>
      <c r="S94" s="472"/>
      <c r="T94" s="472"/>
      <c r="U94" s="472"/>
    </row>
    <row r="95" spans="1:21" s="472" customFormat="1" ht="12" customHeight="1">
      <c r="A95" s="142"/>
      <c r="B95" s="2612" t="s">
        <v>1986</v>
      </c>
      <c r="C95" s="3665" t="s">
        <v>3963</v>
      </c>
      <c r="D95" s="3665"/>
      <c r="E95" s="3665"/>
      <c r="F95" s="3665"/>
      <c r="G95" s="3665"/>
      <c r="H95" s="3940"/>
      <c r="I95" s="3948"/>
      <c r="J95" s="3949"/>
      <c r="K95" s="3949"/>
      <c r="L95" s="3950"/>
      <c r="M95" s="73">
        <v>3</v>
      </c>
      <c r="N95" s="499" t="s">
        <v>1986</v>
      </c>
      <c r="O95" s="598"/>
      <c r="P95" s="611"/>
      <c r="Q95" s="1179" t="str">
        <f>IF(OR($O95=$M95,$O95=0,$O95=""),"","*CHECK!*")</f>
        <v/>
      </c>
      <c r="R95" s="1395" t="s">
        <v>2705</v>
      </c>
    </row>
    <row r="96" spans="1:21" s="43" customFormat="1" ht="12" customHeight="1">
      <c r="A96" s="672" t="s">
        <v>1353</v>
      </c>
      <c r="B96" s="2612" t="s">
        <v>1988</v>
      </c>
      <c r="C96" s="3665" t="s">
        <v>3964</v>
      </c>
      <c r="D96" s="3665"/>
      <c r="E96" s="3665"/>
      <c r="F96" s="3665"/>
      <c r="G96" s="3665"/>
      <c r="H96" s="3940"/>
      <c r="I96" s="3945" t="s">
        <v>3597</v>
      </c>
      <c r="J96" s="3946"/>
      <c r="K96" s="3946"/>
      <c r="L96" s="3947"/>
      <c r="M96" s="73">
        <v>2</v>
      </c>
      <c r="N96" s="499" t="s">
        <v>1988</v>
      </c>
      <c r="O96" s="598"/>
      <c r="P96" s="612"/>
      <c r="Q96" s="1179" t="str">
        <f>IF(OR($O96=$M96,$O96=0,$O96=""),"","*CHECK!*")</f>
        <v/>
      </c>
      <c r="R96" s="1395" t="s">
        <v>2705</v>
      </c>
    </row>
    <row r="97" spans="1:18" s="43" customFormat="1" ht="14.25" customHeight="1">
      <c r="A97" s="672" t="s">
        <v>1353</v>
      </c>
      <c r="B97" s="2612" t="s">
        <v>2533</v>
      </c>
      <c r="C97" s="3665" t="s">
        <v>3965</v>
      </c>
      <c r="D97" s="3665"/>
      <c r="E97" s="3665"/>
      <c r="F97" s="3665"/>
      <c r="G97" s="3665"/>
      <c r="H97" s="3940"/>
      <c r="I97" s="3948"/>
      <c r="J97" s="3949"/>
      <c r="K97" s="3949"/>
      <c r="L97" s="3950"/>
      <c r="M97" s="73">
        <v>1</v>
      </c>
      <c r="N97" s="499" t="s">
        <v>2533</v>
      </c>
      <c r="O97" s="599"/>
      <c r="P97" s="613"/>
      <c r="Q97" s="1179" t="str">
        <f>IF(OR($O97=$M97,$O97=0,$O97=""),"","*CHECK!*")</f>
        <v/>
      </c>
      <c r="R97" s="1395" t="s">
        <v>2705</v>
      </c>
    </row>
    <row r="98" spans="1:18" s="43" customFormat="1" ht="14.25" customHeight="1">
      <c r="A98" s="1355"/>
      <c r="B98" s="2441"/>
      <c r="C98" s="2497"/>
      <c r="D98" s="2497"/>
      <c r="E98" s="2497"/>
      <c r="F98" s="3703" t="str">
        <f>IF(OR(AND(O95&gt;0,O96&gt;0,O97&gt;0),AND(O95&gt;0,O96&gt;0),AND(O95&gt;0,O97&gt;0),AND(O96&gt;0,O97&gt;0)),"Choose only one option: B1 or B2 or B3!","")</f>
        <v/>
      </c>
      <c r="G98" s="3703"/>
      <c r="H98" s="3989"/>
      <c r="I98" s="3945" t="s">
        <v>3598</v>
      </c>
      <c r="J98" s="3946"/>
      <c r="K98" s="3946"/>
      <c r="L98" s="3947"/>
      <c r="M98" s="105"/>
      <c r="N98" s="105"/>
      <c r="O98" s="105"/>
      <c r="P98" s="105"/>
      <c r="Q98" s="1179"/>
      <c r="R98" s="1395"/>
    </row>
    <row r="99" spans="1:18" s="43" customFormat="1" ht="12.6" customHeight="1">
      <c r="A99" s="587" t="s">
        <v>2786</v>
      </c>
      <c r="B99" s="184"/>
      <c r="E99" s="41"/>
      <c r="I99" s="3991"/>
      <c r="J99" s="3992"/>
      <c r="K99" s="3992"/>
      <c r="L99" s="3993"/>
      <c r="M99" s="73"/>
      <c r="N99" s="73"/>
      <c r="O99" s="73"/>
      <c r="P99" s="73"/>
      <c r="Q99" s="434"/>
      <c r="R99" s="434"/>
    </row>
    <row r="100" spans="1:18" s="105" customFormat="1" ht="12" customHeight="1">
      <c r="A100" s="142"/>
      <c r="B100" s="504" t="s">
        <v>1224</v>
      </c>
      <c r="C100" s="4153" t="s">
        <v>4932</v>
      </c>
      <c r="D100" s="4153"/>
      <c r="E100" s="4153"/>
      <c r="F100" s="4153"/>
      <c r="G100" s="4153"/>
      <c r="H100" s="4153"/>
      <c r="I100" s="184"/>
      <c r="J100" s="184"/>
      <c r="K100" s="184"/>
      <c r="L100" s="184"/>
      <c r="M100" s="73">
        <v>2</v>
      </c>
      <c r="N100" s="499" t="s">
        <v>1224</v>
      </c>
      <c r="O100" s="682"/>
      <c r="P100" s="978"/>
      <c r="Q100" s="1179" t="str">
        <f>IF(OR($O100=$M100,$O100=0,$O100=""),"","*CHECK!*")</f>
        <v/>
      </c>
      <c r="R100" s="1395" t="s">
        <v>2705</v>
      </c>
    </row>
    <row r="101" spans="1:18" s="105" customFormat="1" ht="12" customHeight="1">
      <c r="A101" s="142"/>
      <c r="B101" s="504"/>
      <c r="C101" s="4153"/>
      <c r="D101" s="4153"/>
      <c r="E101" s="4153"/>
      <c r="F101" s="4153"/>
      <c r="G101" s="4153"/>
      <c r="H101" s="4153"/>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3"/>
      <c r="B104" s="3604"/>
      <c r="C104" s="3604"/>
      <c r="D104" s="3604"/>
      <c r="E104" s="3604"/>
      <c r="F104" s="3604"/>
      <c r="G104" s="3604"/>
      <c r="H104" s="3604"/>
      <c r="I104" s="3604"/>
      <c r="J104" s="3604"/>
      <c r="K104" s="3604"/>
      <c r="L104" s="3604"/>
      <c r="M104" s="3604"/>
      <c r="N104" s="3604"/>
      <c r="O104" s="3604"/>
      <c r="P104" s="3605"/>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3757</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3986</v>
      </c>
      <c r="C109" s="94"/>
      <c r="D109" s="1326"/>
      <c r="E109" s="52" t="s">
        <v>4100</v>
      </c>
      <c r="G109" s="117"/>
      <c r="I109" s="527" t="s">
        <v>4094</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2705</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5024</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5025</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2533</v>
      </c>
      <c r="C113" s="36" t="s">
        <v>4828</v>
      </c>
      <c r="E113" s="3926"/>
      <c r="F113" s="3927"/>
      <c r="G113" s="3927"/>
      <c r="H113" s="3927"/>
      <c r="I113" s="3927"/>
      <c r="J113" s="3927"/>
      <c r="K113" s="3927"/>
      <c r="L113" s="3927"/>
      <c r="M113" s="3927"/>
      <c r="N113" s="3927"/>
      <c r="O113" s="3927"/>
      <c r="P113" s="3928"/>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3989</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2705</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4830</v>
      </c>
      <c r="F117" s="52"/>
      <c r="G117" s="52"/>
      <c r="H117" s="3980"/>
      <c r="I117" s="3980"/>
      <c r="J117" s="3980"/>
      <c r="K117" s="3980"/>
      <c r="L117" s="3980"/>
      <c r="M117" s="3980"/>
      <c r="N117" s="3980"/>
      <c r="O117" s="3980"/>
      <c r="P117" s="3980"/>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3782</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3783</v>
      </c>
      <c r="O119" s="422"/>
      <c r="P119" s="618"/>
      <c r="Q119" s="1285"/>
      <c r="R119" s="1285"/>
      <c r="S119" s="1285"/>
      <c r="T119" s="1285"/>
    </row>
    <row r="120" spans="1:21" s="55" customFormat="1" ht="10.5" customHeight="1">
      <c r="A120" s="64"/>
      <c r="C120" s="55" t="s">
        <v>4128</v>
      </c>
      <c r="D120" s="478"/>
      <c r="E120" s="52"/>
      <c r="F120" s="52"/>
      <c r="G120" s="52"/>
      <c r="H120" s="478"/>
      <c r="J120" s="478"/>
      <c r="L120" s="3801" t="s">
        <v>3819</v>
      </c>
      <c r="M120" s="3801"/>
      <c r="N120" s="3801"/>
      <c r="O120" s="3990" t="s">
        <v>3818</v>
      </c>
      <c r="P120" s="3990"/>
      <c r="Q120" s="52"/>
    </row>
    <row r="121" spans="1:21" s="55" customFormat="1" ht="10.5" customHeight="1">
      <c r="A121" s="64"/>
      <c r="B121" s="433"/>
      <c r="C121" s="3934"/>
      <c r="D121" s="3935"/>
      <c r="E121" s="3935"/>
      <c r="F121" s="3935"/>
      <c r="G121" s="3935"/>
      <c r="H121" s="3935"/>
      <c r="I121" s="3935"/>
      <c r="J121" s="3935"/>
      <c r="K121" s="3936"/>
      <c r="L121" s="3937" t="s">
        <v>3700</v>
      </c>
      <c r="M121" s="3937"/>
      <c r="N121" s="3937"/>
      <c r="O121" s="3938"/>
      <c r="P121" s="3938"/>
      <c r="Q121" s="1346" t="str">
        <f>IF(O121&gt;15, "Too much!","")</f>
        <v/>
      </c>
    </row>
    <row r="122" spans="1:21" s="55" customFormat="1" ht="10.5" customHeight="1">
      <c r="A122" s="64"/>
      <c r="B122" s="447"/>
      <c r="C122" s="3917"/>
      <c r="D122" s="3918"/>
      <c r="E122" s="3918"/>
      <c r="F122" s="3918"/>
      <c r="G122" s="3918"/>
      <c r="H122" s="3918"/>
      <c r="I122" s="3918"/>
      <c r="J122" s="3918"/>
      <c r="K122" s="3919"/>
      <c r="L122" s="3850" t="s">
        <v>3700</v>
      </c>
      <c r="M122" s="3850"/>
      <c r="N122" s="3850"/>
      <c r="O122" s="3939"/>
      <c r="P122" s="3939"/>
      <c r="Q122" s="1346" t="str">
        <f>IF(O122&gt;15, "Too much!","")</f>
        <v/>
      </c>
    </row>
    <row r="123" spans="1:21" s="55" customFormat="1" ht="10.5" customHeight="1">
      <c r="A123" s="64"/>
      <c r="B123" s="433"/>
      <c r="C123" s="3917"/>
      <c r="D123" s="3918"/>
      <c r="E123" s="3918"/>
      <c r="F123" s="3918"/>
      <c r="G123" s="3918"/>
      <c r="H123" s="3918"/>
      <c r="I123" s="3918"/>
      <c r="J123" s="3918"/>
      <c r="K123" s="3919"/>
      <c r="L123" s="3850" t="s">
        <v>3700</v>
      </c>
      <c r="M123" s="3850"/>
      <c r="N123" s="3850"/>
      <c r="O123" s="3939"/>
      <c r="P123" s="3939"/>
      <c r="Q123" s="1346" t="str">
        <f>IF(O123&gt;15, "Too much!","")</f>
        <v/>
      </c>
    </row>
    <row r="124" spans="1:21" s="55" customFormat="1" ht="10.5" customHeight="1">
      <c r="A124" s="64"/>
      <c r="B124" s="446"/>
      <c r="C124" s="3982"/>
      <c r="D124" s="3983"/>
      <c r="E124" s="3983"/>
      <c r="F124" s="3983"/>
      <c r="G124" s="3983"/>
      <c r="H124" s="3983"/>
      <c r="I124" s="3983"/>
      <c r="J124" s="3983"/>
      <c r="K124" s="3984"/>
      <c r="L124" s="3985" t="s">
        <v>3700</v>
      </c>
      <c r="M124" s="3985"/>
      <c r="N124" s="3985"/>
      <c r="O124" s="3933"/>
      <c r="P124" s="3933"/>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3782</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3784</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3986" t="s">
        <v>4166</v>
      </c>
      <c r="F134" s="3987"/>
      <c r="G134" s="3987"/>
      <c r="H134" s="3987"/>
      <c r="I134" s="3987"/>
      <c r="J134" s="3987"/>
      <c r="K134" s="3987"/>
      <c r="L134" s="3988"/>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3820</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2705</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1" t="s">
        <v>4832</v>
      </c>
      <c r="D139" s="3651"/>
      <c r="E139" s="3651"/>
      <c r="F139" s="1514"/>
      <c r="G139" s="1021" t="s">
        <v>3998</v>
      </c>
      <c r="I139" s="1514"/>
      <c r="J139" s="1514"/>
      <c r="K139" s="1514"/>
      <c r="L139" s="1514"/>
      <c r="M139" s="65" t="s">
        <v>2434</v>
      </c>
      <c r="N139" s="446" t="s">
        <v>3782</v>
      </c>
      <c r="O139" s="1174"/>
      <c r="P139" s="1084"/>
      <c r="Q139" s="52"/>
      <c r="R139" s="1285"/>
      <c r="S139" s="1285"/>
      <c r="T139" s="1285"/>
      <c r="U139" s="1285"/>
    </row>
    <row r="140" spans="1:21" s="36" customFormat="1" ht="10.5" customHeight="1">
      <c r="A140" s="64"/>
      <c r="B140" s="432"/>
      <c r="C140" s="3651"/>
      <c r="D140" s="3651"/>
      <c r="E140" s="3651"/>
      <c r="F140" s="1514"/>
      <c r="G140" s="1021" t="s">
        <v>3999</v>
      </c>
      <c r="I140" s="1514"/>
      <c r="J140" s="1514"/>
      <c r="K140" s="1514"/>
      <c r="L140" s="1514"/>
      <c r="M140" s="1508"/>
      <c r="N140" s="1188" t="s">
        <v>3783</v>
      </c>
      <c r="O140" s="422"/>
      <c r="P140" s="618"/>
      <c r="Q140" s="52"/>
      <c r="R140" s="1285"/>
      <c r="S140" s="1285"/>
      <c r="T140" s="1285"/>
      <c r="U140" s="1285"/>
    </row>
    <row r="141" spans="1:21" s="36" customFormat="1" ht="10.5" customHeight="1">
      <c r="A141" s="65"/>
      <c r="B141" s="432"/>
      <c r="C141" s="3651"/>
      <c r="D141" s="3651"/>
      <c r="E141" s="3651"/>
      <c r="F141" s="1514"/>
      <c r="G141" s="1021" t="s">
        <v>4000</v>
      </c>
      <c r="I141" s="1514"/>
      <c r="J141" s="1514"/>
      <c r="K141" s="1514"/>
      <c r="L141" s="1514"/>
      <c r="M141" s="1508"/>
      <c r="N141" s="446" t="s">
        <v>3784</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3786</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3787</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3834</v>
      </c>
      <c r="D145" s="478"/>
      <c r="E145" s="52"/>
      <c r="F145" s="52"/>
      <c r="G145" s="55" t="s">
        <v>4133</v>
      </c>
      <c r="H145" s="478"/>
      <c r="M145" s="58"/>
      <c r="N145" s="58"/>
      <c r="O145" s="58"/>
      <c r="P145" s="58"/>
      <c r="Q145" s="52"/>
    </row>
    <row r="146" spans="1:18" s="55" customFormat="1" ht="10.5" customHeight="1">
      <c r="B146" s="433"/>
      <c r="C146" s="3934"/>
      <c r="D146" s="3935"/>
      <c r="E146" s="3935"/>
      <c r="F146" s="3936"/>
      <c r="G146" s="3934"/>
      <c r="H146" s="3935"/>
      <c r="I146" s="3935"/>
      <c r="J146" s="3935"/>
      <c r="K146" s="3935"/>
      <c r="L146" s="3935"/>
      <c r="M146" s="3935"/>
      <c r="N146" s="3935"/>
      <c r="O146" s="3935"/>
      <c r="P146" s="3936"/>
      <c r="Q146" s="52"/>
    </row>
    <row r="147" spans="1:18" s="55" customFormat="1" ht="10.5" customHeight="1">
      <c r="A147" s="64"/>
      <c r="B147" s="447"/>
      <c r="C147" s="3917"/>
      <c r="D147" s="3918"/>
      <c r="E147" s="3918"/>
      <c r="F147" s="3919"/>
      <c r="G147" s="3917"/>
      <c r="H147" s="3918"/>
      <c r="I147" s="3918"/>
      <c r="J147" s="3918"/>
      <c r="K147" s="3918"/>
      <c r="L147" s="3918"/>
      <c r="M147" s="3918"/>
      <c r="N147" s="3918"/>
      <c r="O147" s="3918"/>
      <c r="P147" s="3919"/>
      <c r="Q147" s="52"/>
    </row>
    <row r="148" spans="1:18" s="55" customFormat="1" ht="10.5" customHeight="1">
      <c r="A148" s="3578" t="s">
        <v>4167</v>
      </c>
      <c r="B148" s="3578"/>
      <c r="C148" s="3917"/>
      <c r="D148" s="3918"/>
      <c r="E148" s="3918"/>
      <c r="F148" s="3919"/>
      <c r="G148" s="3917"/>
      <c r="H148" s="3918"/>
      <c r="I148" s="3918"/>
      <c r="J148" s="3918"/>
      <c r="K148" s="3918"/>
      <c r="L148" s="3918"/>
      <c r="M148" s="3918"/>
      <c r="N148" s="3918"/>
      <c r="O148" s="3918"/>
      <c r="P148" s="3919"/>
      <c r="Q148" s="52"/>
    </row>
    <row r="149" spans="1:18" s="55" customFormat="1" ht="10.5" customHeight="1">
      <c r="A149" s="3578"/>
      <c r="B149" s="3578"/>
      <c r="C149" s="3982"/>
      <c r="D149" s="3983"/>
      <c r="E149" s="3983"/>
      <c r="F149" s="3984"/>
      <c r="G149" s="3982"/>
      <c r="H149" s="3983"/>
      <c r="I149" s="3983"/>
      <c r="J149" s="3983"/>
      <c r="K149" s="3983"/>
      <c r="L149" s="3983"/>
      <c r="M149" s="3983"/>
      <c r="N149" s="3983"/>
      <c r="O149" s="3983"/>
      <c r="P149" s="3984"/>
      <c r="Q149" s="52"/>
    </row>
    <row r="150" spans="1:18" s="43" customFormat="1" ht="4.5" customHeight="1">
      <c r="A150" s="3981"/>
      <c r="B150" s="3981"/>
      <c r="C150" s="101"/>
      <c r="D150" s="87"/>
      <c r="E150" s="102"/>
      <c r="F150" s="1506"/>
      <c r="G150" s="1506"/>
      <c r="H150" s="1506"/>
      <c r="I150" s="1506"/>
      <c r="J150" s="1506"/>
      <c r="K150" s="1506"/>
      <c r="L150" s="1506"/>
      <c r="M150" s="1506"/>
      <c r="N150" s="75"/>
      <c r="O150" s="71"/>
      <c r="P150" s="1503"/>
      <c r="Q150" s="490"/>
    </row>
    <row r="151" spans="1:18" s="43" customFormat="1" ht="11.25" customHeight="1">
      <c r="A151" s="3603"/>
      <c r="B151" s="3604"/>
      <c r="C151" s="3604"/>
      <c r="D151" s="3604"/>
      <c r="E151" s="3604"/>
      <c r="F151" s="3604"/>
      <c r="G151" s="3604"/>
      <c r="H151" s="3604"/>
      <c r="I151" s="3604"/>
      <c r="J151" s="3604"/>
      <c r="K151" s="3604"/>
      <c r="L151" s="3604"/>
      <c r="M151" s="3604"/>
      <c r="N151" s="3604"/>
      <c r="O151" s="3604"/>
      <c r="P151" s="3605"/>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3829</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0" t="s">
        <v>5030</v>
      </c>
      <c r="C158" s="3920"/>
      <c r="D158" s="3920"/>
      <c r="E158" s="52" t="s">
        <v>3826</v>
      </c>
      <c r="F158" s="105"/>
      <c r="G158" s="52"/>
      <c r="H158" s="105"/>
      <c r="I158" s="3926"/>
      <c r="J158" s="3927"/>
      <c r="K158" s="3927"/>
      <c r="L158" s="3928"/>
    </row>
    <row r="159" spans="1:18" s="43" customFormat="1" ht="11.25" customHeight="1">
      <c r="A159" s="142"/>
      <c r="B159" s="3920"/>
      <c r="C159" s="3920"/>
      <c r="D159" s="3920"/>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5" t="str">
        <f>'Part I-Project Information'!$H$82</f>
        <v>Family</v>
      </c>
      <c r="H160" s="2614"/>
      <c r="I160" s="1506"/>
      <c r="J160" s="1506"/>
      <c r="M160" s="1506"/>
      <c r="N160" s="75"/>
      <c r="O160" s="3921" t="s">
        <v>5026</v>
      </c>
      <c r="P160" s="3921"/>
    </row>
    <row r="161" spans="1:24" s="55" customFormat="1" ht="3" customHeight="1">
      <c r="A161" s="1028"/>
      <c r="B161" s="492"/>
      <c r="O161" s="3922"/>
      <c r="P161" s="3922"/>
    </row>
    <row r="162" spans="1:24" s="43" customFormat="1" ht="12" customHeight="1">
      <c r="A162" s="433" t="s">
        <v>2434</v>
      </c>
      <c r="B162" s="114" t="s">
        <v>4835</v>
      </c>
      <c r="C162" s="2434"/>
      <c r="D162" s="2434"/>
      <c r="E162" s="52"/>
      <c r="F162" s="2435"/>
      <c r="G162" s="2435"/>
      <c r="I162" s="2434"/>
      <c r="J162" s="2434"/>
      <c r="K162" s="2434"/>
      <c r="L162" s="2434"/>
      <c r="M162" s="3893" t="s">
        <v>4834</v>
      </c>
      <c r="N162" s="75"/>
      <c r="O162" s="3922"/>
      <c r="P162" s="3922"/>
      <c r="T162" s="3800" t="s">
        <v>5064</v>
      </c>
    </row>
    <row r="163" spans="1:24" s="55" customFormat="1" ht="3" customHeight="1">
      <c r="A163" s="1028"/>
      <c r="B163" s="492"/>
      <c r="M163" s="3893"/>
      <c r="O163" s="3922"/>
      <c r="P163" s="3922"/>
      <c r="T163" s="3800"/>
    </row>
    <row r="164" spans="1:24" s="43" customFormat="1" ht="13.5" customHeight="1">
      <c r="A164" s="142"/>
      <c r="B164" s="632"/>
      <c r="C164" s="631"/>
      <c r="D164" s="631"/>
      <c r="E164" s="1522"/>
      <c r="H164" s="3925" t="s">
        <v>3824</v>
      </c>
      <c r="I164" s="3894" t="s">
        <v>3869</v>
      </c>
      <c r="J164" s="3895"/>
      <c r="K164" s="3896"/>
      <c r="L164" s="3893" t="s">
        <v>3823</v>
      </c>
      <c r="M164" s="3893"/>
      <c r="N164" s="2464"/>
      <c r="O164" s="3922"/>
      <c r="P164" s="3922"/>
      <c r="R164" s="3859" t="s">
        <v>5031</v>
      </c>
      <c r="T164" s="3800"/>
      <c r="U164" s="3844" t="s">
        <v>5063</v>
      </c>
    </row>
    <row r="165" spans="1:24" s="43" customFormat="1" ht="13.5" customHeight="1">
      <c r="A165" s="142"/>
      <c r="B165" s="640" t="s">
        <v>3821</v>
      </c>
      <c r="C165" s="1521"/>
      <c r="D165" s="3915" t="s">
        <v>3825</v>
      </c>
      <c r="E165" s="3915"/>
      <c r="F165" s="3915"/>
      <c r="G165" s="1517" t="s">
        <v>3397</v>
      </c>
      <c r="H165" s="3844"/>
      <c r="I165" s="595">
        <v>2015</v>
      </c>
      <c r="J165" s="595">
        <v>2016</v>
      </c>
      <c r="K165" s="595">
        <v>2017</v>
      </c>
      <c r="L165" s="3144"/>
      <c r="M165" s="3144"/>
      <c r="N165" s="2464"/>
      <c r="O165" s="3923"/>
      <c r="P165" s="3923"/>
      <c r="R165" s="3860"/>
      <c r="T165" s="3844"/>
      <c r="U165" s="3844"/>
    </row>
    <row r="166" spans="1:24" s="43" customFormat="1" ht="12" customHeight="1">
      <c r="B166" s="677" t="s">
        <v>4005</v>
      </c>
      <c r="D166" s="3900"/>
      <c r="E166" s="3901"/>
      <c r="F166" s="3902"/>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3">
        <f>SUM(T166:T170)</f>
        <v>0</v>
      </c>
    </row>
    <row r="167" spans="1:24" s="43" customFormat="1" ht="12" customHeight="1">
      <c r="B167" s="677" t="s">
        <v>4168</v>
      </c>
      <c r="D167" s="3903"/>
      <c r="E167" s="3904"/>
      <c r="F167" s="3905"/>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3"/>
    </row>
    <row r="168" spans="1:24" s="43" customFormat="1" ht="12" customHeight="1">
      <c r="A168" s="433"/>
      <c r="B168" s="677" t="s">
        <v>4003</v>
      </c>
      <c r="D168" s="3897"/>
      <c r="E168" s="3898"/>
      <c r="F168" s="3899"/>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4007</v>
      </c>
      <c r="C171" s="94"/>
      <c r="D171" s="1326"/>
      <c r="E171" s="1326"/>
      <c r="F171" s="61" t="s">
        <v>3390</v>
      </c>
      <c r="H171" s="40" t="s">
        <v>3870</v>
      </c>
      <c r="M171" s="494">
        <v>2</v>
      </c>
      <c r="N171" s="194"/>
      <c r="O171" s="1329">
        <f>IF(AND(I180="Yes",I181="Yes"),$H$181,IF(AND(I180="Yes",I181="No"),$H$180,0))</f>
        <v>0</v>
      </c>
      <c r="P171" s="1329">
        <f>IF(AND(J180="Yes",J181="Yes"),$H$181,IF(AND(J180="Yes",J181="No"),$H$180,0))</f>
        <v>0</v>
      </c>
      <c r="Q171" s="112"/>
      <c r="R171" s="1327"/>
    </row>
    <row r="172" spans="1:24" s="55" customFormat="1" ht="15" customHeight="1">
      <c r="E172" s="4118" t="s">
        <v>4170</v>
      </c>
      <c r="F172" s="4118" t="s">
        <v>3660</v>
      </c>
      <c r="G172" s="4121" t="s">
        <v>3398</v>
      </c>
      <c r="H172" s="4121"/>
      <c r="I172" s="4121"/>
      <c r="J172" s="4121"/>
      <c r="K172" s="4121"/>
      <c r="L172" s="4121"/>
      <c r="M172" s="4121"/>
      <c r="N172" s="4121"/>
      <c r="P172" s="1361"/>
      <c r="R172" s="52" t="s">
        <v>2832</v>
      </c>
      <c r="S172" s="36"/>
      <c r="T172" s="4109" t="str">
        <f>'Part I-Project Information'!$F$38</f>
        <v>Milledgeville</v>
      </c>
      <c r="U172" s="4110"/>
      <c r="V172" s="4110"/>
      <c r="W172" s="4110"/>
      <c r="X172" s="4111"/>
    </row>
    <row r="173" spans="1:24" s="55" customFormat="1" ht="13.5" customHeight="1">
      <c r="A173" s="47"/>
      <c r="B173" s="4132" t="s">
        <v>4010</v>
      </c>
      <c r="C173" s="4132"/>
      <c r="D173" s="4132"/>
      <c r="E173" s="4125"/>
      <c r="F173" s="4125"/>
      <c r="G173" s="4120" t="s">
        <v>4009</v>
      </c>
      <c r="H173" s="4120"/>
      <c r="I173" s="4120"/>
      <c r="J173" s="4120"/>
      <c r="K173" s="4120"/>
      <c r="L173" s="4120"/>
      <c r="M173" s="4120"/>
      <c r="N173" s="4120"/>
      <c r="O173" s="4118" t="s">
        <v>3661</v>
      </c>
      <c r="P173" s="4118"/>
      <c r="R173" s="52" t="s">
        <v>2833</v>
      </c>
      <c r="S173" s="36"/>
      <c r="T173" s="4112" t="str">
        <f>'Part I-Project Information'!$J$39</f>
        <v>Baldwin</v>
      </c>
      <c r="U173" s="4113"/>
      <c r="V173" s="4113"/>
      <c r="W173" s="4113"/>
      <c r="X173" s="4114"/>
    </row>
    <row r="174" spans="1:24" s="55" customFormat="1" ht="13.5" customHeight="1">
      <c r="A174" s="47"/>
      <c r="B174" s="3924" t="s">
        <v>3830</v>
      </c>
      <c r="C174" s="3924"/>
      <c r="D174" s="3924"/>
      <c r="E174" s="1518">
        <v>3000</v>
      </c>
      <c r="F174" s="1518">
        <v>6000</v>
      </c>
      <c r="G174" s="4115">
        <v>15000</v>
      </c>
      <c r="H174" s="4115"/>
      <c r="I174" s="4115"/>
      <c r="J174" s="4115"/>
      <c r="K174" s="4115"/>
      <c r="L174" s="4115"/>
      <c r="M174" s="4115"/>
      <c r="N174" s="4115"/>
      <c r="O174" s="4115">
        <v>20000</v>
      </c>
      <c r="P174" s="4115"/>
      <c r="R174" s="40" t="s">
        <v>2834</v>
      </c>
      <c r="S174" s="36"/>
      <c r="T174" s="4112" t="str">
        <f>'Part I-Project Information'!$O$40</f>
        <v>Baldwin Co.</v>
      </c>
      <c r="U174" s="4113"/>
      <c r="V174" s="4113"/>
      <c r="W174" s="4113"/>
      <c r="X174" s="4114"/>
    </row>
    <row r="175" spans="1:24" s="36" customFormat="1" ht="13.5" customHeight="1">
      <c r="A175" s="47"/>
      <c r="B175" s="3864" t="s">
        <v>4008</v>
      </c>
      <c r="C175" s="3864"/>
      <c r="D175" s="3864"/>
      <c r="E175" s="1516">
        <v>4500</v>
      </c>
      <c r="F175" s="1516">
        <v>9000</v>
      </c>
      <c r="G175" s="4119">
        <v>22500</v>
      </c>
      <c r="H175" s="4119"/>
      <c r="I175" s="4119"/>
      <c r="J175" s="4119"/>
      <c r="K175" s="4119"/>
      <c r="L175" s="4119"/>
      <c r="M175" s="4119"/>
      <c r="N175" s="4119"/>
      <c r="O175" s="4119">
        <v>30000</v>
      </c>
      <c r="P175" s="4119"/>
      <c r="R175" s="40" t="s">
        <v>3863</v>
      </c>
      <c r="T175" s="4112" t="str">
        <f>VLOOKUP('Part I-Project Information'!$J$39,'DCA Underwriting Assumptions'!$G$158:$J$317,4)</f>
        <v>Non-MSA</v>
      </c>
      <c r="U175" s="4113"/>
      <c r="V175" s="4113"/>
      <c r="W175" s="4113"/>
      <c r="X175" s="4114"/>
    </row>
    <row r="176" spans="1:24" s="55" customFormat="1" ht="9" customHeight="1">
      <c r="A176" s="47"/>
      <c r="B176" s="47"/>
      <c r="C176" s="478"/>
      <c r="K176" s="595"/>
      <c r="L176" s="595"/>
    </row>
    <row r="177" spans="1:24" s="55" customFormat="1" ht="12" customHeight="1">
      <c r="B177" s="1026" t="s">
        <v>3864</v>
      </c>
      <c r="E177" s="1023"/>
      <c r="F177" s="1023"/>
      <c r="G177" s="1023"/>
      <c r="I177" s="1024"/>
      <c r="J177" s="1407"/>
      <c r="R177" s="36" t="s">
        <v>3626</v>
      </c>
      <c r="S177" s="36"/>
      <c r="T177" s="4122" t="str">
        <f>'Part I-Project Information'!$K$40</f>
        <v>Rural</v>
      </c>
      <c r="U177" s="4123"/>
      <c r="V177" s="4123"/>
      <c r="W177" s="4123"/>
      <c r="X177" s="4124"/>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4169</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4011</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3756</v>
      </c>
      <c r="C184" s="42"/>
      <c r="D184" s="48"/>
      <c r="E184" s="48"/>
      <c r="F184" s="48"/>
      <c r="G184" s="48"/>
      <c r="H184" s="36"/>
      <c r="I184" s="36"/>
      <c r="J184" s="36"/>
      <c r="K184" s="36"/>
      <c r="M184" s="46"/>
      <c r="N184" s="62"/>
      <c r="O184" s="3"/>
      <c r="P184" s="1505"/>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3"/>
      <c r="B187" s="3604"/>
      <c r="C187" s="3604"/>
      <c r="D187" s="3604"/>
      <c r="E187" s="3604"/>
      <c r="F187" s="3604"/>
      <c r="G187" s="3604"/>
      <c r="H187" s="3604"/>
      <c r="I187" s="3604"/>
      <c r="J187" s="3604"/>
      <c r="K187" s="3604"/>
      <c r="L187" s="3604"/>
      <c r="M187" s="3604"/>
      <c r="N187" s="3604"/>
      <c r="O187" s="3604"/>
      <c r="P187" s="3605"/>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4126" t="s">
        <v>4844</v>
      </c>
      <c r="S189" s="4127"/>
    </row>
    <row r="190" spans="1:24" s="43" customFormat="1" ht="2.25" customHeight="1">
      <c r="A190" s="493"/>
      <c r="C190" s="184"/>
      <c r="D190" s="184"/>
      <c r="E190" s="192"/>
      <c r="F190" s="184"/>
      <c r="G190" s="184"/>
      <c r="H190" s="184"/>
      <c r="I190" s="184"/>
      <c r="J190" s="184"/>
      <c r="K190" s="184"/>
      <c r="L190" s="184"/>
      <c r="M190" s="184"/>
      <c r="N190" s="184"/>
      <c r="O190" s="184"/>
      <c r="P190" s="184"/>
      <c r="R190" s="4128"/>
      <c r="S190" s="4129"/>
    </row>
    <row r="191" spans="1:24" s="43" customFormat="1" ht="23.25" customHeight="1">
      <c r="A191" s="493"/>
      <c r="B191" s="3665" t="s">
        <v>4844</v>
      </c>
      <c r="C191" s="3665"/>
      <c r="D191" s="3665"/>
      <c r="E191" s="3665"/>
      <c r="F191" s="3665"/>
      <c r="G191" s="3665"/>
      <c r="H191" s="3665"/>
      <c r="I191" s="3665"/>
      <c r="J191" s="3665"/>
      <c r="K191" s="3665"/>
      <c r="L191" s="3665"/>
      <c r="M191" s="3665"/>
      <c r="N191" s="3665"/>
      <c r="O191" s="3665"/>
      <c r="P191" s="3665"/>
      <c r="R191" s="4128"/>
      <c r="S191" s="4129"/>
    </row>
    <row r="192" spans="1:24" s="43" customFormat="1" ht="12" customHeight="1">
      <c r="A192" s="493"/>
      <c r="B192" s="184" t="s">
        <v>4134</v>
      </c>
      <c r="C192" s="184"/>
      <c r="D192" s="184"/>
      <c r="E192" s="184"/>
      <c r="F192" s="184"/>
      <c r="G192" s="184"/>
      <c r="H192" s="184"/>
      <c r="I192" s="184"/>
      <c r="J192" s="184"/>
      <c r="K192" s="1455" t="s">
        <v>2509</v>
      </c>
      <c r="L192" s="1456" t="s">
        <v>2509</v>
      </c>
      <c r="N192" s="1491"/>
      <c r="P192" s="1492"/>
      <c r="R192" s="4128"/>
      <c r="S192" s="4129"/>
    </row>
    <row r="193" spans="1:25" s="451" customFormat="1" ht="11.25" customHeight="1">
      <c r="B193" s="1188" t="s">
        <v>2434</v>
      </c>
      <c r="C193" s="3892" t="s">
        <v>4950</v>
      </c>
      <c r="D193" s="3892"/>
      <c r="E193" s="3892"/>
      <c r="F193" s="3892"/>
      <c r="G193" s="3892"/>
      <c r="H193" s="3892"/>
      <c r="I193" s="3892"/>
      <c r="J193" s="1188" t="s">
        <v>2434</v>
      </c>
      <c r="K193" s="1493"/>
      <c r="L193" s="1494"/>
      <c r="M193" s="4133" t="s">
        <v>3859</v>
      </c>
      <c r="N193" s="4134"/>
      <c r="O193" s="4134"/>
      <c r="P193" s="4135"/>
      <c r="R193" s="4128"/>
      <c r="S193" s="4129"/>
    </row>
    <row r="194" spans="1:25" s="43" customFormat="1" ht="11.25" customHeight="1">
      <c r="A194" s="431"/>
      <c r="B194" s="433"/>
      <c r="C194" s="3892"/>
      <c r="D194" s="3892"/>
      <c r="E194" s="3892"/>
      <c r="F194" s="3892"/>
      <c r="G194" s="3892"/>
      <c r="H194" s="3892"/>
      <c r="I194" s="3892"/>
      <c r="K194" s="1472"/>
      <c r="L194" s="1472"/>
      <c r="R194" s="4128"/>
      <c r="S194" s="4129"/>
    </row>
    <row r="195" spans="1:25" s="105" customFormat="1" ht="11.25" customHeight="1">
      <c r="A195" s="493"/>
      <c r="B195" s="433" t="s">
        <v>2435</v>
      </c>
      <c r="C195" s="3916" t="s">
        <v>4838</v>
      </c>
      <c r="D195" s="3916"/>
      <c r="E195" s="3916"/>
      <c r="F195" s="3916"/>
      <c r="G195" s="3916"/>
      <c r="J195" s="433" t="s">
        <v>2435</v>
      </c>
      <c r="K195" s="1495"/>
      <c r="L195" s="623"/>
      <c r="M195" s="3906" t="s">
        <v>3859</v>
      </c>
      <c r="N195" s="3907"/>
      <c r="O195" s="3907"/>
      <c r="P195" s="3908"/>
      <c r="R195" s="4128"/>
      <c r="S195" s="4129"/>
    </row>
    <row r="196" spans="1:25" s="33" customFormat="1" ht="11.25" customHeight="1">
      <c r="B196" s="433" t="s">
        <v>2436</v>
      </c>
      <c r="C196" s="558" t="s">
        <v>4839</v>
      </c>
      <c r="D196" s="558"/>
      <c r="E196" s="558"/>
      <c r="F196" s="558"/>
      <c r="G196" s="558"/>
      <c r="H196" s="558"/>
      <c r="J196" s="433" t="s">
        <v>2436</v>
      </c>
      <c r="K196" s="2533"/>
      <c r="L196" s="2534"/>
      <c r="M196" s="3875" t="s">
        <v>3859</v>
      </c>
      <c r="N196" s="3876"/>
      <c r="O196" s="3876"/>
      <c r="P196" s="3877"/>
      <c r="R196" s="4128"/>
      <c r="S196" s="4129"/>
    </row>
    <row r="197" spans="1:25" s="33" customFormat="1" ht="11.25" customHeight="1">
      <c r="B197" s="433" t="s">
        <v>2438</v>
      </c>
      <c r="C197" s="138" t="s">
        <v>4840</v>
      </c>
      <c r="D197" s="558"/>
      <c r="E197" s="558"/>
      <c r="F197" s="558"/>
      <c r="G197" s="558"/>
      <c r="H197" s="558"/>
      <c r="J197" s="433" t="s">
        <v>2438</v>
      </c>
      <c r="K197" s="2533"/>
      <c r="L197" s="2534"/>
      <c r="M197" s="3875" t="s">
        <v>3859</v>
      </c>
      <c r="N197" s="3876"/>
      <c r="O197" s="3876"/>
      <c r="P197" s="3877"/>
      <c r="R197" s="4128"/>
      <c r="S197" s="4129"/>
    </row>
    <row r="198" spans="1:25" s="33" customFormat="1" ht="11.25" customHeight="1">
      <c r="B198" s="433" t="s">
        <v>2437</v>
      </c>
      <c r="C198" s="52" t="s">
        <v>4842</v>
      </c>
      <c r="D198" s="52"/>
      <c r="E198" s="52"/>
      <c r="F198" s="52"/>
      <c r="G198" s="52"/>
      <c r="H198" s="52"/>
      <c r="J198" s="433" t="s">
        <v>2437</v>
      </c>
      <c r="K198" s="2533"/>
      <c r="L198" s="2534"/>
      <c r="M198" s="3875" t="s">
        <v>3859</v>
      </c>
      <c r="N198" s="3876"/>
      <c r="O198" s="3876"/>
      <c r="P198" s="3877"/>
      <c r="R198" s="4128"/>
      <c r="S198" s="4129"/>
    </row>
    <row r="199" spans="1:25" s="33" customFormat="1" ht="11.25" customHeight="1">
      <c r="B199" s="446" t="s">
        <v>2454</v>
      </c>
      <c r="C199" s="52" t="s">
        <v>4841</v>
      </c>
      <c r="D199" s="558"/>
      <c r="E199" s="558"/>
      <c r="F199" s="558"/>
      <c r="G199" s="558"/>
      <c r="J199" s="446" t="s">
        <v>2454</v>
      </c>
      <c r="K199" s="2533"/>
      <c r="L199" s="2534"/>
      <c r="M199" s="3861" t="s">
        <v>3859</v>
      </c>
      <c r="N199" s="3862"/>
      <c r="O199" s="3862"/>
      <c r="P199" s="3863"/>
      <c r="R199" s="4128"/>
      <c r="S199" s="4129"/>
    </row>
    <row r="200" spans="1:25" s="33" customFormat="1" ht="11.25" customHeight="1">
      <c r="B200" s="446" t="s">
        <v>2455</v>
      </c>
      <c r="C200" s="3886" t="s">
        <v>4948</v>
      </c>
      <c r="D200" s="3886"/>
      <c r="E200" s="3886"/>
      <c r="F200" s="3886"/>
      <c r="G200" s="3886"/>
      <c r="H200" s="3886"/>
      <c r="I200" s="2551"/>
      <c r="J200" s="446" t="s">
        <v>2455</v>
      </c>
      <c r="K200" s="2533"/>
      <c r="L200" s="2534"/>
      <c r="R200" s="4128"/>
      <c r="S200" s="4129"/>
    </row>
    <row r="201" spans="1:25" s="43" customFormat="1" ht="11.25" customHeight="1">
      <c r="A201" s="431"/>
      <c r="B201" s="433"/>
      <c r="C201" s="3886"/>
      <c r="D201" s="3886"/>
      <c r="E201" s="3886"/>
      <c r="F201" s="3886"/>
      <c r="G201" s="3886"/>
      <c r="H201" s="3886"/>
      <c r="I201" s="2551"/>
      <c r="J201" s="446" t="s">
        <v>4949</v>
      </c>
      <c r="K201" s="2552"/>
      <c r="L201" s="2553"/>
      <c r="M201" s="558"/>
      <c r="N201" s="558"/>
      <c r="O201" s="558"/>
      <c r="P201" s="558"/>
      <c r="R201" s="4128"/>
      <c r="S201" s="4129"/>
    </row>
    <row r="202" spans="1:25" s="33" customFormat="1" ht="11.25" customHeight="1">
      <c r="B202" s="1188" t="s">
        <v>2456</v>
      </c>
      <c r="C202" s="3892" t="s">
        <v>4845</v>
      </c>
      <c r="D202" s="3892"/>
      <c r="E202" s="3892"/>
      <c r="F202" s="3892"/>
      <c r="G202" s="3892"/>
      <c r="H202" s="3892"/>
      <c r="I202" s="3892"/>
      <c r="J202" s="446" t="s">
        <v>2456</v>
      </c>
      <c r="K202" s="1496"/>
      <c r="L202" s="624"/>
      <c r="R202" s="4128"/>
      <c r="S202" s="4129"/>
    </row>
    <row r="203" spans="1:25" s="43" customFormat="1" ht="11.25" customHeight="1" thickBot="1">
      <c r="A203" s="431"/>
      <c r="B203" s="433"/>
      <c r="C203" s="3892"/>
      <c r="D203" s="3892"/>
      <c r="E203" s="3892"/>
      <c r="F203" s="3892"/>
      <c r="G203" s="3892"/>
      <c r="H203" s="3892"/>
      <c r="I203" s="3892"/>
      <c r="K203" s="1472"/>
      <c r="L203" s="1472"/>
      <c r="R203" s="4130"/>
      <c r="S203" s="4131"/>
    </row>
    <row r="204" spans="1:25" ht="4.5" customHeight="1">
      <c r="B204" s="446"/>
      <c r="C204" s="558"/>
      <c r="K204" s="40"/>
      <c r="M204" s="431"/>
      <c r="N204" s="431"/>
      <c r="O204" s="431"/>
      <c r="P204" s="431"/>
    </row>
    <row r="205" spans="1:25" ht="11.25" customHeight="1">
      <c r="A205" s="142" t="s">
        <v>1983</v>
      </c>
      <c r="B205" s="197" t="s">
        <v>4016</v>
      </c>
      <c r="H205" s="163"/>
      <c r="I205" s="495" t="s">
        <v>4843</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0" t="s">
        <v>4936</v>
      </c>
      <c r="D206" s="3920"/>
      <c r="E206" s="3920"/>
      <c r="F206" s="3920"/>
      <c r="G206" s="3920"/>
      <c r="H206" s="3920"/>
      <c r="I206" s="3920"/>
      <c r="J206" s="3920"/>
      <c r="K206" s="3920"/>
      <c r="L206" s="3920"/>
      <c r="M206" s="1393">
        <v>3</v>
      </c>
      <c r="N206" s="543" t="s">
        <v>1986</v>
      </c>
      <c r="O206" s="981"/>
      <c r="P206" s="980"/>
      <c r="Q206" s="2549" t="str">
        <f>IF(OR($O206=$M206,$O206=0,$O206=""),"","*CHECK!*")</f>
        <v/>
      </c>
      <c r="R206" s="1175" t="s">
        <v>2705</v>
      </c>
    </row>
    <row r="207" spans="1:25" ht="12" customHeight="1">
      <c r="A207" s="581"/>
      <c r="B207" s="674" t="s">
        <v>1988</v>
      </c>
      <c r="C207" s="1187" t="s">
        <v>4934</v>
      </c>
      <c r="D207" s="1187"/>
      <c r="E207" s="1187"/>
      <c r="F207" s="1187"/>
      <c r="G207" s="1187"/>
      <c r="H207" s="1187"/>
      <c r="I207" s="1187"/>
      <c r="J207" s="497" t="s">
        <v>3781</v>
      </c>
      <c r="K207" s="33"/>
      <c r="L207" s="2531" t="str">
        <f>'Part I-Project Information'!$N$39</f>
        <v>Yes</v>
      </c>
      <c r="M207" s="2499">
        <v>2</v>
      </c>
      <c r="N207" s="499" t="s">
        <v>1988</v>
      </c>
      <c r="O207" s="599"/>
      <c r="P207" s="613"/>
      <c r="Q207" s="1179" t="str">
        <f>IF(OR($O207=$M207,$O207=0,$O207=""),"","*CHECK!*")</f>
        <v/>
      </c>
      <c r="R207" s="1175" t="s">
        <v>2705</v>
      </c>
    </row>
    <row r="208" spans="1:25" ht="12" customHeight="1">
      <c r="A208" s="581"/>
      <c r="B208" s="674"/>
      <c r="C208" s="3916" t="s">
        <v>4935</v>
      </c>
      <c r="D208" s="3916"/>
      <c r="E208" s="3916"/>
      <c r="F208" s="3916"/>
      <c r="G208" s="3916"/>
      <c r="H208" s="3916"/>
      <c r="I208" s="2500"/>
      <c r="J208" s="497" t="s">
        <v>3575</v>
      </c>
      <c r="K208" s="2535"/>
      <c r="L208" s="2532" t="str">
        <f>'Part I-Project Information'!$O$38</f>
        <v>9707</v>
      </c>
      <c r="M208" s="2501"/>
      <c r="N208" s="1393"/>
      <c r="O208" s="1393"/>
      <c r="P208" s="1393"/>
      <c r="Q208" s="1179"/>
      <c r="R208" s="1175"/>
    </row>
    <row r="209" spans="1:23" ht="12" customHeight="1">
      <c r="A209" s="581"/>
      <c r="B209" s="538"/>
      <c r="C209" s="3916"/>
      <c r="D209" s="3916"/>
      <c r="E209" s="3916"/>
      <c r="F209" s="3916"/>
      <c r="G209" s="3916"/>
      <c r="H209" s="3916"/>
      <c r="J209" s="497" t="s">
        <v>3374</v>
      </c>
      <c r="K209" s="33"/>
      <c r="L209" s="2530" t="str">
        <f>'Part IV-A-Uses of Funds'!$H$152</f>
        <v>DDA/QCT</v>
      </c>
      <c r="M209" s="2530"/>
      <c r="N209" s="27"/>
      <c r="O209" s="27"/>
      <c r="P209" s="27"/>
      <c r="R209" s="163"/>
    </row>
    <row r="210" spans="1:23" ht="12" customHeight="1">
      <c r="A210" s="142" t="s">
        <v>1985</v>
      </c>
      <c r="B210" s="197" t="s">
        <v>4846</v>
      </c>
      <c r="D210" s="33"/>
      <c r="F210" s="2474"/>
      <c r="K210" s="1443"/>
      <c r="L210" s="434" t="str">
        <f>IF(OR($O210=$M210,$O210=0,$O210=""),"","* * Check Score! * *")</f>
        <v/>
      </c>
      <c r="M210" s="494">
        <v>2</v>
      </c>
      <c r="N210" s="64" t="s">
        <v>1985</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3782</v>
      </c>
      <c r="C212" s="36" t="s">
        <v>3860</v>
      </c>
      <c r="D212" s="105"/>
      <c r="E212" s="105"/>
      <c r="F212" s="105"/>
      <c r="G212" s="105"/>
      <c r="H212" s="105"/>
      <c r="I212" s="105"/>
      <c r="J212" s="4154"/>
      <c r="K212" s="4155"/>
      <c r="L212" s="4155"/>
      <c r="M212" s="4155"/>
      <c r="N212" s="4155"/>
      <c r="O212" s="4155"/>
      <c r="P212" s="4156"/>
      <c r="V212" s="1285"/>
      <c r="W212" s="1285"/>
    </row>
    <row r="213" spans="1:23" s="43" customFormat="1" ht="11.25" customHeight="1">
      <c r="A213" s="195"/>
      <c r="B213" s="527" t="s">
        <v>3783</v>
      </c>
      <c r="C213" s="497" t="s">
        <v>3861</v>
      </c>
      <c r="D213" s="105"/>
      <c r="E213" s="105"/>
      <c r="F213" s="105"/>
      <c r="G213" s="105"/>
      <c r="H213" s="105"/>
      <c r="I213" s="2408" t="str">
        <f>IF($J$213="Government", "Additional documentation required - see QAP.","")</f>
        <v/>
      </c>
      <c r="J213" s="3635" t="s">
        <v>2828</v>
      </c>
      <c r="K213" s="4116"/>
      <c r="L213" s="4117"/>
      <c r="M213" s="105"/>
      <c r="N213" s="105"/>
      <c r="O213" s="105"/>
      <c r="P213" s="105"/>
      <c r="V213" s="1285"/>
      <c r="W213" s="1285"/>
    </row>
    <row r="214" spans="1:23" ht="11.25" customHeight="1">
      <c r="A214" s="196"/>
      <c r="B214" s="527" t="s">
        <v>3784</v>
      </c>
      <c r="C214" s="497" t="s">
        <v>4851</v>
      </c>
      <c r="D214" s="33"/>
      <c r="E214" s="33"/>
      <c r="F214" s="673"/>
      <c r="G214" s="673"/>
      <c r="H214" s="673"/>
      <c r="I214" s="33"/>
      <c r="J214" s="238"/>
      <c r="K214" s="4157" t="s">
        <v>4848</v>
      </c>
      <c r="L214" s="4158"/>
      <c r="M214" s="4158"/>
      <c r="N214" s="4158"/>
      <c r="O214" s="2469"/>
      <c r="P214" s="94"/>
      <c r="V214" s="1285"/>
      <c r="W214" s="1285"/>
    </row>
    <row r="215" spans="1:23" ht="11.25" customHeight="1">
      <c r="A215" s="196"/>
      <c r="B215" s="446" t="s">
        <v>3786</v>
      </c>
      <c r="C215" s="497" t="s">
        <v>4847</v>
      </c>
      <c r="D215" s="33"/>
      <c r="E215" s="33"/>
      <c r="F215" s="673"/>
      <c r="G215" s="673"/>
      <c r="H215" s="673"/>
      <c r="I215" s="33"/>
      <c r="J215" s="422"/>
      <c r="K215" s="4157"/>
      <c r="L215" s="4158"/>
      <c r="M215" s="4158"/>
      <c r="N215" s="4158"/>
      <c r="O215" s="2473"/>
      <c r="P215" s="2470" t="s">
        <v>3789</v>
      </c>
      <c r="V215" s="1285"/>
      <c r="W215" s="1285"/>
    </row>
    <row r="216" spans="1:23" ht="11.25" customHeight="1">
      <c r="A216" s="196"/>
      <c r="B216" s="446" t="s">
        <v>3787</v>
      </c>
      <c r="C216" s="497" t="s">
        <v>4850</v>
      </c>
      <c r="D216" s="33"/>
      <c r="E216" s="33"/>
      <c r="F216" s="673"/>
      <c r="G216" s="673"/>
      <c r="H216" s="673"/>
      <c r="I216" s="33"/>
      <c r="J216" s="239"/>
      <c r="L216" s="2471" t="s">
        <v>4849</v>
      </c>
      <c r="N216" s="2472"/>
      <c r="O216" s="4159"/>
      <c r="P216" s="4160"/>
      <c r="V216" s="1285"/>
      <c r="W216" s="1285"/>
    </row>
    <row r="217" spans="1:23" ht="2.25" customHeight="1">
      <c r="A217" s="196"/>
      <c r="G217" s="450"/>
      <c r="L217" s="1409"/>
      <c r="V217" s="1285"/>
      <c r="W217" s="1285"/>
    </row>
    <row r="218" spans="1:23" ht="21.75" customHeight="1">
      <c r="A218" s="3872" t="s">
        <v>4174</v>
      </c>
      <c r="B218" s="3870" t="s">
        <v>4171</v>
      </c>
      <c r="C218" s="3871"/>
      <c r="D218" s="3107"/>
      <c r="E218" s="3093"/>
      <c r="F218" s="3093"/>
      <c r="G218" s="3093"/>
      <c r="H218" s="3093"/>
      <c r="I218" s="3093"/>
      <c r="J218" s="3093"/>
      <c r="K218" s="3093"/>
      <c r="L218" s="3093"/>
      <c r="M218" s="3093"/>
      <c r="N218" s="3093"/>
      <c r="O218" s="3093"/>
      <c r="P218" s="3094"/>
      <c r="Q218" s="509"/>
      <c r="V218" s="1285"/>
      <c r="W218" s="1285"/>
    </row>
    <row r="219" spans="1:23" ht="22.5" customHeight="1">
      <c r="A219" s="3873"/>
      <c r="B219" s="3865" t="s">
        <v>4172</v>
      </c>
      <c r="C219" s="3866"/>
      <c r="D219" s="3112"/>
      <c r="E219" s="3063"/>
      <c r="F219" s="3063"/>
      <c r="G219" s="3063"/>
      <c r="H219" s="3063"/>
      <c r="I219" s="3063"/>
      <c r="J219" s="3063"/>
      <c r="K219" s="3063"/>
      <c r="L219" s="3063"/>
      <c r="M219" s="3063"/>
      <c r="N219" s="3063"/>
      <c r="O219" s="3063"/>
      <c r="P219" s="3064"/>
      <c r="Q219" s="509"/>
      <c r="V219" s="1285"/>
      <c r="W219" s="1285"/>
    </row>
    <row r="220" spans="1:23" ht="22.5" customHeight="1">
      <c r="A220" s="3874"/>
      <c r="B220" s="3882" t="s">
        <v>4930</v>
      </c>
      <c r="C220" s="3883"/>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3453</v>
      </c>
      <c r="G221" s="3911" t="s">
        <v>2628</v>
      </c>
      <c r="H221" s="3911"/>
      <c r="J221" s="3909"/>
      <c r="K221" s="3910"/>
      <c r="L221" s="3880"/>
      <c r="M221" s="3881"/>
      <c r="V221" s="1285"/>
      <c r="W221" s="1285"/>
    </row>
    <row r="222" spans="1:23" s="43" customFormat="1" ht="11.25" customHeight="1">
      <c r="C222" s="36" t="s">
        <v>3454</v>
      </c>
      <c r="D222" s="1506"/>
      <c r="G222" s="3884">
        <f>'Part IV-A-Uses of Funds'!$G$132</f>
        <v>15458102.010000002</v>
      </c>
      <c r="H222" s="3885"/>
      <c r="J222" s="3878">
        <f>IF($J221=0,0,$J221/$G$222)</f>
        <v>0</v>
      </c>
      <c r="K222" s="3879"/>
      <c r="L222" s="3878">
        <f>IF($L221=0,0,$L221/$G$222)</f>
        <v>0</v>
      </c>
      <c r="M222" s="3879"/>
      <c r="V222" s="1285"/>
      <c r="W222" s="1285"/>
    </row>
    <row r="223" spans="1:23" s="105" customFormat="1" ht="10.5" customHeight="1" thickBot="1">
      <c r="A223" s="42"/>
      <c r="B223" s="1488" t="s">
        <v>3756</v>
      </c>
      <c r="C223" s="42"/>
      <c r="D223" s="48"/>
      <c r="E223" s="48"/>
      <c r="F223" s="48"/>
      <c r="G223" s="48"/>
      <c r="H223" s="36"/>
      <c r="I223" s="36"/>
      <c r="J223" s="36"/>
      <c r="K223" s="36"/>
      <c r="M223" s="46"/>
      <c r="N223" s="6"/>
      <c r="O223" s="3"/>
      <c r="P223" s="1503"/>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3"/>
      <c r="B226" s="3604"/>
      <c r="C226" s="3604"/>
      <c r="D226" s="3604"/>
      <c r="E226" s="3604"/>
      <c r="F226" s="3604"/>
      <c r="G226" s="3604"/>
      <c r="H226" s="3604"/>
      <c r="I226" s="3604"/>
      <c r="J226" s="3604"/>
      <c r="K226" s="3604"/>
      <c r="L226" s="3604"/>
      <c r="M226" s="3604"/>
      <c r="N226" s="3604"/>
      <c r="O226" s="3604"/>
      <c r="P226" s="3605"/>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4858</v>
      </c>
      <c r="K231" s="1452">
        <f>$O$189</f>
        <v>0</v>
      </c>
      <c r="L231" s="1453">
        <f>$P$189</f>
        <v>0</v>
      </c>
      <c r="N231" s="527" t="s">
        <v>2434</v>
      </c>
      <c r="O231" s="238"/>
      <c r="P231" s="617"/>
      <c r="R231" s="434"/>
    </row>
    <row r="232" spans="1:23" s="43" customFormat="1" ht="11.25" customHeight="1">
      <c r="A232" s="142"/>
      <c r="C232" s="55" t="s">
        <v>4859</v>
      </c>
      <c r="K232" s="1452">
        <f>$O$107</f>
        <v>0</v>
      </c>
      <c r="L232" s="1453">
        <f>$P$107</f>
        <v>0</v>
      </c>
      <c r="N232" s="527" t="s">
        <v>2435</v>
      </c>
      <c r="O232" s="422"/>
      <c r="P232" s="618"/>
      <c r="R232" s="1285"/>
      <c r="S232" s="1285"/>
    </row>
    <row r="233" spans="1:23" s="43" customFormat="1" ht="11.25" customHeight="1">
      <c r="C233" s="55" t="s">
        <v>4860</v>
      </c>
      <c r="N233" s="527" t="s">
        <v>2436</v>
      </c>
      <c r="O233" s="239"/>
      <c r="P233" s="618"/>
      <c r="R233" s="1285"/>
      <c r="S233" s="1285"/>
    </row>
    <row r="234" spans="1:23" s="43" customFormat="1" ht="11.25" customHeight="1">
      <c r="A234" s="142"/>
      <c r="C234" s="55" t="s">
        <v>4026</v>
      </c>
      <c r="K234" s="2458" t="str">
        <f>'Part I-Project Information'!F38</f>
        <v>Milledgeville</v>
      </c>
      <c r="L234" s="2461"/>
      <c r="N234" s="527" t="s">
        <v>2437</v>
      </c>
      <c r="O234" s="527"/>
      <c r="P234" s="618"/>
      <c r="R234" s="1285"/>
      <c r="S234" s="1285"/>
    </row>
    <row r="235" spans="1:23" s="43" customFormat="1" ht="11.25" customHeight="1">
      <c r="A235" s="142"/>
      <c r="C235" s="55" t="s">
        <v>4952</v>
      </c>
      <c r="K235" s="1452">
        <f>$O$153</f>
        <v>0</v>
      </c>
      <c r="L235" s="1453">
        <f>$P$153</f>
        <v>0</v>
      </c>
      <c r="N235" s="527" t="s">
        <v>2438</v>
      </c>
      <c r="O235" s="238"/>
      <c r="P235" s="618"/>
      <c r="R235" s="1285"/>
      <c r="S235" s="1285"/>
    </row>
    <row r="236" spans="1:23" s="43" customFormat="1" ht="11.25" customHeight="1">
      <c r="A236" s="142"/>
      <c r="C236" s="55" t="s">
        <v>4951</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4029</v>
      </c>
      <c r="D238" s="33"/>
      <c r="G238" s="538" t="s">
        <v>3785</v>
      </c>
      <c r="N238" s="27"/>
      <c r="O238" s="27"/>
      <c r="P238" s="27"/>
      <c r="Q238" s="1185"/>
    </row>
    <row r="239" spans="1:23" s="33" customFormat="1" ht="11.25" customHeight="1">
      <c r="A239" s="581"/>
      <c r="B239" s="138" t="s">
        <v>3865</v>
      </c>
      <c r="D239" s="3845"/>
      <c r="E239" s="3846"/>
      <c r="F239" s="3846"/>
      <c r="G239" s="3468"/>
      <c r="H239" s="3847"/>
      <c r="I239" s="1510" t="s">
        <v>2703</v>
      </c>
      <c r="J239" s="3845"/>
      <c r="K239" s="3846"/>
      <c r="L239" s="3846"/>
      <c r="M239" s="3846"/>
      <c r="N239" s="3847"/>
      <c r="O239" s="660"/>
      <c r="P239" s="660"/>
      <c r="Q239" s="1185"/>
      <c r="R239" s="3853" t="s">
        <v>5027</v>
      </c>
      <c r="S239" s="3854"/>
    </row>
    <row r="240" spans="1:23" s="33" customFormat="1" ht="11.25" customHeight="1">
      <c r="A240" s="581"/>
      <c r="B240" s="138" t="s">
        <v>2194</v>
      </c>
      <c r="D240" s="3887"/>
      <c r="E240" s="3888"/>
      <c r="F240" s="3889"/>
      <c r="G240" s="138" t="s">
        <v>1721</v>
      </c>
      <c r="H240" s="1270"/>
      <c r="I240" s="497" t="s">
        <v>1800</v>
      </c>
      <c r="J240" s="3887"/>
      <c r="K240" s="3888"/>
      <c r="L240" s="3888"/>
      <c r="M240" s="3888"/>
      <c r="N240" s="3889"/>
      <c r="Q240" s="1185"/>
      <c r="R240" s="3855"/>
      <c r="S240" s="3856"/>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5"/>
      <c r="S241" s="3856"/>
    </row>
    <row r="242" spans="1:23" ht="10.5" customHeight="1">
      <c r="A242" s="581"/>
      <c r="B242" s="674" t="s">
        <v>1986</v>
      </c>
      <c r="C242" s="1187" t="s">
        <v>4028</v>
      </c>
      <c r="D242" s="1182"/>
      <c r="E242" s="1182"/>
      <c r="F242" s="1182"/>
      <c r="G242" s="1182"/>
      <c r="H242" s="1182"/>
      <c r="I242" s="1182"/>
      <c r="J242" s="1182"/>
      <c r="K242" s="1182"/>
      <c r="L242" s="1182"/>
      <c r="M242" s="1182"/>
      <c r="N242" s="1182"/>
      <c r="O242" s="589" t="s">
        <v>2509</v>
      </c>
      <c r="P242" s="589" t="s">
        <v>2509</v>
      </c>
      <c r="Q242" s="1182"/>
      <c r="R242" s="3855"/>
      <c r="S242" s="3856"/>
    </row>
    <row r="243" spans="1:23" s="33" customFormat="1" ht="21.75" customHeight="1">
      <c r="A243" s="1512"/>
      <c r="B243" s="718"/>
      <c r="C243" s="3916" t="s">
        <v>4039</v>
      </c>
      <c r="D243" s="3916"/>
      <c r="E243" s="3916"/>
      <c r="F243" s="3916"/>
      <c r="G243" s="3916"/>
      <c r="H243" s="3916"/>
      <c r="I243" s="3916"/>
      <c r="J243" s="3916"/>
      <c r="K243" s="3916"/>
      <c r="L243" s="3916"/>
      <c r="M243" s="3916"/>
      <c r="N243" s="449" t="s">
        <v>1986</v>
      </c>
      <c r="O243" s="1424"/>
      <c r="P243" s="1425"/>
      <c r="Q243" s="1182"/>
      <c r="R243" s="3855"/>
      <c r="S243" s="3856"/>
      <c r="V243" s="1285"/>
      <c r="W243" s="1285"/>
    </row>
    <row r="244" spans="1:23" s="33" customFormat="1" ht="11.25" customHeight="1">
      <c r="A244" s="581"/>
      <c r="B244" s="527" t="s">
        <v>2434</v>
      </c>
      <c r="C244" s="138" t="s">
        <v>4030</v>
      </c>
      <c r="D244" s="3912"/>
      <c r="E244" s="3913"/>
      <c r="F244" s="3913"/>
      <c r="G244" s="3846"/>
      <c r="H244" s="3914"/>
      <c r="I244" s="1510" t="s">
        <v>2703</v>
      </c>
      <c r="J244" s="3912"/>
      <c r="K244" s="3913"/>
      <c r="L244" s="3913"/>
      <c r="M244" s="3913"/>
      <c r="N244" s="3914"/>
      <c r="O244" s="3890" t="s">
        <v>4032</v>
      </c>
      <c r="P244" s="3891"/>
      <c r="Q244" s="1182"/>
      <c r="R244" s="3855"/>
      <c r="S244" s="3856"/>
      <c r="V244" s="1285"/>
      <c r="W244" s="1285"/>
    </row>
    <row r="245" spans="1:23" s="33" customFormat="1" ht="11.25" customHeight="1">
      <c r="A245" s="581"/>
      <c r="C245" s="1304" t="s">
        <v>2194</v>
      </c>
      <c r="D245" s="3887"/>
      <c r="E245" s="3888"/>
      <c r="F245" s="3889"/>
      <c r="G245" s="1413" t="s">
        <v>1721</v>
      </c>
      <c r="H245" s="1270"/>
      <c r="I245" s="1303" t="s">
        <v>1800</v>
      </c>
      <c r="J245" s="3887"/>
      <c r="K245" s="3888"/>
      <c r="L245" s="3888"/>
      <c r="M245" s="3888"/>
      <c r="N245" s="3889"/>
      <c r="O245" s="239"/>
      <c r="P245" s="619"/>
      <c r="Q245" s="1182"/>
      <c r="R245" s="3855"/>
      <c r="S245" s="3856"/>
      <c r="V245" s="1285"/>
      <c r="W245" s="1285"/>
    </row>
    <row r="246" spans="1:23" s="33" customFormat="1" ht="11.25" customHeight="1">
      <c r="A246" s="581"/>
      <c r="B246" s="527" t="s">
        <v>2435</v>
      </c>
      <c r="C246" s="138" t="s">
        <v>4031</v>
      </c>
      <c r="D246" s="3912"/>
      <c r="E246" s="3913"/>
      <c r="F246" s="3913"/>
      <c r="G246" s="3846"/>
      <c r="H246" s="3914"/>
      <c r="I246" s="1510" t="s">
        <v>2703</v>
      </c>
      <c r="J246" s="3912"/>
      <c r="K246" s="3913"/>
      <c r="L246" s="3913"/>
      <c r="M246" s="3913"/>
      <c r="N246" s="3914"/>
      <c r="O246" s="3890" t="s">
        <v>4032</v>
      </c>
      <c r="P246" s="3891"/>
      <c r="Q246" s="1182"/>
      <c r="R246" s="3855"/>
      <c r="S246" s="3856"/>
      <c r="V246" s="1285"/>
      <c r="W246" s="1285"/>
    </row>
    <row r="247" spans="1:23" s="33" customFormat="1" ht="11.25" customHeight="1">
      <c r="A247" s="581"/>
      <c r="C247" s="1304" t="s">
        <v>2194</v>
      </c>
      <c r="D247" s="3887"/>
      <c r="E247" s="3888"/>
      <c r="F247" s="3889"/>
      <c r="G247" s="1413" t="s">
        <v>1721</v>
      </c>
      <c r="H247" s="1270"/>
      <c r="I247" s="1303" t="s">
        <v>1800</v>
      </c>
      <c r="J247" s="3887"/>
      <c r="K247" s="3888"/>
      <c r="L247" s="3888"/>
      <c r="M247" s="3888"/>
      <c r="N247" s="3889"/>
      <c r="O247" s="239"/>
      <c r="P247" s="619"/>
      <c r="Q247" s="1182"/>
      <c r="R247" s="3855"/>
      <c r="S247" s="3856"/>
      <c r="V247" s="1285"/>
      <c r="W247" s="1285"/>
    </row>
    <row r="248" spans="1:23" ht="11.25" customHeight="1">
      <c r="A248" s="581"/>
      <c r="B248" s="674" t="s">
        <v>1988</v>
      </c>
      <c r="C248" s="1187" t="s">
        <v>4033</v>
      </c>
      <c r="D248" s="1182"/>
      <c r="E248" s="1182"/>
      <c r="F248" s="1182"/>
      <c r="G248" s="538" t="s">
        <v>3785</v>
      </c>
      <c r="H248" s="1182"/>
      <c r="I248" s="1182"/>
      <c r="J248" s="1182"/>
      <c r="K248" s="1182"/>
      <c r="L248" s="1182"/>
      <c r="M248" s="1182"/>
      <c r="N248" s="1182"/>
      <c r="O248" s="589" t="s">
        <v>2509</v>
      </c>
      <c r="P248" s="589" t="s">
        <v>2509</v>
      </c>
      <c r="Q248" s="1182"/>
      <c r="R248" s="3855"/>
      <c r="S248" s="3856"/>
    </row>
    <row r="249" spans="1:23" ht="33.75" customHeight="1">
      <c r="A249" s="581"/>
      <c r="B249" s="1189"/>
      <c r="C249" s="3892" t="s">
        <v>4138</v>
      </c>
      <c r="D249" s="3892"/>
      <c r="E249" s="3892"/>
      <c r="F249" s="3892"/>
      <c r="G249" s="3892"/>
      <c r="H249" s="3892"/>
      <c r="I249" s="3892"/>
      <c r="J249" s="3892"/>
      <c r="K249" s="3892"/>
      <c r="L249" s="3892"/>
      <c r="M249" s="3892"/>
      <c r="N249" s="449" t="s">
        <v>1988</v>
      </c>
      <c r="O249" s="1424"/>
      <c r="P249" s="1425"/>
      <c r="Q249" s="1186"/>
      <c r="R249" s="3855"/>
      <c r="S249" s="3856"/>
      <c r="V249" s="1285"/>
      <c r="W249" s="1285"/>
    </row>
    <row r="250" spans="1:23" ht="11.25" customHeight="1">
      <c r="A250" s="581"/>
      <c r="B250" s="527" t="s">
        <v>2434</v>
      </c>
      <c r="C250" s="1191" t="s">
        <v>4139</v>
      </c>
      <c r="D250" s="1511"/>
      <c r="E250" s="1511"/>
      <c r="F250" s="1511"/>
      <c r="G250" s="1511"/>
      <c r="H250" s="1511"/>
      <c r="I250" s="1511"/>
      <c r="J250" s="1511"/>
      <c r="K250" s="1511"/>
      <c r="L250" s="1511"/>
      <c r="M250" s="1511"/>
      <c r="N250" s="1511"/>
      <c r="O250" s="1511"/>
      <c r="P250" s="1511"/>
      <c r="Q250" s="1186"/>
      <c r="R250" s="3855"/>
      <c r="S250" s="3856"/>
      <c r="V250" s="1285"/>
      <c r="W250" s="1285"/>
    </row>
    <row r="251" spans="1:23" ht="11.25" customHeight="1">
      <c r="A251" s="581"/>
      <c r="B251" s="33"/>
      <c r="C251" s="4081" t="s">
        <v>4614</v>
      </c>
      <c r="D251" s="4082"/>
      <c r="E251" s="4082"/>
      <c r="F251" s="4082"/>
      <c r="G251" s="4082"/>
      <c r="H251" s="4082"/>
      <c r="I251" s="4082"/>
      <c r="J251" s="4082"/>
      <c r="K251" s="4082"/>
      <c r="L251" s="4082"/>
      <c r="M251" s="4082"/>
      <c r="N251" s="4082"/>
      <c r="O251" s="4082"/>
      <c r="P251" s="4083"/>
      <c r="Q251" s="1291"/>
      <c r="R251" s="3855"/>
      <c r="S251" s="3856"/>
      <c r="V251" s="1285"/>
      <c r="W251" s="1285"/>
    </row>
    <row r="252" spans="1:23" ht="11.25" customHeight="1">
      <c r="A252" s="581"/>
      <c r="B252" s="1189"/>
      <c r="C252" s="3948" t="s">
        <v>226</v>
      </c>
      <c r="D252" s="3949"/>
      <c r="E252" s="3949"/>
      <c r="F252" s="3949"/>
      <c r="G252" s="3949"/>
      <c r="H252" s="3949"/>
      <c r="I252" s="3949"/>
      <c r="J252" s="3949"/>
      <c r="K252" s="3949"/>
      <c r="L252" s="3949"/>
      <c r="M252" s="3949"/>
      <c r="N252" s="3949"/>
      <c r="O252" s="3949"/>
      <c r="P252" s="3950"/>
      <c r="Q252" s="1186"/>
      <c r="R252" s="3855"/>
      <c r="S252" s="3856"/>
      <c r="V252" s="1285"/>
      <c r="W252" s="1285"/>
    </row>
    <row r="253" spans="1:23" ht="11.25" customHeight="1">
      <c r="A253" s="581"/>
      <c r="B253" s="1189"/>
      <c r="C253" s="3991" t="s">
        <v>1404</v>
      </c>
      <c r="D253" s="3992"/>
      <c r="E253" s="3992"/>
      <c r="F253" s="3992"/>
      <c r="G253" s="3992"/>
      <c r="H253" s="3992"/>
      <c r="I253" s="3992"/>
      <c r="J253" s="3992"/>
      <c r="K253" s="3992"/>
      <c r="L253" s="3992"/>
      <c r="M253" s="3992"/>
      <c r="N253" s="3992"/>
      <c r="O253" s="3992"/>
      <c r="P253" s="3993"/>
      <c r="Q253" s="1186"/>
      <c r="R253" s="3855"/>
      <c r="S253" s="3856"/>
      <c r="V253" s="1285"/>
      <c r="W253" s="1285"/>
    </row>
    <row r="254" spans="1:23" ht="11.25" customHeight="1">
      <c r="A254" s="581"/>
      <c r="B254" s="527" t="s">
        <v>2435</v>
      </c>
      <c r="C254" s="1191" t="s">
        <v>4137</v>
      </c>
      <c r="D254" s="1511"/>
      <c r="E254" s="1511"/>
      <c r="F254" s="1511"/>
      <c r="G254" s="1511"/>
      <c r="H254" s="1511"/>
      <c r="I254" s="1511"/>
      <c r="J254" s="1511"/>
      <c r="K254" s="1511"/>
      <c r="L254" s="4086" t="s">
        <v>4141</v>
      </c>
      <c r="M254" s="4086"/>
      <c r="N254" s="4087" t="s">
        <v>4142</v>
      </c>
      <c r="O254" s="4087"/>
      <c r="P254" s="4087"/>
      <c r="Q254" s="1186"/>
      <c r="R254" s="3855"/>
      <c r="S254" s="3856"/>
      <c r="V254" s="1285"/>
      <c r="W254" s="1285"/>
    </row>
    <row r="255" spans="1:23" ht="11.25" customHeight="1">
      <c r="A255" s="581"/>
      <c r="B255" s="1189"/>
      <c r="C255" s="3934" t="s">
        <v>4614</v>
      </c>
      <c r="D255" s="3935"/>
      <c r="E255" s="3935"/>
      <c r="F255" s="3935"/>
      <c r="G255" s="3935"/>
      <c r="H255" s="3935"/>
      <c r="I255" s="3935"/>
      <c r="J255" s="3935"/>
      <c r="K255" s="3936"/>
      <c r="L255" s="3934"/>
      <c r="M255" s="3936"/>
      <c r="N255" s="3934"/>
      <c r="O255" s="3935"/>
      <c r="P255" s="3936"/>
      <c r="Q255" s="1291"/>
      <c r="R255" s="3855"/>
      <c r="S255" s="3856"/>
      <c r="V255" s="1285"/>
      <c r="W255" s="1285"/>
    </row>
    <row r="256" spans="1:23" ht="11.25" customHeight="1">
      <c r="A256" s="581"/>
      <c r="B256" s="1189"/>
      <c r="C256" s="3917" t="s">
        <v>226</v>
      </c>
      <c r="D256" s="3918"/>
      <c r="E256" s="3918"/>
      <c r="F256" s="3918"/>
      <c r="G256" s="3918"/>
      <c r="H256" s="3918"/>
      <c r="I256" s="3918"/>
      <c r="J256" s="3918"/>
      <c r="K256" s="3919"/>
      <c r="L256" s="3917"/>
      <c r="M256" s="3919"/>
      <c r="N256" s="3917"/>
      <c r="O256" s="3918"/>
      <c r="P256" s="3919"/>
      <c r="Q256" s="1186"/>
      <c r="R256" s="3855"/>
      <c r="S256" s="3856"/>
      <c r="V256" s="1285"/>
      <c r="W256" s="1285"/>
    </row>
    <row r="257" spans="1:23" ht="11.25" customHeight="1">
      <c r="A257" s="581"/>
      <c r="B257" s="1189"/>
      <c r="C257" s="3982" t="s">
        <v>1404</v>
      </c>
      <c r="D257" s="3983"/>
      <c r="E257" s="3983"/>
      <c r="F257" s="3983"/>
      <c r="G257" s="3983"/>
      <c r="H257" s="3983"/>
      <c r="I257" s="3983"/>
      <c r="J257" s="3983"/>
      <c r="K257" s="3984"/>
      <c r="L257" s="3982"/>
      <c r="M257" s="3984"/>
      <c r="N257" s="3982"/>
      <c r="O257" s="3983"/>
      <c r="P257" s="3984"/>
      <c r="Q257" s="1186"/>
      <c r="R257" s="3855"/>
      <c r="S257" s="3856"/>
      <c r="V257" s="1285"/>
      <c r="W257" s="1285"/>
    </row>
    <row r="258" spans="1:23" ht="11.25" customHeight="1">
      <c r="A258" s="581"/>
      <c r="B258" s="674" t="s">
        <v>2533</v>
      </c>
      <c r="C258" s="1187" t="s">
        <v>4034</v>
      </c>
      <c r="D258" s="1182"/>
      <c r="E258" s="1182"/>
      <c r="F258" s="1182"/>
      <c r="G258" s="1182"/>
      <c r="H258" s="1182"/>
      <c r="I258" s="1182"/>
      <c r="J258" s="1182"/>
      <c r="K258" s="1182"/>
      <c r="L258" s="1182"/>
      <c r="M258" s="1182"/>
      <c r="N258" s="1182"/>
      <c r="O258" s="589"/>
      <c r="P258" s="589"/>
      <c r="Q258" s="1182"/>
      <c r="R258" s="3857"/>
      <c r="S258" s="3858"/>
    </row>
    <row r="259" spans="1:23" s="33" customFormat="1" ht="11.25" customHeight="1">
      <c r="A259" s="581"/>
      <c r="B259" s="1190"/>
      <c r="C259" s="3916" t="s">
        <v>4038</v>
      </c>
      <c r="D259" s="3916"/>
      <c r="E259" s="3916"/>
      <c r="F259" s="3916"/>
      <c r="G259" s="3916"/>
      <c r="H259" s="3916"/>
      <c r="I259" s="3916"/>
      <c r="J259" s="3916"/>
      <c r="K259" s="3916"/>
      <c r="L259" s="3916"/>
      <c r="M259" s="3916"/>
      <c r="N259" s="449" t="s">
        <v>2533</v>
      </c>
      <c r="O259" s="542"/>
      <c r="P259" s="616"/>
      <c r="Q259" s="1186"/>
      <c r="V259" s="1285"/>
      <c r="W259" s="1285"/>
    </row>
    <row r="260" spans="1:23" ht="11.25" customHeight="1">
      <c r="A260" s="142"/>
      <c r="B260" s="1012" t="s">
        <v>1224</v>
      </c>
      <c r="C260" s="671" t="s">
        <v>3788</v>
      </c>
      <c r="D260" s="33"/>
      <c r="N260" s="27"/>
      <c r="O260" s="27"/>
      <c r="P260" s="27"/>
      <c r="Q260" s="118"/>
    </row>
    <row r="261" spans="1:23" s="33" customFormat="1" ht="21.75" customHeight="1">
      <c r="A261" s="581"/>
      <c r="B261" s="1190"/>
      <c r="C261" s="3920" t="s">
        <v>4040</v>
      </c>
      <c r="D261" s="3920"/>
      <c r="E261" s="3920"/>
      <c r="F261" s="3920"/>
      <c r="G261" s="3920"/>
      <c r="H261" s="3920"/>
      <c r="I261" s="3920"/>
      <c r="J261" s="3920"/>
      <c r="K261" s="3920"/>
      <c r="L261" s="3920"/>
      <c r="M261" s="3920"/>
      <c r="N261" s="449" t="s">
        <v>1224</v>
      </c>
      <c r="O261" s="1424"/>
      <c r="P261" s="1425"/>
      <c r="Q261" s="1186"/>
      <c r="V261" s="1285"/>
      <c r="W261" s="1285"/>
    </row>
    <row r="262" spans="1:23" s="33" customFormat="1" ht="10.5" customHeight="1">
      <c r="A262" s="581"/>
      <c r="B262" s="1190"/>
      <c r="C262" s="2541"/>
      <c r="D262" s="2541"/>
      <c r="E262" s="2541"/>
      <c r="F262" s="2541"/>
      <c r="G262" s="718" t="s">
        <v>4953</v>
      </c>
      <c r="H262" s="2541"/>
      <c r="J262" s="4068"/>
      <c r="K262" s="4069"/>
      <c r="L262" s="2541"/>
      <c r="M262" s="2541"/>
      <c r="N262" s="2541"/>
      <c r="O262" s="2541"/>
      <c r="P262" s="2541"/>
      <c r="Q262" s="1186"/>
      <c r="V262" s="1285"/>
      <c r="W262" s="1285"/>
    </row>
    <row r="263" spans="1:23" s="33" customFormat="1" ht="11.25" customHeight="1">
      <c r="A263" s="581"/>
      <c r="B263" s="446" t="s">
        <v>2434</v>
      </c>
      <c r="C263" s="3916" t="s">
        <v>4041</v>
      </c>
      <c r="D263" s="3916"/>
      <c r="E263" s="3916"/>
      <c r="F263" s="3916"/>
      <c r="G263" s="3916"/>
      <c r="H263" s="3916"/>
      <c r="I263" s="3916"/>
      <c r="J263" s="3916"/>
      <c r="K263" s="3916"/>
      <c r="L263" s="3916"/>
      <c r="M263" s="3916"/>
      <c r="N263" s="446" t="s">
        <v>2434</v>
      </c>
      <c r="O263" s="238"/>
      <c r="P263" s="617"/>
      <c r="Q263" s="1186"/>
      <c r="V263" s="1285"/>
      <c r="W263" s="1285"/>
    </row>
    <row r="264" spans="1:23" s="33" customFormat="1" ht="11.25" customHeight="1">
      <c r="A264" s="581"/>
      <c r="B264" s="446" t="s">
        <v>2435</v>
      </c>
      <c r="C264" s="3916" t="s">
        <v>4852</v>
      </c>
      <c r="D264" s="3916"/>
      <c r="E264" s="3916"/>
      <c r="F264" s="3916"/>
      <c r="G264" s="3916"/>
      <c r="H264" s="3916"/>
      <c r="I264" s="3916"/>
      <c r="J264" s="3916"/>
      <c r="K264" s="3916"/>
      <c r="L264" s="3916"/>
      <c r="M264" s="3916"/>
      <c r="N264" s="446" t="s">
        <v>2435</v>
      </c>
      <c r="O264" s="239"/>
      <c r="P264" s="619"/>
      <c r="Q264" s="1186"/>
      <c r="V264" s="1285"/>
      <c r="W264" s="1285"/>
    </row>
    <row r="265" spans="1:23" ht="11.25" customHeight="1">
      <c r="A265" s="142"/>
      <c r="B265" s="1012" t="s">
        <v>1225</v>
      </c>
      <c r="C265" s="671" t="s">
        <v>4853</v>
      </c>
      <c r="D265" s="33"/>
      <c r="N265" s="449" t="s">
        <v>1225</v>
      </c>
      <c r="O265" s="27"/>
      <c r="P265" s="27"/>
      <c r="Q265" s="118"/>
    </row>
    <row r="266" spans="1:23" s="33" customFormat="1" ht="11.25" customHeight="1">
      <c r="A266" s="581"/>
      <c r="B266" s="446" t="s">
        <v>2434</v>
      </c>
      <c r="C266" s="3916" t="s">
        <v>4854</v>
      </c>
      <c r="D266" s="3916"/>
      <c r="E266" s="3916"/>
      <c r="F266" s="3916"/>
      <c r="G266" s="3916"/>
      <c r="H266" s="3916"/>
      <c r="I266" s="3916"/>
      <c r="J266" s="3916"/>
      <c r="K266" s="3916"/>
      <c r="L266" s="3916"/>
      <c r="M266" s="3916"/>
      <c r="N266" s="446" t="s">
        <v>2434</v>
      </c>
      <c r="O266" s="238"/>
      <c r="P266" s="617"/>
      <c r="Q266" s="1186"/>
      <c r="V266" s="1285"/>
      <c r="W266" s="1285"/>
    </row>
    <row r="267" spans="1:23" s="33" customFormat="1" ht="11.25" customHeight="1">
      <c r="A267" s="581"/>
      <c r="B267" s="446" t="s">
        <v>2435</v>
      </c>
      <c r="C267" s="3916" t="s">
        <v>4855</v>
      </c>
      <c r="D267" s="3916"/>
      <c r="E267" s="3916"/>
      <c r="F267" s="3916"/>
      <c r="G267" s="3916"/>
      <c r="H267" s="3916"/>
      <c r="I267" s="3916"/>
      <c r="J267" s="3916"/>
      <c r="K267" s="3916"/>
      <c r="L267" s="3916"/>
      <c r="M267" s="3916"/>
      <c r="N267" s="446" t="s">
        <v>2435</v>
      </c>
      <c r="O267" s="239"/>
      <c r="P267" s="619"/>
      <c r="Q267" s="1186"/>
      <c r="V267" s="1285"/>
      <c r="W267" s="1285"/>
    </row>
    <row r="268" spans="1:23" ht="11.45" customHeight="1">
      <c r="A268" s="142" t="s">
        <v>1985</v>
      </c>
      <c r="B268" s="197" t="s">
        <v>4035</v>
      </c>
      <c r="D268" s="33"/>
      <c r="G268" s="538" t="s">
        <v>3785</v>
      </c>
      <c r="N268" s="27"/>
      <c r="O268" s="589" t="s">
        <v>2509</v>
      </c>
      <c r="P268" s="589" t="s">
        <v>2509</v>
      </c>
      <c r="Q268" s="1185"/>
    </row>
    <row r="269" spans="1:23" ht="22.5" customHeight="1">
      <c r="B269" s="674" t="s">
        <v>1986</v>
      </c>
      <c r="C269" s="3886" t="s">
        <v>4036</v>
      </c>
      <c r="D269" s="3886"/>
      <c r="E269" s="3886"/>
      <c r="F269" s="3886"/>
      <c r="G269" s="3886"/>
      <c r="H269" s="3886"/>
      <c r="I269" s="3886"/>
      <c r="J269" s="3886"/>
      <c r="K269" s="3886"/>
      <c r="L269" s="3886"/>
      <c r="M269" s="1368" t="s">
        <v>1985</v>
      </c>
      <c r="N269" s="449" t="s">
        <v>1986</v>
      </c>
      <c r="O269" s="1422"/>
      <c r="P269" s="1421"/>
      <c r="Q269" s="1185"/>
      <c r="V269" s="1285"/>
      <c r="W269" s="1285"/>
    </row>
    <row r="270" spans="1:23" s="33" customFormat="1" ht="11.25" customHeight="1">
      <c r="A270" s="581"/>
      <c r="B270" s="674" t="s">
        <v>1988</v>
      </c>
      <c r="C270" s="497" t="s">
        <v>4856</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2533</v>
      </c>
      <c r="C271" s="497" t="s">
        <v>4857</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3756</v>
      </c>
      <c r="C272" s="42"/>
      <c r="D272" s="48"/>
      <c r="E272" s="48"/>
      <c r="F272" s="48"/>
      <c r="G272" s="48"/>
      <c r="H272" s="36"/>
      <c r="I272" s="138"/>
      <c r="M272" s="46"/>
      <c r="N272" s="62"/>
      <c r="O272" s="3"/>
      <c r="P272" s="1505"/>
    </row>
    <row r="273" spans="1:18" s="43" customFormat="1" ht="21.75" customHeight="1" thickTop="1" thickBot="1">
      <c r="A273" s="4163"/>
      <c r="B273" s="4164"/>
      <c r="C273" s="4164"/>
      <c r="D273" s="4164"/>
      <c r="E273" s="4164"/>
      <c r="F273" s="4164"/>
      <c r="G273" s="4164"/>
      <c r="H273" s="4164"/>
      <c r="I273" s="4164"/>
      <c r="J273" s="4164"/>
      <c r="K273" s="4164"/>
      <c r="L273" s="4164"/>
      <c r="M273" s="4164"/>
      <c r="N273" s="4164"/>
      <c r="O273" s="4164"/>
      <c r="P273" s="4165"/>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3"/>
      <c r="B275" s="4074"/>
      <c r="C275" s="4074"/>
      <c r="D275" s="4074"/>
      <c r="E275" s="4074"/>
      <c r="F275" s="4074"/>
      <c r="G275" s="4074"/>
      <c r="H275" s="4074"/>
      <c r="I275" s="4074"/>
      <c r="J275" s="4074"/>
      <c r="K275" s="4074"/>
      <c r="L275" s="4074"/>
      <c r="M275" s="4074"/>
      <c r="N275" s="4074"/>
      <c r="O275" s="4074"/>
      <c r="P275" s="4075"/>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76" t="s">
        <v>3601</v>
      </c>
      <c r="B279" s="989" t="s">
        <v>4861</v>
      </c>
      <c r="C279" s="94"/>
      <c r="D279" s="59"/>
      <c r="E279" s="59"/>
      <c r="G279" s="538" t="s">
        <v>4868</v>
      </c>
      <c r="I279" s="27"/>
      <c r="J279" s="4070" t="str">
        <f>'Part I-Project Information'!$O$38</f>
        <v>9707</v>
      </c>
      <c r="K279" s="4070"/>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76"/>
      <c r="B280" s="114" t="s">
        <v>2793</v>
      </c>
      <c r="C280" s="585"/>
      <c r="D280" s="585"/>
      <c r="G280" s="586" t="str">
        <f>'Part I-Project Information'!$H$105</f>
        <v>N/A - 4% Bond</v>
      </c>
      <c r="M280" s="1183" t="s">
        <v>4862</v>
      </c>
      <c r="N280" s="2476"/>
      <c r="O280" s="1456" t="s">
        <v>2509</v>
      </c>
      <c r="P280" s="1456" t="s">
        <v>2509</v>
      </c>
    </row>
    <row r="281" spans="1:18" ht="11.45" customHeight="1">
      <c r="A281" s="4076"/>
      <c r="B281" s="1012" t="s">
        <v>1986</v>
      </c>
      <c r="C281" s="502" t="s">
        <v>2684</v>
      </c>
      <c r="E281" s="120"/>
      <c r="M281" s="82"/>
      <c r="N281" s="194" t="s">
        <v>1986</v>
      </c>
      <c r="O281" s="238"/>
      <c r="P281" s="617"/>
      <c r="Q281" s="4065" t="str">
        <f>IF(AND(O281="Yes",O284="Yes"),"Only 1 or 4 can be 'Yes'!","")</f>
        <v/>
      </c>
      <c r="R281" s="4065"/>
    </row>
    <row r="282" spans="1:18" ht="11.45" customHeight="1">
      <c r="B282" s="1012" t="s">
        <v>1988</v>
      </c>
      <c r="C282" s="502" t="s">
        <v>2738</v>
      </c>
      <c r="G282" s="103" t="s">
        <v>2389</v>
      </c>
      <c r="H282" s="550" t="s">
        <v>4902</v>
      </c>
      <c r="I282" s="502" t="s">
        <v>2739</v>
      </c>
      <c r="L282" s="138" t="s">
        <v>2737</v>
      </c>
      <c r="M282" s="1013" t="str">
        <f>IF(O282&gt;H282,"CHECK ACTUAL PERCENT!!!","")</f>
        <v/>
      </c>
      <c r="N282" s="194" t="s">
        <v>1988</v>
      </c>
      <c r="O282" s="2477"/>
      <c r="P282" s="2478"/>
      <c r="Q282" s="4065"/>
      <c r="R282" s="4065"/>
    </row>
    <row r="283" spans="1:18" ht="11.45" customHeight="1">
      <c r="B283" s="1012" t="s">
        <v>2533</v>
      </c>
      <c r="C283" s="478" t="s">
        <v>2390</v>
      </c>
      <c r="E283" s="120"/>
      <c r="G283" s="103" t="s">
        <v>2391</v>
      </c>
      <c r="J283" s="4084" t="s">
        <v>5065</v>
      </c>
      <c r="L283" s="497" t="s">
        <v>2731</v>
      </c>
      <c r="M283" s="33"/>
      <c r="N283" s="194" t="s">
        <v>2533</v>
      </c>
      <c r="O283" s="2479" t="s">
        <v>201</v>
      </c>
      <c r="P283" s="2480" t="s">
        <v>201</v>
      </c>
      <c r="Q283" s="4065"/>
      <c r="R283" s="4065"/>
    </row>
    <row r="284" spans="1:18" s="451" customFormat="1" ht="11.45" customHeight="1">
      <c r="B284" s="674" t="s">
        <v>1224</v>
      </c>
      <c r="C284" s="3892" t="s">
        <v>4877</v>
      </c>
      <c r="D284" s="3892"/>
      <c r="E284" s="3892"/>
      <c r="F284" s="3892"/>
      <c r="G284" s="3892"/>
      <c r="H284" s="3892"/>
      <c r="I284" s="3892"/>
      <c r="J284" s="4147"/>
      <c r="K284" s="4084" t="s">
        <v>4043</v>
      </c>
      <c r="M284" s="1372">
        <v>2</v>
      </c>
      <c r="N284" s="194" t="s">
        <v>1224</v>
      </c>
      <c r="O284" s="1447"/>
      <c r="P284" s="1448"/>
      <c r="Q284" s="4065"/>
      <c r="R284" s="4065"/>
    </row>
    <row r="285" spans="1:18" ht="11.45" customHeight="1">
      <c r="B285" s="432"/>
      <c r="C285" s="3892"/>
      <c r="D285" s="3892"/>
      <c r="E285" s="3892"/>
      <c r="F285" s="3892"/>
      <c r="G285" s="3892"/>
      <c r="H285" s="3892"/>
      <c r="I285" s="3892"/>
      <c r="J285" s="4085"/>
      <c r="K285" s="4085"/>
      <c r="L285" s="4166" t="s">
        <v>4099</v>
      </c>
      <c r="M285" s="4167"/>
      <c r="N285" s="120"/>
    </row>
    <row r="286" spans="1:18" ht="23.25" customHeight="1">
      <c r="B286" s="432"/>
      <c r="C286" s="3892"/>
      <c r="D286" s="3892"/>
      <c r="E286" s="3892"/>
      <c r="F286" s="3892"/>
      <c r="G286" s="3892"/>
      <c r="H286" s="3892"/>
      <c r="I286" s="3892"/>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4863</v>
      </c>
      <c r="C288" s="478"/>
      <c r="E288" s="120"/>
      <c r="G288" s="495" t="s">
        <v>4864</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5060</v>
      </c>
      <c r="D289" s="138"/>
      <c r="G289" s="138" t="s">
        <v>4865</v>
      </c>
      <c r="H289" s="1129"/>
      <c r="I289" s="1129"/>
      <c r="J289" s="33"/>
      <c r="K289" s="33"/>
      <c r="L289" s="33"/>
      <c r="M289" s="33"/>
      <c r="N289" s="194" t="s">
        <v>1986</v>
      </c>
      <c r="O289" s="2481"/>
      <c r="P289" s="2482"/>
    </row>
    <row r="290" spans="1:21" ht="11.45" customHeight="1">
      <c r="A290" s="588"/>
      <c r="B290" s="1012" t="s">
        <v>1988</v>
      </c>
      <c r="C290" s="138" t="s">
        <v>5061</v>
      </c>
      <c r="D290" s="138"/>
      <c r="G290" s="138" t="s">
        <v>4866</v>
      </c>
      <c r="H290" s="1129"/>
      <c r="I290" s="1129"/>
      <c r="J290" s="33"/>
      <c r="K290" s="33"/>
      <c r="L290" s="33"/>
      <c r="M290" s="33"/>
      <c r="N290" s="194" t="s">
        <v>1988</v>
      </c>
      <c r="O290" s="2483"/>
      <c r="P290" s="2484"/>
      <c r="R290" s="163" t="s">
        <v>5071</v>
      </c>
    </row>
    <row r="291" spans="1:21" ht="11.45" customHeight="1">
      <c r="A291" s="588"/>
      <c r="B291" s="1012" t="s">
        <v>2533</v>
      </c>
      <c r="C291" s="138" t="s">
        <v>5062</v>
      </c>
      <c r="D291" s="138"/>
      <c r="G291" s="138" t="s">
        <v>4867</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45" customHeight="1">
      <c r="A293" s="588" t="s">
        <v>2115</v>
      </c>
      <c r="B293" s="1012" t="s">
        <v>3602</v>
      </c>
      <c r="C293" s="478"/>
      <c r="E293" s="120"/>
      <c r="G293" s="2460" t="s">
        <v>3606</v>
      </c>
      <c r="H293" s="2487">
        <f>IF('Part VI-Revenues &amp; Expenses'!$O$67=0,0,'Part VI-Revenues &amp; Expenses'!$O$64/'Part VI-Revenues &amp; Expenses'!$O$67)</f>
        <v>0</v>
      </c>
      <c r="J293" s="2468" t="s">
        <v>4869</v>
      </c>
      <c r="K293" s="4071" t="str">
        <f>'Part I-Project Information'!$K$94</f>
        <v>40% of Units at 60% of AMI</v>
      </c>
      <c r="L293" s="4072"/>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3"/>
      <c r="B296" s="4074"/>
      <c r="C296" s="4074"/>
      <c r="D296" s="4074"/>
      <c r="E296" s="4074"/>
      <c r="F296" s="4074"/>
      <c r="G296" s="4074"/>
      <c r="H296" s="4074"/>
      <c r="I296" s="4074"/>
      <c r="J296" s="4074"/>
      <c r="K296" s="4074"/>
      <c r="L296" s="4074"/>
      <c r="M296" s="4074"/>
      <c r="N296" s="4074"/>
      <c r="O296" s="4074"/>
      <c r="P296" s="4075"/>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3801</v>
      </c>
      <c r="M298" s="1503">
        <v>10</v>
      </c>
      <c r="N298" s="7"/>
      <c r="O298" s="1329">
        <f>IF(OR(O299="Yes",O300="Yes"),$M$298,0)</f>
        <v>0</v>
      </c>
      <c r="P298" s="1329">
        <f>IF(OR(P299="Yes",P300="Yes"),$M$298,0)</f>
        <v>0</v>
      </c>
      <c r="Q298" s="112" t="s">
        <v>441</v>
      </c>
      <c r="R298" s="43"/>
    </row>
    <row r="299" spans="1:21" ht="11.25" customHeight="1">
      <c r="A299" s="1504" t="s">
        <v>1983</v>
      </c>
      <c r="B299" s="1374" t="s">
        <v>3792</v>
      </c>
      <c r="D299" s="718"/>
      <c r="E299" s="718"/>
      <c r="F299" s="718"/>
      <c r="G299" s="718"/>
      <c r="H299" s="718"/>
      <c r="I299" s="718"/>
      <c r="J299" s="718"/>
      <c r="K299" s="718"/>
      <c r="L299" s="1191"/>
      <c r="M299" s="4060" t="str">
        <f>IF(OR(SUM(T299:T300)&gt;1,SUM(U299:U300)&gt;1),"Only one category can be met by other means!","")</f>
        <v/>
      </c>
      <c r="N299" s="527" t="s">
        <v>1983</v>
      </c>
      <c r="O299" s="238"/>
      <c r="P299" s="617"/>
      <c r="U299" s="1523">
        <f>IF(L299="Yes",1,0)</f>
        <v>0</v>
      </c>
    </row>
    <row r="300" spans="1:21" ht="11.25" customHeight="1">
      <c r="A300" s="1504" t="s">
        <v>1985</v>
      </c>
      <c r="B300" s="1374" t="s">
        <v>3793</v>
      </c>
      <c r="D300" s="718"/>
      <c r="L300" s="1191"/>
      <c r="M300" s="4060"/>
      <c r="N300" s="527" t="s">
        <v>1985</v>
      </c>
      <c r="O300" s="239"/>
      <c r="P300" s="619"/>
      <c r="U300" s="1523">
        <f>IF(L300="Yes",1,0)</f>
        <v>0</v>
      </c>
    </row>
    <row r="301" spans="1:21" s="43" customFormat="1" ht="10.5" customHeight="1" thickBot="1">
      <c r="A301" s="42"/>
      <c r="B301" s="1488" t="s">
        <v>3756</v>
      </c>
      <c r="C301" s="42"/>
      <c r="D301" s="48"/>
      <c r="E301" s="48"/>
      <c r="F301" s="48"/>
      <c r="G301" s="48"/>
      <c r="H301" s="36"/>
      <c r="I301" s="36"/>
      <c r="J301" s="36"/>
      <c r="K301" s="36"/>
      <c r="M301" s="46"/>
      <c r="N301" s="62"/>
      <c r="O301" s="3"/>
      <c r="P301" s="1505"/>
    </row>
    <row r="302" spans="1:21" s="43" customFormat="1" ht="21.75" customHeight="1" thickTop="1" thickBot="1">
      <c r="A302" s="3867"/>
      <c r="B302" s="3868"/>
      <c r="C302" s="3868"/>
      <c r="D302" s="3868"/>
      <c r="E302" s="3868"/>
      <c r="F302" s="3868"/>
      <c r="G302" s="3868"/>
      <c r="H302" s="3868"/>
      <c r="I302" s="3868"/>
      <c r="J302" s="3868"/>
      <c r="K302" s="3868"/>
      <c r="L302" s="3868"/>
      <c r="M302" s="3868"/>
      <c r="N302" s="3868"/>
      <c r="O302" s="3868"/>
      <c r="P302" s="3869"/>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3"/>
      <c r="B304" s="4074"/>
      <c r="C304" s="4074"/>
      <c r="D304" s="4074"/>
      <c r="E304" s="4074"/>
      <c r="F304" s="4074"/>
      <c r="G304" s="4074"/>
      <c r="H304" s="4074"/>
      <c r="I304" s="4074"/>
      <c r="J304" s="4074"/>
      <c r="K304" s="4074"/>
      <c r="L304" s="4074"/>
      <c r="M304" s="4074"/>
      <c r="N304" s="4074"/>
      <c r="O304" s="4074"/>
      <c r="P304" s="4075"/>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4873</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4047</v>
      </c>
      <c r="D307" s="33"/>
      <c r="E307" s="33"/>
      <c r="F307" s="33"/>
      <c r="H307" s="88" t="s">
        <v>3683</v>
      </c>
      <c r="I307" s="495"/>
      <c r="J307" s="4080" t="str">
        <f>'Part I-Project Information'!$O$34</f>
        <v>No</v>
      </c>
      <c r="K307" s="4080"/>
      <c r="L307" s="1069" t="str">
        <f>'Part I-Project Information'!$O$35</f>
        <v>N/A</v>
      </c>
      <c r="M307" s="73">
        <v>3</v>
      </c>
      <c r="N307" s="527" t="s">
        <v>1983</v>
      </c>
      <c r="O307" s="682"/>
      <c r="P307" s="979"/>
      <c r="Q307" s="1179" t="str">
        <f>IF(OR($O307=$M307,$O307=0,$O307=""),"","*CHECK!*")</f>
        <v/>
      </c>
      <c r="R307" s="1327" t="s">
        <v>2705</v>
      </c>
    </row>
    <row r="308" spans="1:27" s="103" customFormat="1" ht="23.1" customHeight="1">
      <c r="B308" s="674" t="s">
        <v>1986</v>
      </c>
      <c r="C308" s="3920" t="s">
        <v>4878</v>
      </c>
      <c r="D308" s="3920"/>
      <c r="E308" s="3920"/>
      <c r="F308" s="3920"/>
      <c r="G308" s="3920"/>
      <c r="H308" s="3920"/>
      <c r="I308" s="3920"/>
      <c r="J308" s="3920"/>
      <c r="K308" s="3920"/>
      <c r="L308" s="3920"/>
      <c r="M308" s="1184"/>
      <c r="N308" s="449" t="s">
        <v>1986</v>
      </c>
      <c r="O308" s="1412"/>
      <c r="P308" s="1392"/>
      <c r="Q308" s="4066" t="s">
        <v>4196</v>
      </c>
      <c r="R308" s="3892"/>
      <c r="S308" s="3892"/>
      <c r="T308" s="1184"/>
      <c r="U308" s="1184"/>
      <c r="V308" s="1184"/>
      <c r="W308" s="1184"/>
      <c r="X308" s="1184"/>
      <c r="Y308" s="1184"/>
      <c r="Z308" s="1184"/>
      <c r="AA308" s="1184"/>
    </row>
    <row r="309" spans="1:27" s="121" customFormat="1" ht="11.25" customHeight="1">
      <c r="B309" s="1012"/>
      <c r="C309" s="138" t="s">
        <v>3807</v>
      </c>
      <c r="I309" s="446" t="s">
        <v>4874</v>
      </c>
      <c r="J309" s="2465"/>
      <c r="K309" s="497" t="s">
        <v>2301</v>
      </c>
      <c r="L309" s="4057"/>
      <c r="M309" s="4058"/>
      <c r="N309" s="4058"/>
      <c r="O309" s="4058"/>
      <c r="P309" s="4059"/>
      <c r="Q309" s="4066"/>
      <c r="R309" s="3892"/>
      <c r="S309" s="3892"/>
    </row>
    <row r="310" spans="1:27" s="121" customFormat="1" ht="11.25" customHeight="1">
      <c r="B310" s="1012"/>
      <c r="C310" s="138" t="s">
        <v>3862</v>
      </c>
      <c r="I310" s="446" t="s">
        <v>4874</v>
      </c>
      <c r="J310" s="2466"/>
      <c r="K310" s="497" t="s">
        <v>2301</v>
      </c>
      <c r="L310" s="4062"/>
      <c r="M310" s="4063"/>
      <c r="N310" s="4063"/>
      <c r="O310" s="4063"/>
      <c r="P310" s="4064"/>
      <c r="Q310" s="4066"/>
      <c r="R310" s="3892"/>
      <c r="S310" s="3892"/>
    </row>
    <row r="311" spans="1:27" s="121" customFormat="1" ht="11.25" customHeight="1">
      <c r="B311" s="1012" t="s">
        <v>1988</v>
      </c>
      <c r="C311" s="121" t="s">
        <v>963</v>
      </c>
      <c r="M311" s="7"/>
      <c r="N311" s="194" t="s">
        <v>1988</v>
      </c>
      <c r="O311" s="1174"/>
      <c r="P311" s="1084"/>
      <c r="Q311" s="4066"/>
      <c r="R311" s="3892"/>
      <c r="S311" s="3892"/>
    </row>
    <row r="312" spans="1:27" s="121" customFormat="1" ht="11.25" customHeight="1">
      <c r="B312" s="1012" t="s">
        <v>2533</v>
      </c>
      <c r="C312" s="121" t="s">
        <v>964</v>
      </c>
      <c r="M312" s="7"/>
      <c r="N312" s="194" t="s">
        <v>2533</v>
      </c>
      <c r="O312" s="422"/>
      <c r="P312" s="618"/>
      <c r="Q312" s="4066"/>
      <c r="R312" s="3892"/>
      <c r="S312" s="3892"/>
    </row>
    <row r="313" spans="1:27" s="121" customFormat="1" ht="11.25" customHeight="1">
      <c r="B313" s="1012" t="s">
        <v>1224</v>
      </c>
      <c r="C313" s="138" t="s">
        <v>4879</v>
      </c>
      <c r="M313" s="7"/>
      <c r="N313" s="194" t="s">
        <v>1224</v>
      </c>
      <c r="O313" s="422"/>
      <c r="P313" s="618"/>
      <c r="Q313" s="4066"/>
      <c r="R313" s="3892"/>
      <c r="S313" s="3892"/>
    </row>
    <row r="314" spans="1:27" s="121" customFormat="1" ht="11.25" customHeight="1">
      <c r="A314" s="581"/>
      <c r="B314" s="1012" t="s">
        <v>1225</v>
      </c>
      <c r="C314" s="121" t="s">
        <v>965</v>
      </c>
      <c r="M314" s="7"/>
      <c r="N314" s="194" t="s">
        <v>1225</v>
      </c>
      <c r="O314" s="239"/>
      <c r="P314" s="619"/>
      <c r="Q314" s="4066"/>
      <c r="R314" s="3892"/>
      <c r="S314" s="3892"/>
    </row>
    <row r="315" spans="1:27" s="33" customFormat="1" ht="11.25" customHeight="1">
      <c r="A315" s="1504" t="s">
        <v>1985</v>
      </c>
      <c r="B315" s="197" t="s">
        <v>4048</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4050</v>
      </c>
      <c r="L317" s="434" t="str">
        <f>IF(OR($O317=$M317,$O317=0,$O317=""),"","* * Check Score! * *")</f>
        <v/>
      </c>
      <c r="M317" s="73">
        <v>3</v>
      </c>
      <c r="N317" s="499" t="s">
        <v>1986</v>
      </c>
      <c r="O317" s="597"/>
      <c r="P317" s="611"/>
      <c r="Q317" s="1179" t="str">
        <f>IF(OR($O317=$M317,$O317=0,$O317=""),"","*CHECK!*")</f>
        <v/>
      </c>
      <c r="R317" s="1327" t="s">
        <v>2705</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2705</v>
      </c>
    </row>
    <row r="319" spans="1:27" s="33" customFormat="1" ht="11.25" customHeight="1">
      <c r="A319" s="1504" t="s">
        <v>749</v>
      </c>
      <c r="B319" s="197" t="s">
        <v>4049</v>
      </c>
      <c r="D319" s="673"/>
      <c r="H319" s="61" t="s">
        <v>4876</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4061" t="str">
        <f>IF(OR(AND(O321&gt;0,O323&gt;0), AND(O322&gt;0,O323&gt;0), AND(O321&gt;0,O322&gt;0)),"Choose option 1 or 2 or 3!!!","")</f>
        <v/>
      </c>
      <c r="L321" s="4061"/>
      <c r="M321" s="73">
        <v>4</v>
      </c>
      <c r="N321" s="499" t="s">
        <v>1986</v>
      </c>
      <c r="O321" s="597"/>
      <c r="P321" s="611"/>
      <c r="Q321" s="1179" t="str">
        <f>IF(OR($O321=$M321,$O321=0,$O321=""),"","*CHECK!*")</f>
        <v/>
      </c>
      <c r="R321" s="1327" t="s">
        <v>2705</v>
      </c>
    </row>
    <row r="322" spans="1:21" ht="11.25" customHeight="1">
      <c r="A322" s="672"/>
      <c r="B322" s="674" t="s">
        <v>1988</v>
      </c>
      <c r="C322" s="671" t="s">
        <v>4051</v>
      </c>
      <c r="D322" s="33"/>
      <c r="E322" s="33"/>
      <c r="F322" s="33"/>
      <c r="G322" s="40"/>
      <c r="H322" s="1017"/>
      <c r="I322" s="40"/>
      <c r="K322" s="4061"/>
      <c r="L322" s="4061"/>
      <c r="M322" s="82">
        <v>3</v>
      </c>
      <c r="N322" s="1016" t="s">
        <v>1988</v>
      </c>
      <c r="O322" s="598"/>
      <c r="P322" s="612"/>
      <c r="Q322" s="1179" t="str">
        <f>IF(OR($O322=$M322,$O322=0,$O322=""),"","*CHECK!*")</f>
        <v/>
      </c>
      <c r="R322" s="1327" t="s">
        <v>2705</v>
      </c>
    </row>
    <row r="323" spans="1:21" ht="11.25" customHeight="1">
      <c r="A323" s="672"/>
      <c r="B323" s="674" t="s">
        <v>2533</v>
      </c>
      <c r="C323" s="503" t="s">
        <v>3611</v>
      </c>
      <c r="D323" s="33"/>
      <c r="E323" s="33"/>
      <c r="F323" s="33"/>
      <c r="G323" s="40"/>
      <c r="H323" s="61"/>
      <c r="I323" s="40"/>
      <c r="K323" s="4061"/>
      <c r="L323" s="4061"/>
      <c r="M323" s="82">
        <v>2</v>
      </c>
      <c r="N323" s="1016" t="s">
        <v>2533</v>
      </c>
      <c r="O323" s="599"/>
      <c r="P323" s="613"/>
      <c r="Q323" s="1179" t="str">
        <f>IF(OR($O323=$M323,$O323=0,$O323=""),"","*CHECK!*")</f>
        <v/>
      </c>
      <c r="R323" s="1327" t="s">
        <v>2705</v>
      </c>
    </row>
    <row r="324" spans="1:21" s="43" customFormat="1" ht="10.5" customHeight="1" thickBot="1">
      <c r="A324" s="42"/>
      <c r="B324" s="1488" t="s">
        <v>3756</v>
      </c>
      <c r="C324" s="42"/>
      <c r="D324" s="48"/>
      <c r="E324" s="48"/>
      <c r="F324" s="48"/>
      <c r="G324" s="48"/>
      <c r="H324" s="36"/>
      <c r="I324" s="36"/>
      <c r="J324" s="36"/>
      <c r="K324" s="36"/>
      <c r="M324" s="46"/>
      <c r="N324" s="62"/>
      <c r="O324" s="3"/>
      <c r="P324" s="1563"/>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3"/>
      <c r="B327" s="3604"/>
      <c r="C327" s="3604"/>
      <c r="D327" s="3604"/>
      <c r="E327" s="3604"/>
      <c r="F327" s="3604"/>
      <c r="G327" s="3604"/>
      <c r="H327" s="3604"/>
      <c r="I327" s="3604"/>
      <c r="J327" s="3604"/>
      <c r="K327" s="3604"/>
      <c r="L327" s="3604"/>
      <c r="M327" s="3604"/>
      <c r="N327" s="3604"/>
      <c r="O327" s="3604"/>
      <c r="P327" s="3605"/>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4881</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4882</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2533</v>
      </c>
      <c r="C333" s="40" t="s">
        <v>4883</v>
      </c>
      <c r="D333" s="61"/>
      <c r="E333" s="61"/>
      <c r="F333" s="44"/>
      <c r="G333" s="27"/>
      <c r="K333" s="527"/>
      <c r="M333" s="7">
        <v>1</v>
      </c>
      <c r="N333" s="1016" t="s">
        <v>2533</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2705</v>
      </c>
      <c r="T334" s="1285"/>
      <c r="U334" s="1285"/>
    </row>
    <row r="335" spans="1:21" s="43" customFormat="1" ht="21.75" customHeight="1">
      <c r="A335" s="158"/>
      <c r="B335" s="3796" t="s">
        <v>4885</v>
      </c>
      <c r="C335" s="3796"/>
      <c r="D335" s="3796"/>
      <c r="E335" s="3796"/>
      <c r="F335" s="3796"/>
      <c r="G335" s="3796"/>
      <c r="H335" s="3796"/>
      <c r="I335" s="3796"/>
      <c r="J335" s="3796"/>
      <c r="K335" s="3796"/>
      <c r="L335" s="3796"/>
      <c r="M335" s="7"/>
      <c r="N335" s="527"/>
      <c r="O335" s="1498"/>
      <c r="P335" s="1499"/>
      <c r="Q335" s="448"/>
      <c r="R335" s="434"/>
      <c r="T335" s="1285"/>
      <c r="U335" s="1285"/>
    </row>
    <row r="336" spans="1:21" s="43" customFormat="1" ht="11.25" customHeight="1">
      <c r="A336" s="142" t="s">
        <v>749</v>
      </c>
      <c r="B336" s="184" t="s">
        <v>4884</v>
      </c>
      <c r="D336" s="57"/>
      <c r="H336" s="192"/>
      <c r="K336" s="52"/>
      <c r="L336" s="434"/>
      <c r="M336" s="7">
        <v>1</v>
      </c>
      <c r="N336" s="527" t="s">
        <v>749</v>
      </c>
      <c r="O336" s="1411">
        <f>IF(O330=0,0,IF(O337="Yes",$M$336,0))</f>
        <v>0</v>
      </c>
      <c r="P336" s="1411">
        <f>IF(P330=0,0,IF(P337="Yes",$M$336,0))</f>
        <v>0</v>
      </c>
      <c r="Q336" s="1179" t="str">
        <f>IF(OR($O336=$M336,$O336=0,$O336=""),"","*CHECK!*")</f>
        <v/>
      </c>
      <c r="R336" s="1327" t="s">
        <v>2705</v>
      </c>
      <c r="T336" s="1285"/>
      <c r="U336" s="1285"/>
    </row>
    <row r="337" spans="1:21" s="43" customFormat="1" ht="33.75" customHeight="1">
      <c r="B337" s="3651" t="s">
        <v>5036</v>
      </c>
      <c r="C337" s="3651"/>
      <c r="D337" s="3651"/>
      <c r="E337" s="3651"/>
      <c r="F337" s="3651"/>
      <c r="G337" s="3651"/>
      <c r="H337" s="3651"/>
      <c r="I337" s="3651"/>
      <c r="J337" s="3651"/>
      <c r="K337" s="3651"/>
      <c r="L337" s="3651"/>
      <c r="M337" s="7"/>
      <c r="N337" s="527"/>
      <c r="O337" s="1447"/>
      <c r="P337" s="1448"/>
      <c r="Q337" s="448"/>
      <c r="R337" s="434"/>
      <c r="T337" s="1285"/>
      <c r="U337" s="1285"/>
    </row>
    <row r="338" spans="1:21" s="43" customFormat="1" ht="22.5" customHeight="1">
      <c r="B338" s="3651" t="s">
        <v>5037</v>
      </c>
      <c r="C338" s="3651"/>
      <c r="D338" s="3651"/>
      <c r="E338" s="3651"/>
      <c r="F338" s="3651"/>
      <c r="G338" s="3651"/>
      <c r="H338" s="3651"/>
      <c r="I338" s="3651"/>
      <c r="J338" s="3651"/>
      <c r="K338" s="3651"/>
      <c r="L338" s="3651"/>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3"/>
      <c r="B340" s="3604"/>
      <c r="C340" s="3604"/>
      <c r="D340" s="3604"/>
      <c r="E340" s="3604"/>
      <c r="F340" s="3604"/>
      <c r="G340" s="3604"/>
      <c r="H340" s="3604"/>
      <c r="I340" s="3604"/>
      <c r="J340" s="3604"/>
      <c r="K340" s="3604"/>
      <c r="L340" s="3604"/>
      <c r="M340" s="3604"/>
      <c r="N340" s="3604"/>
      <c r="O340" s="3604"/>
      <c r="P340" s="3605"/>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1983</v>
      </c>
      <c r="B343" s="184" t="s">
        <v>4055</v>
      </c>
      <c r="C343" s="89"/>
      <c r="D343" s="58"/>
      <c r="E343" s="52"/>
      <c r="G343" s="554">
        <f>'Part VIII-Threshold Criteria'!I361</f>
        <v>0</v>
      </c>
      <c r="J343" s="40" t="s">
        <v>2685</v>
      </c>
      <c r="L343" s="36"/>
      <c r="N343" s="527" t="s">
        <v>1983</v>
      </c>
      <c r="O343" s="526" t="str">
        <f>'Part I-Project Information'!$H$100</f>
        <v>No</v>
      </c>
      <c r="P343" s="614"/>
      <c r="Q343" s="112"/>
      <c r="R343" s="1327" t="s">
        <v>2705</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4072</v>
      </c>
      <c r="D346" s="33"/>
      <c r="N346" s="1016" t="s">
        <v>1988</v>
      </c>
      <c r="O346" s="422"/>
      <c r="P346" s="618"/>
      <c r="R346" s="434"/>
    </row>
    <row r="347" spans="1:21" s="105" customFormat="1" ht="10.5" customHeight="1">
      <c r="A347" s="142"/>
      <c r="B347" s="432" t="s">
        <v>2533</v>
      </c>
      <c r="C347" s="36" t="s">
        <v>4960</v>
      </c>
      <c r="D347" s="33"/>
      <c r="N347" s="1016" t="s">
        <v>2533</v>
      </c>
      <c r="O347" s="422"/>
      <c r="P347" s="618"/>
      <c r="R347" s="434"/>
    </row>
    <row r="348" spans="1:21" s="105" customFormat="1" ht="10.5" customHeight="1">
      <c r="B348" s="432" t="s">
        <v>1224</v>
      </c>
      <c r="C348" s="36" t="s">
        <v>4886</v>
      </c>
      <c r="D348" s="33"/>
      <c r="N348" s="1016" t="s">
        <v>1224</v>
      </c>
      <c r="O348" s="422"/>
      <c r="P348" s="618"/>
      <c r="R348" s="434"/>
    </row>
    <row r="349" spans="1:21" s="105" customFormat="1" ht="10.5" customHeight="1">
      <c r="A349" s="142"/>
      <c r="B349" s="432" t="s">
        <v>1225</v>
      </c>
      <c r="C349" s="36" t="s">
        <v>4887</v>
      </c>
      <c r="D349" s="33"/>
      <c r="N349" s="1016" t="s">
        <v>1225</v>
      </c>
      <c r="O349" s="422"/>
      <c r="P349" s="618"/>
      <c r="R349" s="434"/>
    </row>
    <row r="350" spans="1:21" s="105" customFormat="1" ht="10.5" customHeight="1">
      <c r="A350" s="142"/>
      <c r="B350" s="432" t="s">
        <v>1881</v>
      </c>
      <c r="C350" s="36" t="s">
        <v>4073</v>
      </c>
      <c r="D350" s="33"/>
      <c r="N350" s="1016" t="s">
        <v>1881</v>
      </c>
      <c r="O350" s="239"/>
      <c r="P350" s="619"/>
      <c r="R350" s="434"/>
    </row>
    <row r="351" spans="1:21" s="43" customFormat="1" ht="12" customHeight="1">
      <c r="A351" s="142" t="s">
        <v>1985</v>
      </c>
      <c r="B351" s="184" t="s">
        <v>4056</v>
      </c>
      <c r="C351" s="89"/>
      <c r="D351" s="58"/>
      <c r="E351" s="52"/>
      <c r="G351" s="554">
        <f>'Part I-Project Information'!D165</f>
        <v>0</v>
      </c>
      <c r="I351" s="554"/>
      <c r="L351" s="1456"/>
      <c r="M351" s="1456"/>
      <c r="N351" s="527" t="s">
        <v>1985</v>
      </c>
      <c r="P351" s="614"/>
      <c r="Q351" s="112"/>
      <c r="R351" s="1327" t="s">
        <v>2705</v>
      </c>
    </row>
    <row r="352" spans="1:21" s="105" customFormat="1" ht="10.5" customHeight="1">
      <c r="A352" s="158"/>
      <c r="B352" s="432" t="s">
        <v>1986</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4085</v>
      </c>
      <c r="D354" s="33"/>
      <c r="N354" s="1016" t="s">
        <v>1988</v>
      </c>
      <c r="O354" s="422"/>
      <c r="P354" s="618"/>
      <c r="R354" s="434"/>
    </row>
    <row r="355" spans="1:18" s="105" customFormat="1" ht="10.5" customHeight="1">
      <c r="B355" s="432" t="s">
        <v>2533</v>
      </c>
      <c r="C355" s="36" t="s">
        <v>4073</v>
      </c>
      <c r="D355" s="33"/>
      <c r="N355" s="1016" t="s">
        <v>2533</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3"/>
      <c r="B357" s="3604"/>
      <c r="C357" s="3604"/>
      <c r="D357" s="3604"/>
      <c r="E357" s="3604"/>
      <c r="F357" s="3604"/>
      <c r="G357" s="3604"/>
      <c r="H357" s="3604"/>
      <c r="I357" s="3604"/>
      <c r="J357" s="3604"/>
      <c r="K357" s="3604"/>
      <c r="L357" s="3604"/>
      <c r="M357" s="3604"/>
      <c r="N357" s="3604"/>
      <c r="O357" s="3604"/>
      <c r="P357" s="3605"/>
      <c r="Q357" s="509"/>
    </row>
    <row r="358" spans="1:18" ht="2.25" customHeight="1" thickBot="1"/>
    <row r="359" spans="1:18" s="63" customFormat="1" ht="12.6" customHeight="1" thickBot="1">
      <c r="A359" s="158" t="s">
        <v>2781</v>
      </c>
      <c r="B359" s="108" t="s">
        <v>4057</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79" t="s">
        <v>4888</v>
      </c>
      <c r="J360" s="4079"/>
      <c r="K360" s="4079"/>
      <c r="L360" s="4079"/>
      <c r="M360" s="4079"/>
      <c r="N360" s="4079"/>
      <c r="O360" s="4079"/>
      <c r="P360" s="4079"/>
      <c r="R360" s="434"/>
    </row>
    <row r="361" spans="1:18" s="63" customFormat="1" ht="12" customHeight="1">
      <c r="A361" s="1022"/>
      <c r="B361" s="3651" t="s">
        <v>4931</v>
      </c>
      <c r="C361" s="3651"/>
      <c r="D361" s="3651"/>
      <c r="E361" s="3651"/>
      <c r="F361" s="3651"/>
      <c r="G361" s="3651"/>
      <c r="H361" s="3807"/>
      <c r="I361" s="4077">
        <v>1</v>
      </c>
      <c r="J361" s="4077"/>
      <c r="K361" s="4077"/>
      <c r="L361" s="4077">
        <v>4</v>
      </c>
      <c r="M361" s="4077"/>
      <c r="N361" s="4077"/>
      <c r="O361" s="4077"/>
      <c r="P361" s="4077"/>
      <c r="R361" s="434"/>
    </row>
    <row r="362" spans="1:18" s="63" customFormat="1" ht="12" customHeight="1">
      <c r="A362" s="1022"/>
      <c r="B362" s="3651"/>
      <c r="C362" s="3651"/>
      <c r="D362" s="3651"/>
      <c r="E362" s="3651"/>
      <c r="F362" s="3651"/>
      <c r="G362" s="3651"/>
      <c r="H362" s="3807"/>
      <c r="I362" s="4078">
        <v>2</v>
      </c>
      <c r="J362" s="4078"/>
      <c r="K362" s="4078"/>
      <c r="L362" s="4078">
        <v>5</v>
      </c>
      <c r="M362" s="4078"/>
      <c r="N362" s="4078"/>
      <c r="O362" s="4078"/>
      <c r="P362" s="4078"/>
      <c r="R362" s="434"/>
    </row>
    <row r="363" spans="1:18" s="63" customFormat="1" ht="12" customHeight="1">
      <c r="A363" s="2496"/>
      <c r="B363" s="3651"/>
      <c r="C363" s="3651"/>
      <c r="D363" s="3651"/>
      <c r="E363" s="3651"/>
      <c r="F363" s="3651"/>
      <c r="G363" s="3651"/>
      <c r="H363" s="3807"/>
      <c r="I363" s="4152">
        <v>3</v>
      </c>
      <c r="J363" s="4152"/>
      <c r="K363" s="4152"/>
      <c r="L363" s="4152">
        <v>6</v>
      </c>
      <c r="M363" s="4152"/>
      <c r="N363" s="4152"/>
      <c r="O363" s="4152"/>
      <c r="P363" s="4152"/>
      <c r="R363" s="434"/>
    </row>
    <row r="364" spans="1:18" s="105" customFormat="1" ht="10.5" customHeight="1" thickBot="1">
      <c r="A364" s="42"/>
      <c r="B364" s="1488" t="s">
        <v>3756</v>
      </c>
      <c r="C364" s="42"/>
      <c r="D364" s="48"/>
      <c r="E364" s="48"/>
      <c r="F364" s="48"/>
      <c r="G364" s="48"/>
      <c r="H364" s="36"/>
      <c r="I364" s="36"/>
      <c r="J364" s="36"/>
      <c r="K364" s="36"/>
      <c r="M364" s="46"/>
      <c r="N364" s="6"/>
      <c r="O364" s="3"/>
      <c r="P364" s="1503"/>
    </row>
    <row r="365" spans="1:18" s="43" customFormat="1" ht="21.75" customHeight="1" thickTop="1" thickBot="1">
      <c r="A365" s="3867"/>
      <c r="B365" s="3868"/>
      <c r="C365" s="3868"/>
      <c r="D365" s="3868"/>
      <c r="E365" s="3868"/>
      <c r="F365" s="3868"/>
      <c r="G365" s="3868"/>
      <c r="H365" s="3868"/>
      <c r="I365" s="3868"/>
      <c r="J365" s="3868"/>
      <c r="K365" s="3868"/>
      <c r="L365" s="3868"/>
      <c r="M365" s="3868"/>
      <c r="N365" s="3868"/>
      <c r="O365" s="3868"/>
      <c r="P365" s="3869"/>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3"/>
      <c r="B367" s="3604"/>
      <c r="C367" s="3604"/>
      <c r="D367" s="3604"/>
      <c r="E367" s="3604"/>
      <c r="F367" s="3604"/>
      <c r="G367" s="3604"/>
      <c r="H367" s="3604"/>
      <c r="I367" s="3604"/>
      <c r="J367" s="3604"/>
      <c r="K367" s="3604"/>
      <c r="L367" s="3604"/>
      <c r="M367" s="3604"/>
      <c r="N367" s="3604"/>
      <c r="O367" s="3604"/>
      <c r="P367" s="3605"/>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67" t="s">
        <v>2521</v>
      </c>
      <c r="J370" s="3468"/>
      <c r="K370" s="3468"/>
      <c r="L370" s="3469"/>
      <c r="M370" s="494"/>
      <c r="N370" s="454"/>
      <c r="Q370" s="1179"/>
      <c r="R370" s="1327" t="s">
        <v>2705</v>
      </c>
    </row>
    <row r="371" spans="1:18" s="43" customFormat="1" ht="11.25" customHeight="1">
      <c r="A371" s="142"/>
      <c r="B371" s="432" t="s">
        <v>1986</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1988</v>
      </c>
      <c r="C373" s="40" t="s">
        <v>4907</v>
      </c>
      <c r="D373" s="105"/>
      <c r="E373" s="90"/>
      <c r="F373" s="52"/>
      <c r="G373" s="52"/>
      <c r="N373" s="527" t="s">
        <v>1983</v>
      </c>
      <c r="O373" s="1456" t="s">
        <v>2509</v>
      </c>
      <c r="P373" s="1456" t="s">
        <v>2509</v>
      </c>
    </row>
    <row r="374" spans="1:18" s="121" customFormat="1" ht="10.5" customHeight="1">
      <c r="B374" s="433" t="s">
        <v>2434</v>
      </c>
      <c r="C374" s="497" t="s">
        <v>4058</v>
      </c>
      <c r="H374" s="39"/>
      <c r="I374" s="39"/>
      <c r="J374" s="39"/>
      <c r="K374" s="39"/>
      <c r="N374" s="433" t="s">
        <v>2434</v>
      </c>
      <c r="O374" s="238"/>
      <c r="P374" s="617"/>
    </row>
    <row r="375" spans="1:18" s="121" customFormat="1" ht="10.5" customHeight="1">
      <c r="B375" s="447" t="s">
        <v>2435</v>
      </c>
      <c r="C375" s="497" t="s">
        <v>4059</v>
      </c>
      <c r="N375" s="447" t="s">
        <v>2435</v>
      </c>
      <c r="O375" s="422"/>
      <c r="P375" s="618"/>
    </row>
    <row r="376" spans="1:18" s="121" customFormat="1" ht="10.5" customHeight="1">
      <c r="B376" s="433" t="s">
        <v>2436</v>
      </c>
      <c r="C376" s="497" t="s">
        <v>4889</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3756</v>
      </c>
      <c r="C379" s="42"/>
      <c r="D379" s="48"/>
      <c r="E379" s="48"/>
      <c r="F379" s="48"/>
      <c r="G379" s="48"/>
      <c r="H379" s="36"/>
      <c r="I379" s="36"/>
      <c r="J379" s="36"/>
      <c r="K379" s="36"/>
      <c r="M379" s="46"/>
      <c r="N379" s="6"/>
      <c r="O379" s="3"/>
      <c r="P379" s="1503"/>
    </row>
    <row r="380" spans="1:18" s="43" customFormat="1" ht="21.75" customHeight="1" thickTop="1" thickBot="1">
      <c r="A380" s="3867"/>
      <c r="B380" s="3868"/>
      <c r="C380" s="3868"/>
      <c r="D380" s="3868"/>
      <c r="E380" s="3868"/>
      <c r="F380" s="3868"/>
      <c r="G380" s="3868"/>
      <c r="H380" s="3868"/>
      <c r="I380" s="3868"/>
      <c r="J380" s="3868"/>
      <c r="K380" s="3868"/>
      <c r="L380" s="3868"/>
      <c r="M380" s="3868"/>
      <c r="N380" s="3868"/>
      <c r="O380" s="3868"/>
      <c r="P380" s="3869"/>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3"/>
      <c r="B382" s="3604"/>
      <c r="C382" s="3604"/>
      <c r="D382" s="3604"/>
      <c r="E382" s="3604"/>
      <c r="F382" s="3604"/>
      <c r="G382" s="3604"/>
      <c r="H382" s="3604"/>
      <c r="I382" s="3604"/>
      <c r="J382" s="3604"/>
      <c r="K382" s="3604"/>
      <c r="L382" s="3604"/>
      <c r="M382" s="3604"/>
      <c r="N382" s="3604"/>
      <c r="O382" s="3604"/>
      <c r="P382" s="3605"/>
      <c r="Q382" s="509"/>
    </row>
    <row r="383" spans="1:18" ht="3" customHeight="1" thickBot="1"/>
    <row r="384" spans="1:18" s="43" customFormat="1" ht="12.75" customHeight="1" thickBot="1">
      <c r="A384" s="157" t="s">
        <v>4103</v>
      </c>
      <c r="B384" s="108" t="s">
        <v>4064</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50" t="str">
        <f>IF(OR(O386="No",O386="",O387="No",O387="",O388="No",O388="",O389="No",O389=""),"Unmet criterion results in no points!","")</f>
        <v>Unmet criterion results in no points!</v>
      </c>
      <c r="M386" s="4050"/>
      <c r="N386" s="433" t="s">
        <v>2434</v>
      </c>
      <c r="O386" s="238"/>
      <c r="P386" s="617"/>
      <c r="R386" s="4067" t="str">
        <f>IF(OR(P386="No",P386="",P387="No",P387="",P388="No",P388="",P389="No",P389=""),"Unmet criterion results in no points!","")</f>
        <v>Unmet criterion results in no points!</v>
      </c>
      <c r="S386" s="4067" t="e">
        <f>IF(OR(V386="No",V386="",V387="No",V387="",V388="No",V388="",V389="No",V389="",#REF!="No",#REF!="",#REF!="No",#REF!=""),"Unmet criterion results in no points!","")</f>
        <v>#REF!</v>
      </c>
    </row>
    <row r="387" spans="1:19" s="103" customFormat="1" ht="12.75" customHeight="1">
      <c r="B387" s="433" t="s">
        <v>2435</v>
      </c>
      <c r="C387" s="138" t="s">
        <v>3810</v>
      </c>
      <c r="L387" s="4050"/>
      <c r="M387" s="4050"/>
      <c r="N387" s="433" t="s">
        <v>2435</v>
      </c>
      <c r="O387" s="422"/>
      <c r="P387" s="618"/>
      <c r="R387" s="4067"/>
      <c r="S387" s="4067"/>
    </row>
    <row r="388" spans="1:19" s="103" customFormat="1" ht="12.75" customHeight="1">
      <c r="B388" s="433" t="s">
        <v>2436</v>
      </c>
      <c r="C388" s="138" t="s">
        <v>3809</v>
      </c>
      <c r="L388" s="4050"/>
      <c r="M388" s="4050"/>
      <c r="N388" s="433" t="s">
        <v>2436</v>
      </c>
      <c r="O388" s="422"/>
      <c r="P388" s="618"/>
      <c r="R388" s="4067"/>
      <c r="S388" s="4067"/>
    </row>
    <row r="389" spans="1:19" s="103" customFormat="1" ht="33.75" customHeight="1">
      <c r="B389" s="447" t="s">
        <v>2437</v>
      </c>
      <c r="C389" s="3920" t="s">
        <v>4890</v>
      </c>
      <c r="D389" s="3920"/>
      <c r="E389" s="3920"/>
      <c r="F389" s="3920"/>
      <c r="G389" s="3920"/>
      <c r="H389" s="3920"/>
      <c r="I389" s="3920"/>
      <c r="J389" s="3920"/>
      <c r="K389" s="3920"/>
      <c r="L389" s="3920"/>
      <c r="M389" s="3920"/>
      <c r="N389" s="447" t="s">
        <v>2437</v>
      </c>
      <c r="O389" s="1447"/>
      <c r="P389" s="1448"/>
    </row>
    <row r="390" spans="1:19" ht="3" customHeight="1">
      <c r="C390" s="3920"/>
      <c r="D390" s="3920"/>
      <c r="E390" s="3920"/>
      <c r="F390" s="3920"/>
      <c r="G390" s="3920"/>
      <c r="H390" s="3920"/>
      <c r="I390" s="3920"/>
      <c r="J390" s="3920"/>
      <c r="K390" s="3920"/>
      <c r="L390" s="3920"/>
      <c r="M390" s="3920"/>
    </row>
    <row r="391" spans="1:19" ht="12.75" customHeight="1">
      <c r="A391" s="1198" t="s">
        <v>1983</v>
      </c>
      <c r="B391" s="197" t="s">
        <v>4066</v>
      </c>
      <c r="L391" s="434" t="str">
        <f>IF(OR($O391=$M391,$O391=0,$O391=""),"","* * Check Score! * *")</f>
        <v/>
      </c>
      <c r="M391" s="1372">
        <v>3</v>
      </c>
      <c r="N391" s="527" t="s">
        <v>1983</v>
      </c>
      <c r="O391" s="682"/>
      <c r="P391" s="979"/>
      <c r="Q391" s="1179" t="str">
        <f>IF(OR($O391=$M391,$O391=0,$O391=""),"","*CHECK!*")</f>
        <v/>
      </c>
      <c r="R391" s="1327" t="s">
        <v>2705</v>
      </c>
    </row>
    <row r="392" spans="1:19" ht="12.75" customHeight="1">
      <c r="A392" s="1198"/>
      <c r="B392" s="674" t="s">
        <v>1986</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49" t="s">
        <v>1990</v>
      </c>
      <c r="K393" s="4049"/>
      <c r="M393" s="4049" t="s">
        <v>1990</v>
      </c>
      <c r="N393" s="4049"/>
      <c r="O393" s="4049"/>
      <c r="P393" s="4049"/>
    </row>
    <row r="394" spans="1:19" s="43" customFormat="1" ht="12.75" customHeight="1">
      <c r="A394" s="195"/>
      <c r="B394" s="433" t="s">
        <v>2434</v>
      </c>
      <c r="C394" s="36" t="s">
        <v>1482</v>
      </c>
      <c r="I394" s="433" t="s">
        <v>2434</v>
      </c>
      <c r="J394" s="4161"/>
      <c r="K394" s="4162"/>
      <c r="L394" s="433" t="s">
        <v>2434</v>
      </c>
      <c r="M394" s="4044"/>
      <c r="N394" s="4045"/>
      <c r="O394" s="4045"/>
      <c r="P394" s="4046"/>
      <c r="R394" s="434"/>
    </row>
    <row r="395" spans="1:19" ht="12.75" customHeight="1">
      <c r="A395" s="196"/>
      <c r="B395" s="447" t="s">
        <v>2435</v>
      </c>
      <c r="C395" s="36" t="s">
        <v>3621</v>
      </c>
      <c r="I395" s="447" t="s">
        <v>2435</v>
      </c>
      <c r="J395" s="4047"/>
      <c r="K395" s="4048"/>
      <c r="L395" s="447" t="s">
        <v>2435</v>
      </c>
      <c r="M395" s="4041"/>
      <c r="N395" s="4042"/>
      <c r="O395" s="4042"/>
      <c r="P395" s="4043"/>
      <c r="R395" s="434"/>
    </row>
    <row r="396" spans="1:19" ht="12.75" customHeight="1">
      <c r="B396" s="433" t="s">
        <v>2436</v>
      </c>
      <c r="C396" s="36" t="s">
        <v>2625</v>
      </c>
      <c r="I396" s="433" t="s">
        <v>2436</v>
      </c>
      <c r="J396" s="4047"/>
      <c r="K396" s="4048"/>
      <c r="L396" s="433" t="s">
        <v>2436</v>
      </c>
      <c r="M396" s="4041"/>
      <c r="N396" s="4042"/>
      <c r="O396" s="4042"/>
      <c r="P396" s="4043"/>
      <c r="R396" s="434"/>
    </row>
    <row r="397" spans="1:19" ht="12.75" customHeight="1">
      <c r="A397" s="196"/>
      <c r="B397" s="433" t="s">
        <v>2437</v>
      </c>
      <c r="C397" s="36" t="s">
        <v>3460</v>
      </c>
      <c r="I397" s="433" t="s">
        <v>2437</v>
      </c>
      <c r="J397" s="4047"/>
      <c r="K397" s="4048"/>
      <c r="L397" s="433" t="s">
        <v>2437</v>
      </c>
      <c r="M397" s="4041"/>
      <c r="N397" s="4042"/>
      <c r="O397" s="4042"/>
      <c r="P397" s="4043"/>
      <c r="R397" s="434"/>
    </row>
    <row r="398" spans="1:19" s="43" customFormat="1" ht="12.75" customHeight="1">
      <c r="A398" s="195"/>
      <c r="B398" s="447" t="s">
        <v>2438</v>
      </c>
      <c r="C398" s="36" t="s">
        <v>2730</v>
      </c>
      <c r="I398" s="447" t="s">
        <v>2438</v>
      </c>
      <c r="J398" s="4047"/>
      <c r="K398" s="4048"/>
      <c r="L398" s="447" t="s">
        <v>2438</v>
      </c>
      <c r="M398" s="4041"/>
      <c r="N398" s="4042"/>
      <c r="O398" s="4042"/>
      <c r="P398" s="4043"/>
      <c r="R398" s="434"/>
    </row>
    <row r="399" spans="1:19" ht="12.75" customHeight="1">
      <c r="B399" s="433" t="s">
        <v>2454</v>
      </c>
      <c r="C399" s="36" t="s">
        <v>1481</v>
      </c>
      <c r="I399" s="433" t="s">
        <v>2454</v>
      </c>
      <c r="J399" s="4047"/>
      <c r="K399" s="4048"/>
      <c r="L399" s="433" t="s">
        <v>2454</v>
      </c>
      <c r="M399" s="4041"/>
      <c r="N399" s="4042"/>
      <c r="O399" s="4042"/>
      <c r="P399" s="4043"/>
      <c r="R399" s="434"/>
    </row>
    <row r="400" spans="1:19" ht="12.75" customHeight="1">
      <c r="A400" s="196"/>
      <c r="B400" s="433" t="s">
        <v>2455</v>
      </c>
      <c r="C400" s="36" t="s">
        <v>3619</v>
      </c>
      <c r="I400" s="433" t="s">
        <v>2455</v>
      </c>
      <c r="J400" s="4047"/>
      <c r="K400" s="4048"/>
      <c r="L400" s="433" t="s">
        <v>2455</v>
      </c>
      <c r="M400" s="4041"/>
      <c r="N400" s="4042"/>
      <c r="O400" s="4042"/>
      <c r="P400" s="4043"/>
      <c r="R400" s="434"/>
    </row>
    <row r="401" spans="1:23" ht="12.75" customHeight="1">
      <c r="B401" s="446" t="s">
        <v>2456</v>
      </c>
      <c r="C401" s="36" t="s">
        <v>4894</v>
      </c>
      <c r="I401" s="446" t="s">
        <v>2456</v>
      </c>
      <c r="J401" s="4047"/>
      <c r="K401" s="4048"/>
      <c r="L401" s="446" t="s">
        <v>2456</v>
      </c>
      <c r="M401" s="4041"/>
      <c r="N401" s="4042"/>
      <c r="O401" s="4042"/>
      <c r="P401" s="4043"/>
      <c r="R401" s="434"/>
    </row>
    <row r="402" spans="1:23" ht="12.75" customHeight="1">
      <c r="B402" s="446" t="s">
        <v>2457</v>
      </c>
      <c r="C402" s="36" t="s">
        <v>4895</v>
      </c>
      <c r="I402" s="446" t="s">
        <v>2457</v>
      </c>
      <c r="J402" s="4047"/>
      <c r="K402" s="4048"/>
      <c r="L402" s="446" t="s">
        <v>2457</v>
      </c>
      <c r="M402" s="4041"/>
      <c r="N402" s="4042"/>
      <c r="O402" s="4042"/>
      <c r="P402" s="4043"/>
      <c r="R402" s="434"/>
    </row>
    <row r="403" spans="1:23" ht="12.75" customHeight="1" thickBot="1">
      <c r="B403" s="446" t="s">
        <v>3622</v>
      </c>
      <c r="C403" s="36" t="s">
        <v>4896</v>
      </c>
      <c r="I403" s="446" t="s">
        <v>3622</v>
      </c>
      <c r="J403" s="4047"/>
      <c r="K403" s="4048"/>
      <c r="L403" s="446" t="s">
        <v>3622</v>
      </c>
      <c r="M403" s="4106"/>
      <c r="N403" s="4107"/>
      <c r="O403" s="4107"/>
      <c r="P403" s="4108"/>
      <c r="R403" s="434"/>
    </row>
    <row r="404" spans="1:23" ht="12.75" customHeight="1" thickBot="1">
      <c r="B404" s="1454" t="s">
        <v>4897</v>
      </c>
      <c r="H404" s="1487" t="s">
        <v>2627</v>
      </c>
      <c r="J404" s="4054">
        <f>SUM(J394:K403)</f>
        <v>0</v>
      </c>
      <c r="K404" s="4055"/>
      <c r="M404" s="4054">
        <f>SUM($M394:$M403)</f>
        <v>0</v>
      </c>
      <c r="N404" s="4056"/>
      <c r="O404" s="4056"/>
      <c r="P404" s="4055"/>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2626</v>
      </c>
      <c r="M406" s="573"/>
      <c r="N406" s="573"/>
      <c r="O406" s="163"/>
      <c r="P406" s="573"/>
    </row>
    <row r="407" spans="1:23" s="43" customFormat="1" ht="12" customHeight="1">
      <c r="A407" s="42"/>
      <c r="C407" s="4148" t="s">
        <v>5039</v>
      </c>
      <c r="D407" s="4148"/>
      <c r="E407" s="4148"/>
      <c r="F407" s="497" t="s">
        <v>4939</v>
      </c>
      <c r="H407" s="27"/>
      <c r="I407" s="2503"/>
      <c r="J407" s="4094">
        <f>'Part IV-A-Uses of Funds'!$G$132</f>
        <v>15458102.010000002</v>
      </c>
      <c r="K407" s="4095"/>
      <c r="L407" s="632"/>
      <c r="M407" s="573"/>
      <c r="N407" s="573"/>
      <c r="O407" s="1358"/>
      <c r="P407" s="573"/>
    </row>
    <row r="408" spans="1:23" ht="12.75" customHeight="1">
      <c r="C408" s="4148"/>
      <c r="D408" s="4148"/>
      <c r="E408" s="4148"/>
      <c r="F408" s="501" t="s">
        <v>4938</v>
      </c>
      <c r="I408" s="2504"/>
      <c r="J408" s="4101">
        <f>IF($J407=0,0,$J404/$J407)</f>
        <v>0</v>
      </c>
      <c r="K408" s="4102"/>
      <c r="M408" s="4103">
        <f>IF($J407=0,0,$M404/$J407)</f>
        <v>0</v>
      </c>
      <c r="N408" s="4104"/>
      <c r="O408" s="4104"/>
      <c r="P408" s="4105"/>
    </row>
    <row r="409" spans="1:23" s="43" customFormat="1" ht="12.75" customHeight="1">
      <c r="C409" s="4148"/>
      <c r="D409" s="4148"/>
      <c r="E409" s="4148"/>
      <c r="F409" s="1266" t="s">
        <v>4937</v>
      </c>
      <c r="I409" s="2505"/>
      <c r="J409" s="4098">
        <f>IF(L386="", IF($J408&gt;=0.1, 3,IF($J408&gt;=0.05, 2,IF($J408&gt;=0.02,1,0))),0)</f>
        <v>0</v>
      </c>
      <c r="K409" s="4100"/>
      <c r="L409" s="586"/>
      <c r="M409" s="4098">
        <f>IF(R386="", IF($M408&gt;=0.1, 3,IF($M408&gt;=0.05, 2,IF($M408&gt;=0.02,1,0))),0)</f>
        <v>0</v>
      </c>
      <c r="N409" s="4099"/>
      <c r="O409" s="4099"/>
      <c r="P409" s="4100"/>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2705</v>
      </c>
      <c r="V411" s="1285"/>
      <c r="W411" s="1285"/>
    </row>
    <row r="412" spans="1:23" s="43" customFormat="1" ht="22.5" customHeight="1">
      <c r="A412" s="142"/>
      <c r="B412" s="1188" t="s">
        <v>2434</v>
      </c>
      <c r="C412" s="3651" t="s">
        <v>4068</v>
      </c>
      <c r="D412" s="3651"/>
      <c r="E412" s="3651"/>
      <c r="F412" s="3651"/>
      <c r="G412" s="3651"/>
      <c r="H412" s="3651"/>
      <c r="I412" s="3651"/>
      <c r="J412" s="3651"/>
      <c r="K412" s="3651"/>
      <c r="L412" s="3651"/>
      <c r="M412" s="3651"/>
      <c r="N412" s="447" t="s">
        <v>2434</v>
      </c>
      <c r="O412" s="1265"/>
      <c r="P412" s="1398"/>
      <c r="V412" s="1285"/>
      <c r="W412" s="1285"/>
    </row>
    <row r="413" spans="1:23" s="43" customFormat="1" ht="12.75" customHeight="1">
      <c r="A413" s="142"/>
      <c r="B413" s="433" t="s">
        <v>2435</v>
      </c>
      <c r="C413" s="52" t="s">
        <v>3802</v>
      </c>
      <c r="D413" s="52"/>
      <c r="E413" s="52"/>
      <c r="F413" s="52"/>
      <c r="G413" s="52"/>
      <c r="H413" s="52"/>
      <c r="I413" s="52"/>
      <c r="J413" s="52"/>
      <c r="K413" s="52"/>
      <c r="M413" s="52"/>
      <c r="N413" s="447" t="s">
        <v>2435</v>
      </c>
      <c r="O413" s="239"/>
      <c r="P413" s="619"/>
      <c r="V413" s="1285"/>
      <c r="W413" s="1285"/>
    </row>
    <row r="414" spans="1:23" ht="12.75" customHeight="1">
      <c r="B414" s="433" t="s">
        <v>2436</v>
      </c>
      <c r="C414" s="495" t="s">
        <v>4898</v>
      </c>
      <c r="N414" s="433" t="s">
        <v>2436</v>
      </c>
      <c r="O414" s="239"/>
      <c r="P414" s="619"/>
    </row>
    <row r="415" spans="1:23" ht="12" customHeight="1" thickBot="1">
      <c r="B415" s="1488" t="s">
        <v>3756</v>
      </c>
    </row>
    <row r="416" spans="1:23" s="43" customFormat="1" ht="21.75" customHeight="1" thickTop="1" thickBot="1">
      <c r="A416" s="3867"/>
      <c r="B416" s="3868"/>
      <c r="C416" s="3868"/>
      <c r="D416" s="3868"/>
      <c r="E416" s="3868"/>
      <c r="F416" s="3868"/>
      <c r="G416" s="3868"/>
      <c r="H416" s="3868"/>
      <c r="I416" s="3868"/>
      <c r="J416" s="3868"/>
      <c r="K416" s="3868"/>
      <c r="L416" s="3868"/>
      <c r="M416" s="3868"/>
      <c r="N416" s="3868"/>
      <c r="O416" s="3868"/>
      <c r="P416" s="3869"/>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3"/>
      <c r="B418" s="3604"/>
      <c r="C418" s="3604"/>
      <c r="D418" s="3604"/>
      <c r="E418" s="3604"/>
      <c r="F418" s="3604"/>
      <c r="G418" s="3604"/>
      <c r="H418" s="3604"/>
      <c r="I418" s="3604"/>
      <c r="J418" s="3604"/>
      <c r="K418" s="3604"/>
      <c r="L418" s="3604"/>
      <c r="M418" s="3604"/>
      <c r="N418" s="3604"/>
      <c r="O418" s="3604"/>
      <c r="P418" s="3605"/>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67" t="s">
        <v>5028</v>
      </c>
      <c r="E422" s="3468"/>
      <c r="F422" s="3468"/>
      <c r="G422" s="3468"/>
      <c r="H422" s="3468"/>
      <c r="I422" s="346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2705</v>
      </c>
    </row>
    <row r="425" spans="1:19" s="472" customFormat="1" ht="12" customHeight="1">
      <c r="A425" s="471"/>
      <c r="B425" s="3665" t="s">
        <v>4900</v>
      </c>
      <c r="C425" s="3665"/>
      <c r="D425" s="3665"/>
      <c r="E425" s="3665"/>
      <c r="F425" s="3665"/>
      <c r="G425" s="3665"/>
      <c r="H425" s="3665"/>
      <c r="I425" s="3665"/>
      <c r="J425" s="3665"/>
      <c r="K425" s="3665"/>
      <c r="L425" s="3665"/>
      <c r="M425" s="4092" t="s">
        <v>5029</v>
      </c>
      <c r="N425" s="4092"/>
      <c r="Q425" s="192"/>
    </row>
    <row r="426" spans="1:19" s="472" customFormat="1" ht="12" customHeight="1">
      <c r="B426" s="3665"/>
      <c r="C426" s="3665"/>
      <c r="D426" s="3665"/>
      <c r="E426" s="3665"/>
      <c r="F426" s="3665"/>
      <c r="G426" s="3665"/>
      <c r="H426" s="3665"/>
      <c r="I426" s="3665"/>
      <c r="J426" s="3665"/>
      <c r="K426" s="3665"/>
      <c r="L426" s="3665"/>
      <c r="M426" s="4092"/>
      <c r="N426" s="4092"/>
      <c r="O426" s="4096">
        <f>'Part VI-Revenues &amp; Expenses'!$O$111</f>
        <v>0</v>
      </c>
      <c r="P426" s="4097"/>
      <c r="Q426" s="192"/>
    </row>
    <row r="427" spans="1:19" s="472" customFormat="1" ht="12" customHeight="1">
      <c r="B427" s="3665"/>
      <c r="C427" s="3665"/>
      <c r="D427" s="3665"/>
      <c r="E427" s="3665"/>
      <c r="F427" s="3665"/>
      <c r="G427" s="3665"/>
      <c r="H427" s="3665"/>
      <c r="I427" s="3665"/>
      <c r="J427" s="3665"/>
      <c r="K427" s="3665"/>
      <c r="L427" s="3665"/>
      <c r="M427" s="1185" t="s">
        <v>2829</v>
      </c>
      <c r="N427" s="473"/>
      <c r="O427" s="4090">
        <f>'Part VI-Revenues &amp; Expenses'!$O$67</f>
        <v>76</v>
      </c>
      <c r="P427" s="4091"/>
      <c r="Q427" s="192"/>
    </row>
    <row r="428" spans="1:19" s="472" customFormat="1" ht="12" customHeight="1">
      <c r="B428" s="4093"/>
      <c r="C428" s="4093"/>
      <c r="D428" s="4093"/>
      <c r="E428" s="4093"/>
      <c r="F428" s="4093"/>
      <c r="G428" s="4093"/>
      <c r="H428" s="4093"/>
      <c r="I428" s="4093"/>
      <c r="J428" s="4093"/>
      <c r="K428" s="4093"/>
      <c r="L428" s="4093"/>
      <c r="M428" s="2506" t="s">
        <v>2830</v>
      </c>
      <c r="N428" s="473"/>
      <c r="O428" s="4088">
        <f>IF(O427=0,0,O426/O427)</f>
        <v>0</v>
      </c>
      <c r="P428" s="4089"/>
      <c r="Q428" s="192"/>
    </row>
    <row r="429" spans="1:19" s="43" customFormat="1" ht="66.75" customHeight="1">
      <c r="A429" s="608"/>
      <c r="B429" s="3644" t="s">
        <v>4203</v>
      </c>
      <c r="C429" s="3645"/>
      <c r="D429" s="3645"/>
      <c r="E429" s="3645"/>
      <c r="F429" s="3645"/>
      <c r="G429" s="3645"/>
      <c r="H429" s="3645"/>
      <c r="I429" s="3645"/>
      <c r="J429" s="3645"/>
      <c r="K429" s="3645"/>
      <c r="L429" s="3645"/>
      <c r="M429" s="3645"/>
      <c r="N429" s="3645"/>
      <c r="O429" s="3645"/>
      <c r="P429" s="3646"/>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3356</v>
      </c>
      <c r="C431" s="143"/>
      <c r="D431" s="991"/>
      <c r="H431" s="450"/>
      <c r="M431" s="473">
        <v>2</v>
      </c>
      <c r="N431" s="166" t="s">
        <v>1985</v>
      </c>
      <c r="O431" s="682"/>
      <c r="P431" s="2272"/>
      <c r="Q431" s="1179" t="str">
        <f>IF(OR($O431=$M431,$O431=0,$O431=""),"","*CHECK!*")</f>
        <v/>
      </c>
      <c r="R431" s="1327" t="s">
        <v>2705</v>
      </c>
    </row>
    <row r="432" spans="1:19" s="472" customFormat="1" ht="11.25" customHeight="1">
      <c r="A432" s="609"/>
      <c r="B432" s="3651" t="s">
        <v>4899</v>
      </c>
      <c r="C432" s="3651"/>
      <c r="D432" s="3651"/>
      <c r="E432" s="3651"/>
      <c r="F432" s="3651"/>
      <c r="G432" s="3651"/>
      <c r="H432" s="3651"/>
      <c r="I432" s="3651"/>
      <c r="J432" s="3651"/>
      <c r="K432" s="3651"/>
      <c r="L432" s="3651"/>
      <c r="M432" s="2613" t="s">
        <v>4901</v>
      </c>
      <c r="O432" s="4052">
        <f>'Part VI-Revenues &amp; Expenses'!$O$113</f>
        <v>0</v>
      </c>
      <c r="P432" s="4053"/>
      <c r="Q432" s="192"/>
    </row>
    <row r="433" spans="1:18" s="472" customFormat="1" ht="11.25" customHeight="1">
      <c r="A433" s="609"/>
      <c r="B433" s="3651"/>
      <c r="C433" s="3651"/>
      <c r="D433" s="3651"/>
      <c r="E433" s="3651"/>
      <c r="F433" s="3651"/>
      <c r="G433" s="3651"/>
      <c r="H433" s="3651"/>
      <c r="I433" s="3651"/>
      <c r="J433" s="3651"/>
      <c r="K433" s="3651"/>
      <c r="L433" s="3651"/>
      <c r="M433" s="1534" t="s">
        <v>2829</v>
      </c>
      <c r="N433" s="473"/>
      <c r="O433" s="4090">
        <f>'Part VI-Revenues &amp; Expenses'!$O$67</f>
        <v>76</v>
      </c>
      <c r="P433" s="4091"/>
      <c r="Q433" s="192"/>
    </row>
    <row r="434" spans="1:18" s="472" customFormat="1" ht="11.25" customHeight="1">
      <c r="A434" s="609"/>
      <c r="B434" s="3651"/>
      <c r="C434" s="3651"/>
      <c r="D434" s="3651"/>
      <c r="E434" s="3651"/>
      <c r="F434" s="3651"/>
      <c r="G434" s="3651"/>
      <c r="H434" s="3651"/>
      <c r="I434" s="3651"/>
      <c r="J434" s="3651"/>
      <c r="K434" s="3651"/>
      <c r="L434" s="3651"/>
      <c r="M434" s="2506" t="s">
        <v>2830</v>
      </c>
      <c r="N434" s="473"/>
      <c r="O434" s="4088">
        <f>IF(O433=0,0,L420/O433)</f>
        <v>0</v>
      </c>
      <c r="P434" s="4089"/>
      <c r="Q434" s="192"/>
    </row>
    <row r="435" spans="1:18" s="43" customFormat="1" ht="11.25" customHeight="1" thickBot="1">
      <c r="A435" s="42"/>
      <c r="B435" s="1488" t="s">
        <v>3756</v>
      </c>
      <c r="C435" s="42"/>
      <c r="D435" s="48"/>
      <c r="E435" s="48"/>
      <c r="F435" s="48"/>
      <c r="G435" s="48"/>
      <c r="H435" s="36"/>
      <c r="I435" s="36"/>
      <c r="J435" s="36"/>
      <c r="K435" s="36"/>
      <c r="M435" s="46"/>
      <c r="N435" s="62"/>
      <c r="O435" s="3"/>
      <c r="P435" s="1505"/>
    </row>
    <row r="436" spans="1:18" s="43" customFormat="1" ht="21.75" customHeight="1" thickTop="1" thickBot="1">
      <c r="A436" s="3867"/>
      <c r="B436" s="3868"/>
      <c r="C436" s="3868"/>
      <c r="D436" s="3868"/>
      <c r="E436" s="3868"/>
      <c r="F436" s="3868"/>
      <c r="G436" s="3868"/>
      <c r="H436" s="3868"/>
      <c r="I436" s="3868"/>
      <c r="J436" s="3868"/>
      <c r="K436" s="3868"/>
      <c r="L436" s="3868"/>
      <c r="M436" s="3868"/>
      <c r="N436" s="3868"/>
      <c r="O436" s="3868"/>
      <c r="P436" s="3869"/>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3"/>
      <c r="B438" s="3604"/>
      <c r="C438" s="3604"/>
      <c r="D438" s="3604"/>
      <c r="E438" s="3604"/>
      <c r="F438" s="3604"/>
      <c r="G438" s="3604"/>
      <c r="H438" s="3604"/>
      <c r="I438" s="3604"/>
      <c r="J438" s="3604"/>
      <c r="K438" s="3604"/>
      <c r="L438" s="3604"/>
      <c r="M438" s="3604"/>
      <c r="N438" s="3604"/>
      <c r="O438" s="3604"/>
      <c r="P438" s="3605"/>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3"/>
      <c r="B446" s="3604"/>
      <c r="C446" s="3604"/>
      <c r="D446" s="3604"/>
      <c r="E446" s="3604"/>
      <c r="F446" s="3604"/>
      <c r="G446" s="3604"/>
      <c r="H446" s="3604"/>
      <c r="I446" s="3604"/>
      <c r="J446" s="3604"/>
      <c r="K446" s="3604"/>
      <c r="L446" s="3604"/>
      <c r="M446" s="3604"/>
      <c r="N446" s="3604"/>
      <c r="O446" s="3604"/>
      <c r="P446" s="3605"/>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1" t="s">
        <v>3688</v>
      </c>
      <c r="B453" s="4051"/>
      <c r="C453" s="4051"/>
      <c r="D453" s="4051"/>
      <c r="E453" s="4051"/>
      <c r="F453" s="4051"/>
      <c r="G453" s="4051"/>
      <c r="H453" s="4051"/>
      <c r="I453" s="4051"/>
      <c r="J453" s="4051"/>
      <c r="K453" s="4051"/>
      <c r="L453" s="4051"/>
      <c r="M453" s="4051"/>
      <c r="N453" s="4051"/>
      <c r="O453" s="4051"/>
      <c r="P453" s="4051"/>
    </row>
    <row r="454" spans="1:19" s="43" customFormat="1" ht="84" customHeight="1">
      <c r="A454" s="3622"/>
      <c r="B454" s="3623"/>
      <c r="C454" s="3623"/>
      <c r="D454" s="3623"/>
      <c r="E454" s="3623"/>
      <c r="F454" s="3623"/>
      <c r="G454" s="3623"/>
      <c r="H454" s="3623"/>
      <c r="I454" s="3623"/>
      <c r="J454" s="3623"/>
      <c r="K454" s="3623"/>
      <c r="L454" s="3623"/>
      <c r="M454" s="3623"/>
      <c r="N454" s="3623"/>
      <c r="O454" s="3623"/>
      <c r="P454" s="3624"/>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2543</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2504</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3414</v>
      </c>
      <c r="K477" s="515"/>
      <c r="L477" s="515"/>
      <c r="M477" s="515"/>
      <c r="N477" s="516"/>
      <c r="O477" s="1479" t="s">
        <v>3770</v>
      </c>
      <c r="P477" s="1475"/>
      <c r="Q477" s="1365"/>
    </row>
    <row r="478" spans="3:17" s="548" customFormat="1">
      <c r="C478" s="1366" t="s">
        <v>1389</v>
      </c>
      <c r="D478" s="515"/>
      <c r="E478" s="515"/>
      <c r="F478" s="515"/>
      <c r="G478" s="515"/>
      <c r="H478" s="515"/>
      <c r="I478" s="515"/>
      <c r="J478" s="1476" t="s">
        <v>3415</v>
      </c>
      <c r="K478" s="515"/>
      <c r="L478" s="515"/>
      <c r="M478" s="515"/>
      <c r="N478" s="516"/>
      <c r="O478" s="1475"/>
      <c r="P478" s="1475"/>
      <c r="Q478" s="1365"/>
    </row>
    <row r="479" spans="3:17" s="548" customFormat="1">
      <c r="C479" s="1366" t="s">
        <v>2282</v>
      </c>
      <c r="D479" s="91"/>
      <c r="E479" s="91"/>
      <c r="F479" s="515"/>
      <c r="G479" s="515"/>
      <c r="H479" s="515"/>
      <c r="I479" s="515"/>
      <c r="J479" s="515" t="s">
        <v>3399</v>
      </c>
      <c r="K479" s="515"/>
      <c r="L479" s="91"/>
      <c r="M479" s="515"/>
      <c r="N479" s="516"/>
      <c r="O479" s="1475">
        <v>2</v>
      </c>
      <c r="P479" s="1475"/>
      <c r="Q479" s="1365"/>
    </row>
    <row r="480" spans="3:17" s="548" customFormat="1">
      <c r="C480" s="515"/>
      <c r="D480" s="91"/>
      <c r="E480" s="91"/>
      <c r="F480" s="515"/>
      <c r="G480" s="515"/>
      <c r="H480" s="515"/>
      <c r="I480" s="515"/>
      <c r="J480" s="515" t="s">
        <v>3400</v>
      </c>
      <c r="K480" s="515"/>
      <c r="L480" s="91"/>
      <c r="M480" s="515"/>
      <c r="N480" s="516"/>
      <c r="O480" s="1475">
        <v>2</v>
      </c>
      <c r="P480" s="1475"/>
      <c r="Q480" s="1365"/>
    </row>
    <row r="481" spans="1:17" s="548" customFormat="1">
      <c r="C481" s="515"/>
      <c r="D481" s="91"/>
      <c r="E481" s="91"/>
      <c r="F481" s="515"/>
      <c r="G481" s="515"/>
      <c r="H481" s="515"/>
      <c r="I481" s="515"/>
      <c r="J481" s="515" t="s">
        <v>3401</v>
      </c>
      <c r="K481" s="515"/>
      <c r="L481" s="91"/>
      <c r="M481" s="515"/>
      <c r="N481" s="516"/>
      <c r="O481" s="1475">
        <v>2</v>
      </c>
      <c r="P481" s="1475"/>
      <c r="Q481" s="1365"/>
    </row>
    <row r="482" spans="1:17" s="548" customFormat="1">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c r="C483" s="1482" t="s">
        <v>2787</v>
      </c>
      <c r="D483" s="91"/>
      <c r="E483" s="91"/>
      <c r="F483" s="515"/>
      <c r="G483" s="1483" t="s">
        <v>2521</v>
      </c>
      <c r="H483" s="1481"/>
      <c r="I483" s="1483"/>
      <c r="J483" s="515" t="s">
        <v>3768</v>
      </c>
      <c r="K483" s="515"/>
      <c r="L483" s="2513"/>
      <c r="M483" s="515"/>
      <c r="N483" s="516"/>
      <c r="O483" s="1475">
        <v>2</v>
      </c>
      <c r="P483" s="1475"/>
      <c r="Q483" s="1365"/>
    </row>
    <row r="484" spans="1:17" s="548" customFormat="1">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c r="C487" s="1482" t="s">
        <v>2791</v>
      </c>
      <c r="D487" s="91"/>
      <c r="E487" s="91"/>
      <c r="F487" s="515"/>
      <c r="G487" s="1483" t="s">
        <v>2553</v>
      </c>
      <c r="H487" s="1481"/>
      <c r="I487" s="1484"/>
      <c r="J487" s="1481" t="s">
        <v>3769</v>
      </c>
      <c r="K487" s="515"/>
      <c r="L487" s="2424"/>
      <c r="M487" s="515"/>
      <c r="N487" s="516"/>
      <c r="O487" s="1475">
        <v>1</v>
      </c>
      <c r="P487" s="1475"/>
      <c r="Q487" s="1365"/>
    </row>
    <row r="488" spans="1:17" s="548" customFormat="1">
      <c r="C488" s="1482" t="s">
        <v>2792</v>
      </c>
      <c r="D488" s="91"/>
      <c r="E488" s="91"/>
      <c r="F488" s="515"/>
      <c r="G488" s="1483" t="s">
        <v>2071</v>
      </c>
      <c r="H488" s="1481"/>
      <c r="I488" s="1484"/>
      <c r="J488" s="1481" t="s">
        <v>3413</v>
      </c>
      <c r="K488" s="515"/>
      <c r="L488" s="2424"/>
      <c r="M488" s="515"/>
      <c r="N488" s="516"/>
      <c r="O488" s="1475">
        <v>1</v>
      </c>
      <c r="P488" s="1475"/>
      <c r="Q488" s="1365"/>
    </row>
    <row r="489" spans="1:17" s="548" customFormat="1">
      <c r="C489" s="1482"/>
      <c r="D489" s="91"/>
      <c r="E489" s="91"/>
      <c r="F489" s="515"/>
      <c r="G489" s="1483" t="s">
        <v>3808</v>
      </c>
      <c r="H489" s="1481"/>
      <c r="I489" s="1484"/>
      <c r="J489" s="1481" t="s">
        <v>3406</v>
      </c>
      <c r="K489" s="515"/>
      <c r="L489" s="2424"/>
      <c r="M489" s="515"/>
      <c r="N489" s="516"/>
      <c r="O489" s="1475">
        <v>1</v>
      </c>
      <c r="P489" s="1475"/>
      <c r="Q489" s="1365"/>
    </row>
    <row r="490" spans="1:17" s="548" customFormat="1">
      <c r="C490" s="1482"/>
      <c r="D490" s="91"/>
      <c r="E490" s="91"/>
      <c r="F490" s="515"/>
      <c r="G490" s="1483" t="s">
        <v>11</v>
      </c>
      <c r="H490" s="1481"/>
      <c r="I490" s="1484"/>
      <c r="J490" s="1481" t="s">
        <v>3407</v>
      </c>
      <c r="K490" s="515"/>
      <c r="L490" s="2424"/>
      <c r="M490" s="515"/>
      <c r="N490" s="516"/>
      <c r="O490" s="1475">
        <v>1</v>
      </c>
      <c r="P490" s="1475"/>
      <c r="Q490" s="1365"/>
    </row>
    <row r="491" spans="1:17" s="548" customFormat="1">
      <c r="C491" s="1482"/>
      <c r="D491" s="515"/>
      <c r="E491" s="515"/>
      <c r="F491" s="515"/>
      <c r="G491" s="1483" t="s">
        <v>356</v>
      </c>
      <c r="H491" s="1481"/>
      <c r="I491" s="1484"/>
      <c r="J491" s="1481" t="s">
        <v>3408</v>
      </c>
      <c r="K491" s="515"/>
      <c r="L491" s="1484"/>
      <c r="M491" s="515"/>
      <c r="N491" s="516"/>
      <c r="O491" s="1475">
        <v>1</v>
      </c>
      <c r="P491" s="1475"/>
      <c r="Q491" s="1365"/>
    </row>
    <row r="492" spans="1:17" s="548" customFormat="1">
      <c r="C492" s="515"/>
      <c r="D492" s="515"/>
      <c r="E492" s="515"/>
      <c r="F492" s="515"/>
      <c r="G492" s="1483" t="s">
        <v>1332</v>
      </c>
      <c r="H492" s="1481"/>
      <c r="I492" s="1484"/>
      <c r="J492" s="1481" t="s">
        <v>3409</v>
      </c>
      <c r="K492" s="515"/>
      <c r="L492" s="1484"/>
      <c r="M492" s="515"/>
      <c r="N492" s="516"/>
      <c r="O492" s="1475">
        <v>1</v>
      </c>
      <c r="P492" s="1475"/>
      <c r="Q492" s="1365"/>
    </row>
    <row r="493" spans="1:17" s="548" customFormat="1">
      <c r="C493" s="515"/>
      <c r="D493" s="515"/>
      <c r="E493" s="515"/>
      <c r="F493" s="515"/>
      <c r="G493" s="1483" t="s">
        <v>1504</v>
      </c>
      <c r="H493" s="1481"/>
      <c r="I493" s="1484"/>
      <c r="J493" s="1481" t="s">
        <v>3412</v>
      </c>
      <c r="K493" s="515"/>
      <c r="L493" s="1484"/>
      <c r="M493" s="515"/>
      <c r="N493" s="516"/>
      <c r="O493" s="1475">
        <v>1</v>
      </c>
      <c r="P493" s="1475"/>
      <c r="Q493" s="1365"/>
    </row>
    <row r="494" spans="1:17" s="548" customFormat="1">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c r="A496" s="1217" t="s">
        <v>3375</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3377</v>
      </c>
      <c r="C498" s="515"/>
      <c r="D498" s="1482"/>
      <c r="E498" s="1482">
        <v>10</v>
      </c>
      <c r="F498" s="515"/>
      <c r="G498" s="1483" t="s">
        <v>2488</v>
      </c>
      <c r="H498" s="1481"/>
      <c r="I498" s="1484"/>
      <c r="J498" s="2427" t="s">
        <v>3779</v>
      </c>
      <c r="K498" s="515"/>
      <c r="L498" s="2424"/>
      <c r="M498" s="515"/>
      <c r="N498" s="516"/>
      <c r="O498" s="1475"/>
      <c r="P498" s="1475"/>
      <c r="Q498" s="1365"/>
    </row>
    <row r="499" spans="1:17" s="548" customFormat="1">
      <c r="A499" s="1217" t="s">
        <v>2823</v>
      </c>
      <c r="C499" s="515"/>
      <c r="D499" s="1482"/>
      <c r="E499" s="1482"/>
      <c r="F499" s="515"/>
      <c r="G499" s="1483" t="s">
        <v>895</v>
      </c>
      <c r="H499" s="1481"/>
      <c r="I499" s="1484"/>
      <c r="J499" s="1481" t="s">
        <v>3982</v>
      </c>
      <c r="K499" s="515"/>
      <c r="L499" s="2424"/>
      <c r="M499" s="515"/>
      <c r="N499" s="516"/>
      <c r="O499" s="1475"/>
      <c r="P499" s="1475"/>
      <c r="Q499" s="1365"/>
    </row>
    <row r="500" spans="1:17" s="548" customFormat="1">
      <c r="C500" s="1482"/>
      <c r="D500" s="515"/>
      <c r="E500" s="515"/>
      <c r="F500" s="515"/>
      <c r="G500" s="1483" t="s">
        <v>2140</v>
      </c>
      <c r="H500" s="1481"/>
      <c r="I500" s="1484"/>
      <c r="J500" s="1481" t="s">
        <v>3977</v>
      </c>
      <c r="K500" s="515"/>
      <c r="L500" s="2424"/>
      <c r="M500" s="515"/>
      <c r="N500" s="516"/>
      <c r="O500" s="1475"/>
      <c r="P500" s="1475"/>
      <c r="Q500" s="1365"/>
    </row>
    <row r="501" spans="1:17" s="548" customFormat="1">
      <c r="C501" s="1482"/>
      <c r="D501" s="515"/>
      <c r="E501" s="515"/>
      <c r="F501" s="515"/>
      <c r="G501" s="1483" t="s">
        <v>2058</v>
      </c>
      <c r="H501" s="1481"/>
      <c r="I501" s="1484"/>
      <c r="J501" s="1481" t="s">
        <v>3772</v>
      </c>
      <c r="K501" s="1481"/>
      <c r="L501" s="2424"/>
      <c r="M501" s="515"/>
      <c r="N501" s="516"/>
      <c r="O501" s="1475"/>
      <c r="P501" s="1475"/>
      <c r="Q501" s="1365"/>
    </row>
    <row r="502" spans="1:17" s="548" customFormat="1">
      <c r="C502" s="1482"/>
      <c r="D502" s="515"/>
      <c r="E502" s="515"/>
      <c r="F502" s="515"/>
      <c r="G502" s="1483" t="s">
        <v>601</v>
      </c>
      <c r="H502" s="1484"/>
      <c r="I502" s="1481"/>
      <c r="J502" s="1481" t="s">
        <v>3971</v>
      </c>
      <c r="K502" s="515"/>
      <c r="L502" s="2424"/>
      <c r="M502" s="515"/>
      <c r="N502" s="516"/>
      <c r="O502" s="1475"/>
      <c r="P502" s="1475"/>
      <c r="Q502" s="1365"/>
    </row>
    <row r="503" spans="1:17" s="548" customFormat="1">
      <c r="C503" s="1482"/>
      <c r="D503" s="515"/>
      <c r="E503" s="515"/>
      <c r="F503" s="515"/>
      <c r="G503" s="1483" t="s">
        <v>335</v>
      </c>
      <c r="H503" s="1484"/>
      <c r="I503" s="1481"/>
      <c r="J503" s="1481" t="s">
        <v>3773</v>
      </c>
      <c r="K503" s="1481"/>
      <c r="L503" s="2424"/>
      <c r="M503" s="515"/>
      <c r="N503" s="516"/>
      <c r="O503" s="1475"/>
      <c r="P503" s="1475"/>
      <c r="Q503" s="1365"/>
    </row>
    <row r="504" spans="1:17" s="548" customFormat="1">
      <c r="C504" s="515"/>
      <c r="D504" s="515"/>
      <c r="E504" s="515"/>
      <c r="F504" s="515"/>
      <c r="G504" s="1483" t="s">
        <v>873</v>
      </c>
      <c r="H504" s="1484"/>
      <c r="I504" s="1481"/>
      <c r="J504" s="1481" t="s">
        <v>3972</v>
      </c>
      <c r="K504" s="515"/>
      <c r="L504" s="2424"/>
      <c r="M504" s="515"/>
      <c r="N504" s="516"/>
      <c r="O504" s="1475"/>
      <c r="P504" s="1475"/>
      <c r="Q504" s="1365"/>
    </row>
    <row r="505" spans="1:17" s="548" customFormat="1">
      <c r="C505" s="515"/>
      <c r="D505" s="515"/>
      <c r="E505" s="515"/>
      <c r="F505" s="515"/>
      <c r="G505" s="1483" t="s">
        <v>1924</v>
      </c>
      <c r="H505" s="1484"/>
      <c r="I505" s="1481"/>
      <c r="J505" s="1481" t="s">
        <v>3774</v>
      </c>
      <c r="K505" s="515"/>
      <c r="L505" s="2425"/>
      <c r="M505" s="515"/>
      <c r="N505" s="516"/>
      <c r="O505" s="1475"/>
      <c r="P505" s="1475"/>
      <c r="Q505" s="1365"/>
    </row>
    <row r="506" spans="1:17" s="548" customFormat="1">
      <c r="C506" s="515"/>
      <c r="D506" s="515"/>
      <c r="E506" s="515"/>
      <c r="F506" s="515"/>
      <c r="G506" s="1483" t="s">
        <v>1928</v>
      </c>
      <c r="H506" s="1484"/>
      <c r="I506" s="1481"/>
      <c r="J506" s="1481" t="s">
        <v>3973</v>
      </c>
      <c r="K506" s="515"/>
      <c r="L506" s="2424"/>
      <c r="M506" s="515"/>
      <c r="N506" s="516"/>
      <c r="O506" s="1475"/>
      <c r="P506" s="1475"/>
      <c r="Q506" s="1365"/>
    </row>
    <row r="507" spans="1:17" s="548" customFormat="1">
      <c r="C507" s="515"/>
      <c r="D507" s="515"/>
      <c r="E507" s="515"/>
      <c r="F507" s="515"/>
      <c r="G507" s="1483" t="s">
        <v>455</v>
      </c>
      <c r="H507" s="1484"/>
      <c r="I507" s="1481"/>
      <c r="J507" s="1481" t="s">
        <v>3978</v>
      </c>
      <c r="K507" s="515"/>
      <c r="L507" s="2424"/>
      <c r="M507" s="515"/>
      <c r="N507" s="516"/>
      <c r="O507" s="1475"/>
      <c r="P507" s="1475"/>
      <c r="Q507" s="1365"/>
    </row>
    <row r="508" spans="1:17" s="548" customFormat="1">
      <c r="C508" s="515"/>
      <c r="D508" s="515"/>
      <c r="E508" s="515"/>
      <c r="F508" s="515"/>
      <c r="G508" s="1483" t="s">
        <v>3618</v>
      </c>
      <c r="H508" s="1484"/>
      <c r="I508" s="1481"/>
      <c r="J508" s="1481" t="s">
        <v>3981</v>
      </c>
      <c r="K508" s="1481"/>
      <c r="L508" s="2425"/>
      <c r="M508" s="515"/>
      <c r="N508" s="516"/>
      <c r="O508" s="1475"/>
      <c r="P508" s="1475"/>
      <c r="Q508" s="1365"/>
    </row>
    <row r="509" spans="1:17" s="548" customFormat="1">
      <c r="C509" s="515"/>
      <c r="D509" s="1485"/>
      <c r="E509" s="515"/>
      <c r="F509" s="515"/>
      <c r="G509" s="1483" t="s">
        <v>420</v>
      </c>
      <c r="H509" s="1484"/>
      <c r="I509" s="1481"/>
      <c r="J509" s="1481" t="s">
        <v>3775</v>
      </c>
      <c r="K509" s="515"/>
      <c r="L509" s="2424"/>
      <c r="M509" s="515"/>
      <c r="N509" s="516"/>
      <c r="O509" s="1475"/>
      <c r="P509" s="1475"/>
      <c r="Q509" s="1365"/>
    </row>
    <row r="510" spans="1:17" s="548" customFormat="1">
      <c r="C510" s="515"/>
      <c r="D510" s="1485"/>
      <c r="E510" s="515"/>
      <c r="F510" s="515"/>
      <c r="G510" s="1483" t="s">
        <v>234</v>
      </c>
      <c r="H510" s="1484"/>
      <c r="I510" s="1481"/>
      <c r="J510" s="1481" t="s">
        <v>3776</v>
      </c>
      <c r="K510" s="515"/>
      <c r="L510" s="2424"/>
      <c r="M510" s="515"/>
      <c r="N510" s="516"/>
      <c r="O510" s="1475"/>
      <c r="P510" s="1475"/>
      <c r="Q510" s="1365"/>
    </row>
    <row r="511" spans="1:17" s="548" customFormat="1">
      <c r="C511" s="515"/>
      <c r="D511" s="1486"/>
      <c r="E511" s="515"/>
      <c r="F511" s="515"/>
      <c r="G511" s="1483" t="s">
        <v>1221</v>
      </c>
      <c r="H511" s="1484"/>
      <c r="I511" s="1481"/>
      <c r="J511" s="1481" t="s">
        <v>3976</v>
      </c>
      <c r="K511" s="515"/>
      <c r="L511" s="2424"/>
      <c r="M511" s="515"/>
      <c r="N511" s="516"/>
      <c r="O511" s="1475"/>
      <c r="P511" s="1475"/>
      <c r="Q511" s="1365"/>
    </row>
    <row r="512" spans="1:17" s="548" customFormat="1">
      <c r="C512" s="515"/>
      <c r="D512" s="1486"/>
      <c r="E512" s="1486"/>
      <c r="F512" s="515"/>
      <c r="G512" s="1483" t="s">
        <v>1223</v>
      </c>
      <c r="H512" s="1484"/>
      <c r="I512" s="1481"/>
      <c r="J512" s="1481" t="s">
        <v>3979</v>
      </c>
      <c r="K512" s="515"/>
      <c r="L512" s="2425"/>
      <c r="M512" s="515"/>
      <c r="N512" s="516"/>
      <c r="O512" s="1475"/>
      <c r="P512" s="1475"/>
      <c r="Q512" s="1365"/>
    </row>
    <row r="513" spans="3:17" s="548" customFormat="1">
      <c r="C513" s="515"/>
      <c r="D513" s="515"/>
      <c r="E513" s="515"/>
      <c r="F513" s="515"/>
      <c r="G513" s="1483" t="s">
        <v>1637</v>
      </c>
      <c r="H513" s="1484"/>
      <c r="I513" s="1481"/>
      <c r="J513" s="1481" t="s">
        <v>3980</v>
      </c>
      <c r="K513" s="515"/>
      <c r="L513" s="2424"/>
      <c r="M513" s="515"/>
      <c r="N513" s="516"/>
      <c r="O513" s="1475"/>
      <c r="P513" s="1475"/>
      <c r="Q513" s="1365"/>
    </row>
    <row r="514" spans="3:17" s="548" customFormat="1">
      <c r="C514" s="515"/>
      <c r="D514" s="515"/>
      <c r="E514" s="515"/>
      <c r="F514" s="515"/>
      <c r="G514" s="1483" t="s">
        <v>985</v>
      </c>
      <c r="H514" s="1484"/>
      <c r="I514" s="1481"/>
      <c r="J514" s="1481" t="s">
        <v>3777</v>
      </c>
      <c r="K514" s="515"/>
      <c r="L514" s="2424"/>
      <c r="M514" s="515"/>
      <c r="N514" s="516"/>
      <c r="O514" s="1475"/>
      <c r="P514" s="1475"/>
      <c r="Q514" s="1365"/>
    </row>
    <row r="515" spans="3:17" s="548" customFormat="1">
      <c r="C515" s="1485"/>
      <c r="D515" s="515"/>
      <c r="E515" s="515"/>
      <c r="F515" s="515"/>
      <c r="G515" s="1483" t="s">
        <v>574</v>
      </c>
      <c r="H515" s="1481"/>
      <c r="I515" s="1481"/>
      <c r="J515" s="1481" t="s">
        <v>3778</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3392</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4063</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4205</v>
      </c>
    </row>
    <row r="2" spans="1:6" s="33" customFormat="1" ht="13.5" customHeight="1">
      <c r="A2" s="985" t="str">
        <f>'Part I-Project Information'!$F$34</f>
        <v>Enclave at Milledgeville</v>
      </c>
    </row>
    <row r="3" spans="1:6" s="33" customFormat="1" ht="13.5" customHeight="1">
      <c r="A3" s="985" t="str">
        <f>CONCATENATE('Part I-Project Information'!$F$38,", ", 'Part I-Project Information'!$J$39," County")</f>
        <v>Milledgeville, Baldwin County</v>
      </c>
    </row>
    <row r="4" spans="1:6" ht="6.75" customHeight="1"/>
    <row r="5" spans="1:6" ht="113.25" customHeight="1">
      <c r="A5" s="2880" t="s">
        <v>4206</v>
      </c>
      <c r="B5" s="4168" t="s">
        <v>4207</v>
      </c>
      <c r="C5" s="4168"/>
      <c r="D5" s="4168"/>
      <c r="E5" s="4168"/>
      <c r="F5" s="4168"/>
    </row>
    <row r="6" spans="1:6" ht="6.6" customHeight="1">
      <c r="A6" s="2880"/>
      <c r="B6" s="4168"/>
      <c r="C6" s="4168"/>
      <c r="D6" s="4168"/>
      <c r="E6" s="4168"/>
      <c r="F6" s="4168"/>
    </row>
    <row r="7" spans="1:6" ht="134.25" customHeight="1">
      <c r="A7" s="2880"/>
      <c r="B7" s="4168"/>
      <c r="C7" s="4168"/>
      <c r="D7" s="4168"/>
      <c r="E7" s="4168"/>
      <c r="F7" s="4168"/>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4208</v>
      </c>
    </row>
    <row r="3" spans="1:7" ht="3" customHeight="1"/>
    <row r="4" spans="1:7">
      <c r="A4" s="1539" t="s">
        <v>4209</v>
      </c>
      <c r="B4" s="1540">
        <f>+'Part IV-A-Uses of Funds'!$G$132</f>
        <v>15458102.010000002</v>
      </c>
    </row>
    <row r="5" spans="1:7">
      <c r="A5" s="1539" t="s">
        <v>4240</v>
      </c>
      <c r="B5" s="1540">
        <f>+B18+B26+B38</f>
        <v>8787063.6413171906</v>
      </c>
    </row>
    <row r="6" spans="1:7">
      <c r="A6" s="1539" t="s">
        <v>4210</v>
      </c>
      <c r="B6" s="1541">
        <f>+B5-B4</f>
        <v>-6671038.368682811</v>
      </c>
    </row>
    <row r="7" spans="1:7">
      <c r="A7" s="1539" t="s">
        <v>4211</v>
      </c>
      <c r="B7" s="1542">
        <f>+B6/B4</f>
        <v>-0.43155610982300735</v>
      </c>
    </row>
    <row r="8" spans="1:7" ht="9" customHeight="1"/>
    <row r="9" spans="1:7">
      <c r="A9" s="1539" t="s">
        <v>4212</v>
      </c>
      <c r="B9" s="1540">
        <f>+B18+B26+B33</f>
        <v>8787063.6413171906</v>
      </c>
    </row>
    <row r="10" spans="1:7">
      <c r="A10" s="1539" t="s">
        <v>4210</v>
      </c>
      <c r="B10" s="1541">
        <f>+B9-B4</f>
        <v>-6671038.368682811</v>
      </c>
    </row>
    <row r="11" spans="1:7">
      <c r="A11" s="1539" t="s">
        <v>4211</v>
      </c>
      <c r="B11" s="1542">
        <f>+B10/B4</f>
        <v>-0.43155610982300735</v>
      </c>
    </row>
    <row r="12" spans="1:7" ht="24" customHeight="1"/>
    <row r="13" spans="1:7">
      <c r="A13" s="1538" t="s">
        <v>4213</v>
      </c>
      <c r="D13" s="1617" t="s">
        <v>4474</v>
      </c>
      <c r="E13" s="1618"/>
    </row>
    <row r="14" spans="1:7">
      <c r="A14" s="1539" t="s">
        <v>4214</v>
      </c>
      <c r="B14" s="1543">
        <f>+SUM('Part III-Sources of Funds'!L49:M50)</f>
        <v>6818098.7000000002</v>
      </c>
      <c r="D14" s="1618"/>
      <c r="E14" s="1618"/>
    </row>
    <row r="15" spans="1:7">
      <c r="A15" s="1539" t="s">
        <v>4215</v>
      </c>
      <c r="B15" s="1544">
        <f>+'Part IV-A-Uses of Funds'!J167</f>
        <v>681810.20100000012</v>
      </c>
      <c r="D15" s="1618" t="s">
        <v>2045</v>
      </c>
      <c r="G15" s="1619">
        <f>'Part IV-A-Uses of Funds'!J155</f>
        <v>0</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0</v>
      </c>
    </row>
    <row r="20" spans="1:7">
      <c r="A20" s="1539" t="s">
        <v>4218</v>
      </c>
      <c r="B20" s="1543">
        <f>+B18-B14</f>
        <v>-6818098.7000000002</v>
      </c>
      <c r="D20" s="1618" t="s">
        <v>4479</v>
      </c>
      <c r="G20" s="1621">
        <f>+B14-G19</f>
        <v>6818098.7000000002</v>
      </c>
    </row>
    <row r="21" spans="1:7">
      <c r="A21" s="1539" t="s">
        <v>4219</v>
      </c>
      <c r="B21" s="1542">
        <f>+B20/B14</f>
        <v>-1</v>
      </c>
      <c r="D21" s="1618" t="s">
        <v>4480</v>
      </c>
      <c r="G21" s="1618" t="str">
        <f>+IF(G20&gt;(B28+B35),"No","Yes")</f>
        <v>No</v>
      </c>
    </row>
    <row r="22" spans="1:7" ht="24" customHeight="1"/>
    <row r="23" spans="1:7">
      <c r="A23" s="1538" t="s">
        <v>4220</v>
      </c>
    </row>
    <row r="24" spans="1:7">
      <c r="A24" s="1539" t="s">
        <v>4221</v>
      </c>
      <c r="B24" s="1546">
        <f>+SUM('Part III-Sources of Funds'!I38:J41)</f>
        <v>8640000</v>
      </c>
    </row>
    <row r="25" spans="1:7">
      <c r="A25" s="1539" t="s">
        <v>4222</v>
      </c>
      <c r="B25" s="1547">
        <f>IF('Part III-Sources of Funds'!E5="Yes","N/A",MAX(B46:P46))</f>
        <v>-10587.410274201771</v>
      </c>
    </row>
    <row r="26" spans="1:7">
      <c r="A26" s="1539" t="s">
        <v>4223</v>
      </c>
      <c r="B26" s="1537">
        <f>IFERROR(PV('Part III-Sources of Funds'!K38,'Part III-Sources of Funds'!L38,B25+B45),B24)</f>
        <v>8787063.6413171906</v>
      </c>
    </row>
    <row r="27" spans="1:7" ht="9" customHeight="1">
      <c r="B27" s="1537"/>
    </row>
    <row r="28" spans="1:7">
      <c r="A28" s="1539" t="s">
        <v>4224</v>
      </c>
      <c r="B28" s="1548">
        <f>+B26-B24</f>
        <v>147063.6413171906</v>
      </c>
      <c r="C28" s="1549"/>
    </row>
    <row r="29" spans="1:7">
      <c r="A29" s="1539" t="s">
        <v>4219</v>
      </c>
      <c r="B29" s="1550">
        <f>+B28/B24</f>
        <v>1.7021254782082246E-2</v>
      </c>
    </row>
    <row r="30" spans="1:7" ht="24" customHeight="1"/>
    <row r="31" spans="1:7">
      <c r="A31" s="1538" t="s">
        <v>4086</v>
      </c>
    </row>
    <row r="32" spans="1:7">
      <c r="A32" s="1539" t="s">
        <v>4225</v>
      </c>
      <c r="B32" s="1551">
        <f>+'Part III-Sources of Funds'!I43</f>
        <v>800</v>
      </c>
    </row>
    <row r="33" spans="1:11">
      <c r="A33" s="1539" t="s">
        <v>4226</v>
      </c>
      <c r="B33" s="1537"/>
    </row>
    <row r="34" spans="1:11" ht="9" customHeight="1">
      <c r="B34" s="1537"/>
    </row>
    <row r="35" spans="1:11">
      <c r="A35" s="1539" t="s">
        <v>4227</v>
      </c>
      <c r="B35" s="1551">
        <f>+B33-B32</f>
        <v>-800</v>
      </c>
    </row>
    <row r="36" spans="1:11">
      <c r="A36" s="1539" t="s">
        <v>4228</v>
      </c>
      <c r="B36" s="1536">
        <f>+B35/B32</f>
        <v>-1</v>
      </c>
    </row>
    <row r="37" spans="1:11" ht="24" customHeight="1">
      <c r="B37" s="1537"/>
    </row>
    <row r="38" spans="1:11">
      <c r="A38" s="1538" t="s">
        <v>4229</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4230</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1203</v>
      </c>
      <c r="B44" s="1540">
        <f>+'Part VII-Pro Forma'!B24</f>
        <v>516863.69439999992</v>
      </c>
      <c r="C44" s="1540">
        <f>+'Part VII-Pro Forma'!C24</f>
        <v>523659.6082880001</v>
      </c>
      <c r="D44" s="1540">
        <f>+'Part VII-Pro Forma'!D24</f>
        <v>530485.54445376003</v>
      </c>
      <c r="E44" s="1540">
        <f>+'Part VII-Pro Forma'!E24</f>
        <v>537338.27626283513</v>
      </c>
      <c r="F44" s="1540">
        <f>+'Part VII-Pro Forma'!F24</f>
        <v>544215.43693569186</v>
      </c>
      <c r="G44" s="1540">
        <f>+'Part VII-Pro Forma'!G24</f>
        <v>551114.51387643372</v>
      </c>
      <c r="H44" s="1540">
        <f>+'Part VII-Pro Forma'!H24</f>
        <v>558030.84280205134</v>
      </c>
      <c r="I44" s="1540">
        <f>+'Part VII-Pro Forma'!I24</f>
        <v>564963.60166562372</v>
      </c>
      <c r="J44" s="1540">
        <f>+'Part VII-Pro Forma'!J24</f>
        <v>571907.80436669372</v>
      </c>
      <c r="K44" s="1540">
        <f>+'Part VII-Pro Forma'!K24</f>
        <v>578859.2942418179</v>
      </c>
    </row>
    <row r="45" spans="1:11">
      <c r="A45" s="1539" t="s">
        <v>4231</v>
      </c>
      <c r="B45" s="1540">
        <f>SUM('Part VII-Pro Forma'!B25:B28)</f>
        <v>-420132.3350591315</v>
      </c>
      <c r="C45" s="1540">
        <f>SUM('Part VII-Pro Forma'!C25:C28)</f>
        <v>-420132.3350591315</v>
      </c>
      <c r="D45" s="1540">
        <f>SUM('Part VII-Pro Forma'!D25:D28)</f>
        <v>-420132.3350591315</v>
      </c>
      <c r="E45" s="1540">
        <f>SUM('Part VII-Pro Forma'!E25:E28)</f>
        <v>-420132.3350591315</v>
      </c>
      <c r="F45" s="1540">
        <f>SUM('Part VII-Pro Forma'!F25:F28)</f>
        <v>-420132.3350591315</v>
      </c>
      <c r="G45" s="1540">
        <f>SUM('Part VII-Pro Forma'!G25:G28)</f>
        <v>-420132.3350591315</v>
      </c>
      <c r="H45" s="1540">
        <f>SUM('Part VII-Pro Forma'!H25:H28)</f>
        <v>-420132.3350591315</v>
      </c>
      <c r="I45" s="1540">
        <f>SUM('Part VII-Pro Forma'!I25:I28)</f>
        <v>-420132.3350591315</v>
      </c>
      <c r="J45" s="1540">
        <f>SUM('Part VII-Pro Forma'!J25:J28)</f>
        <v>-420132.3350591315</v>
      </c>
      <c r="K45" s="1540">
        <f>SUM('Part VII-Pro Forma'!K25:K28)</f>
        <v>-420132.3350591315</v>
      </c>
    </row>
    <row r="46" spans="1:11">
      <c r="A46" s="1539" t="s">
        <v>4232</v>
      </c>
      <c r="B46" s="1541">
        <f t="shared" ref="B46:K46" si="0">-B44/B48-B45</f>
        <v>-10587.410274201771</v>
      </c>
      <c r="C46" s="1541">
        <f t="shared" si="0"/>
        <v>-16250.671847535297</v>
      </c>
      <c r="D46" s="1541">
        <f t="shared" si="0"/>
        <v>-21938.951985668566</v>
      </c>
      <c r="E46" s="1541">
        <f t="shared" si="0"/>
        <v>-27649.561826564488</v>
      </c>
      <c r="F46" s="1541">
        <f t="shared" si="0"/>
        <v>-33380.529053945094</v>
      </c>
      <c r="G46" s="1541">
        <f t="shared" si="0"/>
        <v>-39129.759837896621</v>
      </c>
      <c r="H46" s="1541">
        <f t="shared" si="0"/>
        <v>-44893.367275911325</v>
      </c>
      <c r="I46" s="1541">
        <f t="shared" si="0"/>
        <v>-50670.66632888827</v>
      </c>
      <c r="J46" s="1541">
        <f t="shared" si="0"/>
        <v>-56457.501913113287</v>
      </c>
      <c r="K46" s="1541">
        <f t="shared" si="0"/>
        <v>-62250.410142383422</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516863.69439999992</v>
      </c>
      <c r="C51" s="1541">
        <f t="shared" ref="C51:K51" si="2">+C44</f>
        <v>523659.6082880001</v>
      </c>
      <c r="D51" s="1541">
        <f t="shared" si="2"/>
        <v>530485.54445376003</v>
      </c>
      <c r="E51" s="1541">
        <f t="shared" si="2"/>
        <v>537338.27626283513</v>
      </c>
      <c r="F51" s="1541">
        <f t="shared" si="2"/>
        <v>544215.43693569186</v>
      </c>
      <c r="G51" s="1541">
        <f t="shared" si="2"/>
        <v>551114.51387643372</v>
      </c>
      <c r="H51" s="1541">
        <f t="shared" si="2"/>
        <v>558030.84280205134</v>
      </c>
      <c r="I51" s="1541">
        <f t="shared" si="2"/>
        <v>564963.60166562372</v>
      </c>
      <c r="J51" s="1541">
        <f t="shared" si="2"/>
        <v>571907.80436669372</v>
      </c>
      <c r="K51" s="1541">
        <f t="shared" si="2"/>
        <v>578859.2942418179</v>
      </c>
    </row>
    <row r="52" spans="1:17">
      <c r="A52" s="1539" t="s">
        <v>4234</v>
      </c>
      <c r="B52" s="1541">
        <f>IF($B$25="N/A",B45,B45+$B$25)</f>
        <v>-430719.74533333327</v>
      </c>
      <c r="C52" s="1541">
        <f t="shared" ref="C52:K52" si="3">IF($B$25="N/A",C45,C45+$B$25)</f>
        <v>-430719.74533333327</v>
      </c>
      <c r="D52" s="1541">
        <f t="shared" si="3"/>
        <v>-430719.74533333327</v>
      </c>
      <c r="E52" s="1541">
        <f t="shared" si="3"/>
        <v>-430719.74533333327</v>
      </c>
      <c r="F52" s="1541">
        <f t="shared" si="3"/>
        <v>-430719.74533333327</v>
      </c>
      <c r="G52" s="1541">
        <f t="shared" si="3"/>
        <v>-430719.74533333327</v>
      </c>
      <c r="H52" s="1541">
        <f t="shared" si="3"/>
        <v>-430719.74533333327</v>
      </c>
      <c r="I52" s="1541">
        <f t="shared" si="3"/>
        <v>-430719.74533333327</v>
      </c>
      <c r="J52" s="1541">
        <f t="shared" si="3"/>
        <v>-430719.74533333327</v>
      </c>
      <c r="K52" s="1541">
        <f t="shared" si="3"/>
        <v>-430719.74533333327</v>
      </c>
    </row>
    <row r="53" spans="1:17">
      <c r="A53" s="1539" t="s">
        <v>4235</v>
      </c>
      <c r="B53" s="1540">
        <f>+'Part VII-Pro Forma'!B30</f>
        <v>-7500</v>
      </c>
      <c r="C53" s="1540">
        <f>+'Part VII-Pro Forma'!C30</f>
        <v>-7500</v>
      </c>
      <c r="D53" s="1540">
        <f>+'Part VII-Pro Forma'!D30</f>
        <v>-7500</v>
      </c>
      <c r="E53" s="1540">
        <f>+'Part VII-Pro Forma'!E30</f>
        <v>-7500</v>
      </c>
      <c r="F53" s="1540">
        <f>+'Part VII-Pro Forma'!F30</f>
        <v>-7500</v>
      </c>
      <c r="G53" s="1540">
        <f>+'Part VII-Pro Forma'!G30</f>
        <v>-7500</v>
      </c>
      <c r="H53" s="1540">
        <f>+'Part VII-Pro Forma'!H30</f>
        <v>-7500</v>
      </c>
      <c r="I53" s="1540">
        <f>+'Part VII-Pro Forma'!I30</f>
        <v>-7500</v>
      </c>
      <c r="J53" s="1540">
        <f>+'Part VII-Pro Forma'!J30</f>
        <v>-7500</v>
      </c>
      <c r="K53" s="1540">
        <f>+'Part VII-Pro Forma'!K30</f>
        <v>-7500</v>
      </c>
    </row>
    <row r="54" spans="1:17">
      <c r="A54" s="1539" t="s">
        <v>4236</v>
      </c>
      <c r="B54" s="1541">
        <f>+SUM(B51:B53)</f>
        <v>78643.949066666653</v>
      </c>
      <c r="C54" s="1541">
        <f t="shared" ref="C54:K54" si="4">+SUM(C51:C53)</f>
        <v>85439.862954666838</v>
      </c>
      <c r="D54" s="1541">
        <f t="shared" si="4"/>
        <v>92265.79912042676</v>
      </c>
      <c r="E54" s="1541">
        <f t="shared" si="4"/>
        <v>99118.530929501867</v>
      </c>
      <c r="F54" s="1541">
        <f t="shared" si="4"/>
        <v>105995.69160235859</v>
      </c>
      <c r="G54" s="1541">
        <f t="shared" si="4"/>
        <v>112894.76854310045</v>
      </c>
      <c r="H54" s="1541">
        <f t="shared" si="4"/>
        <v>119811.09746871807</v>
      </c>
      <c r="I54" s="1541">
        <f t="shared" si="4"/>
        <v>126743.85633229045</v>
      </c>
      <c r="J54" s="1541">
        <f t="shared" si="4"/>
        <v>133688.05903336045</v>
      </c>
      <c r="K54" s="1541">
        <f t="shared" si="4"/>
        <v>140639.54890848463</v>
      </c>
    </row>
    <row r="55" spans="1:17">
      <c r="A55" s="1539" t="s">
        <v>4086</v>
      </c>
      <c r="B55" s="1541">
        <f>-B54</f>
        <v>-78643.949066666653</v>
      </c>
      <c r="C55" s="1541">
        <f t="shared" ref="C55:K55" si="5">-C54</f>
        <v>-85439.862954666838</v>
      </c>
      <c r="D55" s="1541">
        <f t="shared" si="5"/>
        <v>-92265.79912042676</v>
      </c>
      <c r="E55" s="1541">
        <f t="shared" si="5"/>
        <v>-99118.530929501867</v>
      </c>
      <c r="F55" s="1541">
        <f t="shared" si="5"/>
        <v>-105995.69160235859</v>
      </c>
      <c r="G55" s="1541">
        <f t="shared" si="5"/>
        <v>-112894.76854310045</v>
      </c>
      <c r="H55" s="1541">
        <f t="shared" si="5"/>
        <v>-119811.09746871807</v>
      </c>
      <c r="I55" s="1541">
        <f t="shared" si="5"/>
        <v>-126743.85633229045</v>
      </c>
      <c r="J55" s="1541">
        <f t="shared" si="5"/>
        <v>-133688.05903336045</v>
      </c>
      <c r="K55" s="1541">
        <f t="shared" si="5"/>
        <v>-140639.54890848463</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8649483.3330502827</v>
      </c>
      <c r="C58" s="1540">
        <f>IF($B$26="","",-FV('Part III-Sources of Funds'!$K$38/12,12,C52/12,B58))</f>
        <v>8507208.4682302922</v>
      </c>
      <c r="D58" s="1540">
        <f>IF($B$26="","",-FV('Part III-Sources of Funds'!$K$38/12,12,D52/12,C58))</f>
        <v>8360078.8577901376</v>
      </c>
      <c r="E58" s="1540">
        <f>IF($B$26="","",-FV('Part III-Sources of Funds'!$K$38/12,12,E52/12,D58))</f>
        <v>8207928.8466433333</v>
      </c>
      <c r="F58" s="1540">
        <f>IF($B$26="","",-FV('Part III-Sources of Funds'!$K$38/12,12,F52/12,E58))</f>
        <v>8050587.1271708356</v>
      </c>
      <c r="G58" s="1540">
        <f>IF($B$26="","",-FV('Part III-Sources of Funds'!$K$38/12,12,G52/12,F58))</f>
        <v>7887876.546343632</v>
      </c>
      <c r="H58" s="1540">
        <f>IF($B$26="","",-FV('Part III-Sources of Funds'!$K$38/12,12,H52/12,G58))</f>
        <v>7719613.9062639065</v>
      </c>
      <c r="I58" s="1540">
        <f>IF($B$26="","",-FV('Part III-Sources of Funds'!$K$38/12,12,I52/12,H58))</f>
        <v>7545609.7579002138</v>
      </c>
      <c r="J58" s="1540">
        <f>IF($B$26="","",-FV('Part III-Sources of Funds'!$K$38/12,12,J52/12,I58))</f>
        <v>7365668.1877844241</v>
      </c>
      <c r="K58" s="1540">
        <f>IF($B$26="","",-FV('Part III-Sources of Funds'!$K$38/12,12,K52/12,J58))</f>
        <v>7179586.597430272</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4230</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585816.73732807825</v>
      </c>
      <c r="C64" s="1540">
        <f>+'Part VII-Pro Forma'!C56</f>
        <v>592773.61539210565</v>
      </c>
      <c r="D64" s="1540">
        <f>+'Part VII-Pro Forma'!D56</f>
        <v>599727.21871693898</v>
      </c>
      <c r="E64" s="1540">
        <f>+'Part VII-Pro Forma'!E56</f>
        <v>606672.63863877789</v>
      </c>
      <c r="F64" s="1540">
        <f>+'Part VII-Pro Forma'!F56</f>
        <v>613605.75982547901</v>
      </c>
      <c r="G64" s="1540">
        <f>+'Part VII-Pro Forma'!G56</f>
        <v>620522.25228833139</v>
      </c>
      <c r="H64" s="1540">
        <f>+'Part VII-Pro Forma'!H56</f>
        <v>627415.56311843125</v>
      </c>
      <c r="I64" s="1540">
        <f>+'Part VII-Pro Forma'!I56</f>
        <v>634280.90793866361</v>
      </c>
      <c r="J64" s="1540">
        <f>+'Part VII-Pro Forma'!J56</f>
        <v>641113.26206203597</v>
      </c>
      <c r="K64" s="1540">
        <f>+'Part VII-Pro Forma'!K56</f>
        <v>647907.35134681396</v>
      </c>
    </row>
    <row r="65" spans="1:11">
      <c r="A65" s="1539" t="s">
        <v>4231</v>
      </c>
      <c r="B65" s="1540">
        <f>SUM('Part VII-Pro Forma'!B57:B60)</f>
        <v>-420132.3350591315</v>
      </c>
      <c r="C65" s="1540">
        <f>SUM('Part VII-Pro Forma'!C57:C60)</f>
        <v>-420132.3350591315</v>
      </c>
      <c r="D65" s="1540">
        <f>SUM('Part VII-Pro Forma'!D57:D60)</f>
        <v>-420132.3350591315</v>
      </c>
      <c r="E65" s="1540">
        <f>SUM('Part VII-Pro Forma'!E57:E60)</f>
        <v>-420132.3350591315</v>
      </c>
      <c r="F65" s="1540">
        <f>SUM('Part VII-Pro Forma'!F57:F60)</f>
        <v>-420132.3350591315</v>
      </c>
      <c r="G65" s="1540">
        <f>SUM('Part VII-Pro Forma'!G57:G60)</f>
        <v>-420132.3350591315</v>
      </c>
      <c r="H65" s="1540">
        <f>SUM('Part VII-Pro Forma'!H57:H60)</f>
        <v>-420132.3350591315</v>
      </c>
      <c r="I65" s="1540">
        <f>SUM('Part VII-Pro Forma'!I57:I60)</f>
        <v>-420132.3350591315</v>
      </c>
      <c r="J65" s="1540">
        <f>SUM('Part VII-Pro Forma'!J57:J60)</f>
        <v>-420132.3350591315</v>
      </c>
      <c r="K65" s="1540">
        <f>SUM('Part VII-Pro Forma'!K57:K60)</f>
        <v>-420132.3350591315</v>
      </c>
    </row>
    <row r="66" spans="1:11">
      <c r="A66" s="1539" t="s">
        <v>4232</v>
      </c>
      <c r="B66" s="1541">
        <f t="shared" ref="B66:K66" si="7">-B64/B68-B65</f>
        <v>-68048.279380933731</v>
      </c>
      <c r="C66" s="1541">
        <f t="shared" si="7"/>
        <v>-73845.677767623216</v>
      </c>
      <c r="D66" s="1541">
        <f t="shared" si="7"/>
        <v>-79640.34720498434</v>
      </c>
      <c r="E66" s="1541">
        <f t="shared" si="7"/>
        <v>-85428.197139850119</v>
      </c>
      <c r="F66" s="1541">
        <f t="shared" si="7"/>
        <v>-91205.798128767696</v>
      </c>
      <c r="G66" s="1541">
        <f t="shared" si="7"/>
        <v>-96969.541847811372</v>
      </c>
      <c r="H66" s="1541">
        <f t="shared" si="7"/>
        <v>-102713.96753956121</v>
      </c>
      <c r="I66" s="1541">
        <f t="shared" si="7"/>
        <v>-108435.08822308818</v>
      </c>
      <c r="J66" s="1541">
        <f t="shared" si="7"/>
        <v>-114128.71665923181</v>
      </c>
      <c r="K66" s="1541">
        <f t="shared" si="7"/>
        <v>-119790.45772988012</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585816.73732807825</v>
      </c>
      <c r="C71" s="1541">
        <f t="shared" si="9"/>
        <v>592773.61539210565</v>
      </c>
      <c r="D71" s="1541">
        <f t="shared" si="9"/>
        <v>599727.21871693898</v>
      </c>
      <c r="E71" s="1541">
        <f t="shared" si="9"/>
        <v>606672.63863877789</v>
      </c>
      <c r="F71" s="1541">
        <f t="shared" si="9"/>
        <v>613605.75982547901</v>
      </c>
      <c r="G71" s="1541">
        <f t="shared" si="9"/>
        <v>620522.25228833139</v>
      </c>
      <c r="H71" s="1541">
        <f>+H64</f>
        <v>627415.56311843125</v>
      </c>
      <c r="I71" s="1541">
        <f>+I64</f>
        <v>634280.90793866361</v>
      </c>
      <c r="J71" s="1541">
        <f>+J64</f>
        <v>641113.26206203597</v>
      </c>
      <c r="K71" s="1541">
        <f>+K64</f>
        <v>647907.35134681396</v>
      </c>
    </row>
    <row r="72" spans="1:11">
      <c r="A72" s="1539" t="s">
        <v>4234</v>
      </c>
      <c r="B72" s="1541">
        <f t="shared" ref="B72:G72" si="10">IF($B$25="N/A",B65,B65+$B$25)</f>
        <v>-430719.74533333327</v>
      </c>
      <c r="C72" s="1541">
        <f t="shared" si="10"/>
        <v>-430719.74533333327</v>
      </c>
      <c r="D72" s="1541">
        <f t="shared" si="10"/>
        <v>-430719.74533333327</v>
      </c>
      <c r="E72" s="1541">
        <f t="shared" si="10"/>
        <v>-430719.74533333327</v>
      </c>
      <c r="F72" s="1541">
        <f t="shared" si="10"/>
        <v>-430719.74533333327</v>
      </c>
      <c r="G72" s="1541">
        <f t="shared" si="10"/>
        <v>-430719.74533333327</v>
      </c>
      <c r="H72" s="1541">
        <f>IF($B$25="N/A",H65,H65+$B$25)</f>
        <v>-430719.74533333327</v>
      </c>
      <c r="I72" s="1541">
        <f>IF($B$25="N/A",I65,I65+$B$25)</f>
        <v>-430719.74533333327</v>
      </c>
      <c r="J72" s="1541">
        <f>IF($B$25="N/A",J65,J65+$B$25)</f>
        <v>-430719.74533333327</v>
      </c>
      <c r="K72" s="1541">
        <f>IF($B$25="N/A",K65,K65+$B$25)</f>
        <v>-430719.74533333327</v>
      </c>
    </row>
    <row r="73" spans="1:11">
      <c r="A73" s="1539" t="s">
        <v>4235</v>
      </c>
      <c r="B73" s="1540">
        <f>+'Part VII-Pro Forma'!B62</f>
        <v>-7500</v>
      </c>
      <c r="C73" s="1540">
        <f>+'Part VII-Pro Forma'!C62</f>
        <v>-7500</v>
      </c>
      <c r="D73" s="1540">
        <f>+'Part VII-Pro Forma'!D62</f>
        <v>-7500</v>
      </c>
      <c r="E73" s="1540">
        <f>+'Part VII-Pro Forma'!E62</f>
        <v>-7500</v>
      </c>
      <c r="F73" s="1540">
        <f>+'Part VII-Pro Forma'!F62</f>
        <v>-7500</v>
      </c>
      <c r="G73" s="1540">
        <f>+'Part VII-Pro Forma'!G62</f>
        <v>-7500</v>
      </c>
      <c r="H73" s="1540">
        <f>+'Part VII-Pro Forma'!H62</f>
        <v>-7500</v>
      </c>
      <c r="I73" s="1540">
        <f>+'Part VII-Pro Forma'!I62</f>
        <v>-7500</v>
      </c>
      <c r="J73" s="1540">
        <f>+'Part VII-Pro Forma'!J62</f>
        <v>-7500</v>
      </c>
      <c r="K73" s="1540">
        <f>+'Part VII-Pro Forma'!K62</f>
        <v>-7500</v>
      </c>
    </row>
    <row r="74" spans="1:11">
      <c r="A74" s="1539" t="s">
        <v>4236</v>
      </c>
      <c r="B74" s="1541">
        <f t="shared" ref="B74:G74" si="11">+SUM(B71:B73)</f>
        <v>147596.99199474498</v>
      </c>
      <c r="C74" s="1541">
        <f t="shared" si="11"/>
        <v>154553.87005877239</v>
      </c>
      <c r="D74" s="1541">
        <f t="shared" si="11"/>
        <v>161507.47338360571</v>
      </c>
      <c r="E74" s="1541">
        <f t="shared" si="11"/>
        <v>168452.89330544462</v>
      </c>
      <c r="F74" s="1541">
        <f t="shared" si="11"/>
        <v>175386.01449214574</v>
      </c>
      <c r="G74" s="1541">
        <f t="shared" si="11"/>
        <v>182302.50695499813</v>
      </c>
      <c r="H74" s="1541">
        <f>+SUM(H71:H73)</f>
        <v>189195.81778509798</v>
      </c>
      <c r="I74" s="1541">
        <f>+SUM(I71:I73)</f>
        <v>196061.16260533035</v>
      </c>
      <c r="J74" s="1541">
        <f>+SUM(J71:J73)</f>
        <v>202893.5167287027</v>
      </c>
      <c r="K74" s="1541">
        <f>+SUM(K71:K73)</f>
        <v>209687.60601348069</v>
      </c>
    </row>
    <row r="75" spans="1:11">
      <c r="A75" s="1539" t="s">
        <v>4086</v>
      </c>
      <c r="B75" s="1541">
        <f t="shared" ref="B75:G75" si="12">-B74</f>
        <v>-147596.99199474498</v>
      </c>
      <c r="C75" s="1541">
        <f t="shared" si="12"/>
        <v>-154553.87005877239</v>
      </c>
      <c r="D75" s="1541">
        <f t="shared" si="12"/>
        <v>-161507.47338360571</v>
      </c>
      <c r="E75" s="1541">
        <f t="shared" si="12"/>
        <v>-168452.89330544462</v>
      </c>
      <c r="F75" s="1541">
        <f t="shared" si="12"/>
        <v>-175386.01449214574</v>
      </c>
      <c r="G75" s="1541">
        <f t="shared" si="12"/>
        <v>-182302.50695499813</v>
      </c>
      <c r="H75" s="1541">
        <f>-H74</f>
        <v>-189195.81778509798</v>
      </c>
      <c r="I75" s="1541">
        <f>-I74</f>
        <v>-196061.16260533035</v>
      </c>
      <c r="J75" s="1541">
        <f>-J74</f>
        <v>-202893.5167287027</v>
      </c>
      <c r="K75" s="1541">
        <f>-K74</f>
        <v>-209687.60601348069</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6987155.4752251646</v>
      </c>
      <c r="C78" s="1540">
        <f>IF($B$26="","",-FV('Part III-Sources of Funds'!$K$38/12,12,C72/12,B78))</f>
        <v>6788158.1605384098</v>
      </c>
      <c r="D78" s="1540">
        <f>IF($B$26="","",-FV('Part III-Sources of Funds'!$K$38/12,12,D72/12,C78))</f>
        <v>6582370.5997802764</v>
      </c>
      <c r="E78" s="1540">
        <f>IF($B$26="","",-FV('Part III-Sources of Funds'!$K$38/12,12,E72/12,D78))</f>
        <v>6369561.0941372281</v>
      </c>
      <c r="F78" s="1540">
        <f>IF($B$26="","",-FV('Part III-Sources of Funds'!$K$38/12,12,F72/12,E78))</f>
        <v>6149490.0386993028</v>
      </c>
      <c r="G78" s="1540">
        <f>IF($B$26="","",-FV('Part III-Sources of Funds'!$K$38/12,12,G72/12,F78))</f>
        <v>5921909.6526859188</v>
      </c>
      <c r="H78" s="1540">
        <f>IF($B$26="","",-FV('Part III-Sources of Funds'!$K$38/12,12,H72/12,G78))</f>
        <v>5686563.7004663637</v>
      </c>
      <c r="I78" s="1540">
        <f>IF($B$26="","",-FV('Part III-Sources of Funds'!$K$38/12,12,I72/12,H78))</f>
        <v>5443187.2030608635</v>
      </c>
      <c r="J78" s="1540">
        <f>IF($B$26="","",-FV('Part III-Sources of Funds'!$K$38/12,12,J72/12,I78))</f>
        <v>5191506.1397974025</v>
      </c>
      <c r="K78" s="1540">
        <f>IF($B$26="","",-FV('Part III-Sources of Funds'!$K$38/12,12,K72/12,J78))</f>
        <v>4931237.1397883873</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69" t="s">
        <v>2913</v>
      </c>
      <c r="B1" s="4169"/>
      <c r="C1" s="4169"/>
      <c r="D1" s="4169"/>
      <c r="E1" s="4169"/>
      <c r="F1" s="4169"/>
      <c r="G1" s="4169"/>
      <c r="H1" s="4169"/>
      <c r="I1" s="4169"/>
      <c r="J1" s="4169"/>
    </row>
    <row r="2" spans="1:16" ht="15.75">
      <c r="A2" s="4169" t="str">
        <f>Overview!C8</f>
        <v>Enclave at Milledgeville</v>
      </c>
      <c r="B2" s="4169"/>
      <c r="C2" s="4169"/>
      <c r="D2" s="4169"/>
      <c r="E2" s="4169"/>
      <c r="F2" s="4169"/>
      <c r="G2" s="4169"/>
      <c r="H2" s="4169"/>
      <c r="I2" s="4169"/>
      <c r="J2" s="4169"/>
    </row>
    <row r="3" spans="1:16" ht="15.75">
      <c r="A3" s="4169" t="str">
        <f>'Subsidy Layering Memo'!F14</f>
        <v>Milledgeville, Baldwin</v>
      </c>
      <c r="B3" s="4169"/>
      <c r="C3" s="4169"/>
      <c r="D3" s="4169"/>
      <c r="E3" s="4169"/>
      <c r="F3" s="4169"/>
      <c r="G3" s="4169"/>
      <c r="H3" s="4169"/>
      <c r="I3" s="4169"/>
      <c r="J3" s="4169"/>
    </row>
    <row r="4" spans="1:16" ht="15.75">
      <c r="A4" s="4170" t="s">
        <v>2914</v>
      </c>
      <c r="B4" s="4169"/>
      <c r="C4" s="4169"/>
      <c r="D4" s="4169"/>
      <c r="E4" s="4169"/>
      <c r="F4" s="4169"/>
      <c r="G4" s="4169"/>
      <c r="H4" s="4169"/>
      <c r="I4" s="4169"/>
      <c r="J4" s="4169"/>
    </row>
    <row r="5" spans="1:16" ht="5.25" customHeight="1"/>
    <row r="6" spans="1:16" ht="5.25" customHeight="1"/>
    <row r="7" spans="1:16" ht="15.75">
      <c r="A7" s="4171" t="s">
        <v>2915</v>
      </c>
      <c r="B7" s="4171"/>
      <c r="C7" s="4172"/>
      <c r="M7" s="4173"/>
      <c r="N7" s="4173"/>
      <c r="O7" s="4173"/>
      <c r="P7" s="4173"/>
    </row>
    <row r="8" spans="1:16" ht="57" customHeight="1">
      <c r="A8" s="4174" t="s">
        <v>5068</v>
      </c>
      <c r="B8" s="4174"/>
      <c r="C8" s="4174"/>
      <c r="D8" s="4174"/>
      <c r="E8" s="4174"/>
      <c r="F8" s="4174"/>
      <c r="G8" s="4174"/>
      <c r="H8" s="4174"/>
      <c r="I8" s="4174"/>
      <c r="J8" s="4174"/>
      <c r="K8" s="745"/>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Milledgeville, Baldwin County, Georgia, with the development of 76 units (UNIT DESCRIPTION) set aside for Family.</v>
      </c>
      <c r="B9" s="4174"/>
      <c r="C9" s="4174"/>
      <c r="D9" s="4174"/>
      <c r="E9" s="4174"/>
      <c r="F9" s="4174"/>
      <c r="G9" s="4174"/>
      <c r="H9" s="4174"/>
      <c r="I9" s="4174"/>
      <c r="J9" s="4174"/>
      <c r="K9" s="745"/>
    </row>
    <row r="10" spans="1:16" ht="15.75">
      <c r="A10" s="746" t="s">
        <v>2916</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2946</v>
      </c>
      <c r="B12" s="4174"/>
      <c r="C12" s="4174"/>
      <c r="D12" s="4174"/>
      <c r="E12" s="4174"/>
      <c r="F12" s="4174"/>
      <c r="G12" s="4174"/>
      <c r="H12" s="4174"/>
      <c r="I12" s="4174"/>
      <c r="J12" s="4174"/>
    </row>
    <row r="13" spans="1:16" ht="48.75" customHeight="1">
      <c r="A13" s="4174" t="s">
        <v>2947</v>
      </c>
      <c r="B13" s="4174"/>
      <c r="C13" s="4174"/>
      <c r="D13" s="4174"/>
      <c r="E13" s="4174"/>
      <c r="F13" s="4174"/>
      <c r="G13" s="4174"/>
      <c r="H13" s="4174"/>
      <c r="I13" s="4174"/>
      <c r="J13" s="4174"/>
    </row>
    <row r="14" spans="1:16" ht="15.75">
      <c r="A14" s="746" t="s">
        <v>2917</v>
      </c>
      <c r="B14" s="747"/>
    </row>
    <row r="15" spans="1:16">
      <c r="A15" s="744" t="s">
        <v>2918</v>
      </c>
      <c r="D15" s="2665" t="s">
        <v>2919</v>
      </c>
    </row>
    <row r="16" spans="1:16">
      <c r="A16" s="744" t="s">
        <v>2920</v>
      </c>
      <c r="D16" s="2663">
        <f>Overview!C25</f>
        <v>8640000</v>
      </c>
    </row>
    <row r="17" spans="1:11">
      <c r="A17" s="748" t="s">
        <v>2921</v>
      </c>
      <c r="D17" s="2664">
        <f>Overview!C13</f>
        <v>76</v>
      </c>
    </row>
    <row r="18" spans="1:11" ht="14.25" customHeight="1"/>
    <row r="19" spans="1:11" ht="15.75">
      <c r="A19" s="746" t="s">
        <v>2922</v>
      </c>
      <c r="B19" s="747"/>
      <c r="C19" s="747"/>
    </row>
    <row r="20" spans="1:11" ht="48.75" customHeight="1">
      <c r="A20" s="4177" t="s">
        <v>2949</v>
      </c>
      <c r="B20" s="4177"/>
      <c r="C20" s="4177"/>
      <c r="D20" s="4177"/>
      <c r="E20" s="4177"/>
      <c r="F20" s="4177"/>
      <c r="G20" s="4177"/>
      <c r="H20" s="4177"/>
      <c r="I20" s="4177"/>
      <c r="J20" s="4177"/>
    </row>
    <row r="21" spans="1:11" ht="72.75" customHeight="1">
      <c r="A21" s="4174" t="s">
        <v>5067</v>
      </c>
      <c r="B21" s="4174"/>
      <c r="C21" s="4174"/>
      <c r="D21" s="4174"/>
      <c r="E21" s="4174"/>
      <c r="F21" s="4174"/>
      <c r="G21" s="4174"/>
      <c r="H21" s="4174"/>
      <c r="I21" s="4174"/>
      <c r="J21" s="4174"/>
    </row>
    <row r="22" spans="1:11" ht="15.75">
      <c r="A22" s="746" t="s">
        <v>2923</v>
      </c>
      <c r="B22" s="747"/>
      <c r="C22" s="747"/>
      <c r="D22" s="747"/>
      <c r="E22" s="747"/>
      <c r="F22" s="747"/>
    </row>
    <row r="23" spans="1:11" ht="102.75" customHeight="1">
      <c r="A23" s="4178" t="s">
        <v>2942</v>
      </c>
      <c r="B23" s="4178"/>
      <c r="C23" s="4178"/>
      <c r="D23" s="4178"/>
      <c r="E23" s="4178"/>
      <c r="F23" s="4178"/>
      <c r="G23" s="4178"/>
      <c r="H23" s="4178"/>
      <c r="I23" s="4178"/>
      <c r="J23" s="4178"/>
      <c r="K23" s="2179"/>
    </row>
    <row r="24" spans="1:11" ht="15" customHeight="1">
      <c r="A24" s="4175"/>
      <c r="B24" s="4175"/>
      <c r="C24" s="4175"/>
      <c r="D24" s="4175"/>
      <c r="E24" s="4175"/>
      <c r="F24" s="4175"/>
      <c r="G24" s="4175"/>
      <c r="H24" s="4175"/>
      <c r="I24" s="4175"/>
      <c r="J24" s="4175"/>
      <c r="K24" s="744" t="s">
        <v>243</v>
      </c>
    </row>
    <row r="25" spans="1:11" ht="15" customHeight="1">
      <c r="B25" s="2178"/>
      <c r="C25" s="2178"/>
      <c r="D25" s="2178"/>
      <c r="E25" s="2178"/>
      <c r="F25" s="2178"/>
      <c r="G25" s="2178"/>
      <c r="H25" s="2178"/>
      <c r="I25" s="2178" t="s">
        <v>243</v>
      </c>
      <c r="J25" s="2178"/>
    </row>
    <row r="26" spans="1:11" ht="15.75">
      <c r="A26" s="747" t="s">
        <v>2924</v>
      </c>
    </row>
    <row r="28" spans="1:11" ht="15.75" thickBot="1">
      <c r="A28" s="749"/>
      <c r="B28" s="749"/>
      <c r="C28" s="749"/>
      <c r="D28" s="749"/>
      <c r="F28" s="749"/>
      <c r="G28" s="749"/>
      <c r="H28" s="749"/>
      <c r="I28" s="749"/>
    </row>
    <row r="29" spans="1:11">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2985</v>
      </c>
      <c r="B1" s="807"/>
      <c r="C1" s="807"/>
      <c r="D1" s="807"/>
      <c r="E1" s="807"/>
      <c r="F1" s="807"/>
      <c r="G1" s="807"/>
      <c r="H1" s="807"/>
      <c r="I1" s="807"/>
      <c r="J1" s="807"/>
      <c r="K1" s="807"/>
      <c r="L1" s="747"/>
      <c r="M1" s="747"/>
    </row>
    <row r="2" spans="1:14" s="273" customFormat="1" ht="18">
      <c r="A2" s="1552" t="str">
        <f>+"Financial Analysis for:  "&amp;E8&amp;"  "&amp;C8</f>
        <v>Financial Analysis for:  2019-5  Enclave at Milledgeville</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2986</v>
      </c>
      <c r="B7" s="744"/>
      <c r="C7" s="781"/>
      <c r="D7" s="782"/>
      <c r="E7" s="782"/>
      <c r="F7" s="747" t="s">
        <v>3315</v>
      </c>
      <c r="G7" s="744"/>
      <c r="H7" s="417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79"/>
      <c r="J7" s="4179"/>
      <c r="K7" s="4179"/>
      <c r="L7" s="744"/>
      <c r="M7" s="744"/>
    </row>
    <row r="8" spans="1:14" ht="15.75">
      <c r="A8" s="747" t="s">
        <v>2987</v>
      </c>
      <c r="B8" s="747"/>
      <c r="C8" s="4179" t="str">
        <f>'Part I-Project Information'!F34</f>
        <v>Enclave at Milledgeville</v>
      </c>
      <c r="D8" s="4179"/>
      <c r="E8" s="2180" t="str">
        <f>'Part I-Project Information'!O6</f>
        <v>2019-5</v>
      </c>
      <c r="F8" s="783" t="s">
        <v>2988</v>
      </c>
      <c r="G8" s="782"/>
      <c r="H8" s="4179" t="str">
        <f>CONCATENATE('Part I-Project Information'!F38,", ",'Part I-Project Information'!J39)</f>
        <v>Milledgeville, Baldwin</v>
      </c>
      <c r="I8" s="4179"/>
      <c r="J8" s="4179"/>
      <c r="K8" s="4179"/>
      <c r="L8" s="744"/>
      <c r="M8" s="784"/>
    </row>
    <row r="9" spans="1:14" ht="15.75">
      <c r="A9" s="747" t="s">
        <v>2990</v>
      </c>
      <c r="B9" s="747"/>
      <c r="C9" s="4179" t="s">
        <v>1771</v>
      </c>
      <c r="D9" s="4179"/>
      <c r="E9" s="782"/>
      <c r="F9" s="783" t="s">
        <v>2991</v>
      </c>
      <c r="G9" s="782"/>
      <c r="H9" s="4179" t="str">
        <f>'Part II-Development Team'!H5</f>
        <v>HDC Milledgeville Manor LP</v>
      </c>
      <c r="I9" s="4179"/>
      <c r="J9" s="4179"/>
      <c r="K9" s="4179"/>
      <c r="L9" s="4179"/>
      <c r="M9" s="784"/>
    </row>
    <row r="10" spans="1:14" ht="15.75">
      <c r="A10" s="747" t="s">
        <v>2993</v>
      </c>
      <c r="B10" s="744"/>
      <c r="C10" s="2180" t="str">
        <f>'Part II-Development Team'!H14</f>
        <v>HDC Enclave at Milledgeville GP, LLC</v>
      </c>
      <c r="D10" s="782"/>
      <c r="E10" s="782"/>
      <c r="F10" s="783" t="s">
        <v>3560</v>
      </c>
      <c r="G10" s="782"/>
      <c r="H10" s="4179" t="str">
        <f>'Part II-Development Team'!H33</f>
        <v>RBC Capital Markets</v>
      </c>
      <c r="I10" s="4179"/>
      <c r="J10" s="4179"/>
      <c r="K10" s="4179" t="str">
        <f>'Part II-Development Team'!H39</f>
        <v>RBC Capital Markets</v>
      </c>
      <c r="L10" s="4179"/>
    </row>
    <row r="11" spans="1:14" ht="15.75">
      <c r="A11" s="747" t="s">
        <v>2994</v>
      </c>
      <c r="B11" s="744"/>
      <c r="C11" s="2180" t="str">
        <f>IF('Part II-Development Team'!H20="","",'Part II-Development Team'!H20)</f>
        <v/>
      </c>
      <c r="D11" s="782"/>
      <c r="E11" s="1556" t="str">
        <f>IF('Part II-Development Team'!H26="","",'Part II-Development Team'!H26)</f>
        <v/>
      </c>
      <c r="F11" s="783" t="s">
        <v>652</v>
      </c>
      <c r="G11" s="782"/>
      <c r="H11" s="4179" t="str">
        <f>'Part II-Development Team'!H54</f>
        <v>HDC Residential, LLC</v>
      </c>
      <c r="I11" s="4179"/>
      <c r="J11" s="4179"/>
      <c r="K11" s="4179">
        <f>'Part II-Development Team'!H60</f>
        <v>0</v>
      </c>
      <c r="L11" s="4179"/>
      <c r="M11" s="4179">
        <f>'Part II-Development Team'!H66</f>
        <v>0</v>
      </c>
      <c r="N11" s="4179"/>
    </row>
    <row r="12" spans="1:14" ht="15.75">
      <c r="A12" s="747" t="s">
        <v>2995</v>
      </c>
      <c r="B12" s="744"/>
      <c r="C12" s="2180" t="str">
        <f>'Part II-Development Team'!H86</f>
        <v>Bluepoint Construction Southeast</v>
      </c>
      <c r="D12" s="782"/>
      <c r="E12" s="782"/>
      <c r="F12" s="783" t="s">
        <v>2996</v>
      </c>
      <c r="G12" s="782"/>
      <c r="H12" s="4179" t="str">
        <f>'Part II-Development Team'!H92</f>
        <v>HDC Management</v>
      </c>
      <c r="I12" s="4179"/>
      <c r="J12" s="4179"/>
      <c r="K12" s="4179"/>
      <c r="L12" s="744"/>
      <c r="M12" s="744"/>
    </row>
    <row r="13" spans="1:14" ht="15.75">
      <c r="A13" s="747" t="s">
        <v>2997</v>
      </c>
      <c r="B13" s="783"/>
      <c r="C13" s="743">
        <f>'Part VI-Revenues &amp; Expenses'!$O$67</f>
        <v>76</v>
      </c>
      <c r="E13" s="1557">
        <f>'Part VI-Revenues &amp; Expenses'!$O$63</f>
        <v>76</v>
      </c>
      <c r="F13" s="783" t="s">
        <v>4246</v>
      </c>
      <c r="G13" s="782"/>
      <c r="H13" s="2181">
        <f>'Part I-Project Information'!H76</f>
        <v>10</v>
      </c>
      <c r="I13" s="1558"/>
      <c r="J13" s="1558"/>
      <c r="K13" s="2181">
        <f>'Part I-Project Information'!P75</f>
        <v>65502</v>
      </c>
      <c r="L13" s="744"/>
      <c r="M13" s="744"/>
    </row>
    <row r="14" spans="1:14" ht="15.75">
      <c r="A14" s="747" t="s">
        <v>3305</v>
      </c>
      <c r="B14" s="744"/>
      <c r="C14" s="2181" t="str">
        <f>'Part I-Project Information'!H82</f>
        <v>Family</v>
      </c>
      <c r="D14" s="4179" t="str">
        <f>IF('Part I-Project Information'!N74=0,"",'Part I-Project Information'!N74)</f>
        <v/>
      </c>
      <c r="E14" s="4179"/>
      <c r="F14" s="783" t="s">
        <v>2998</v>
      </c>
      <c r="G14" s="782"/>
      <c r="H14" s="4180" t="s">
        <v>3499</v>
      </c>
      <c r="I14" s="4180"/>
      <c r="J14" s="4180"/>
      <c r="K14" s="4180" t="s">
        <v>3499</v>
      </c>
      <c r="L14" s="4180"/>
      <c r="M14" s="744"/>
    </row>
    <row r="15" spans="1:14" ht="15.75">
      <c r="A15" s="747" t="s">
        <v>2999</v>
      </c>
      <c r="B15" s="744"/>
      <c r="C15" s="785" t="s">
        <v>1771</v>
      </c>
      <c r="D15" s="782"/>
      <c r="E15" s="782"/>
      <c r="F15" s="783" t="s">
        <v>3306</v>
      </c>
      <c r="G15" s="782"/>
      <c r="H15" s="2180" t="str">
        <f>'Part I-Project Information'!K40</f>
        <v>Rural</v>
      </c>
      <c r="I15" s="782"/>
      <c r="J15" s="782"/>
      <c r="K15" s="782"/>
      <c r="L15" s="744"/>
      <c r="M15" s="744"/>
    </row>
    <row r="16" spans="1:14" ht="15.75">
      <c r="A16" s="747" t="s">
        <v>3533</v>
      </c>
      <c r="B16" s="744"/>
      <c r="C16" s="2180" t="str">
        <f>'Part I-Project Information'!H100</f>
        <v>No</v>
      </c>
      <c r="D16" s="786" t="s">
        <v>2678</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3308</v>
      </c>
      <c r="B18" s="744"/>
      <c r="C18" s="2183">
        <f>'Part IV-A-Uses of Funds'!G132</f>
        <v>15458102.010000002</v>
      </c>
      <c r="D18" s="1609">
        <f>IF(C18=0,"",$C$29/C18)</f>
        <v>0.55893019689032308</v>
      </c>
      <c r="E18" s="782" t="s">
        <v>3309</v>
      </c>
      <c r="F18" s="783" t="s">
        <v>3310</v>
      </c>
      <c r="G18" s="782"/>
      <c r="H18" s="4181">
        <f>'Part IV-A-Uses of Funds'!B44</f>
        <v>6525360</v>
      </c>
      <c r="I18" s="4181"/>
      <c r="J18" s="1608">
        <f>IF(H18=0,"",$C$29/H18)</f>
        <v>1.3240648791790797</v>
      </c>
      <c r="K18" s="4179" t="s">
        <v>3311</v>
      </c>
      <c r="L18" s="4179"/>
      <c r="M18" s="744"/>
    </row>
    <row r="19" spans="1:13" ht="15.75">
      <c r="A19" s="747" t="s">
        <v>3000</v>
      </c>
      <c r="B19" s="744"/>
      <c r="C19" s="2182">
        <f>C18/C13</f>
        <v>203396.0790789474</v>
      </c>
      <c r="D19" s="782"/>
      <c r="E19" s="744"/>
      <c r="F19" s="747" t="s">
        <v>3000</v>
      </c>
      <c r="G19" s="744"/>
      <c r="H19" s="4182">
        <f>H18/C13</f>
        <v>85860</v>
      </c>
      <c r="I19" s="4182"/>
      <c r="J19" s="744"/>
      <c r="K19" s="744"/>
      <c r="L19" s="744"/>
      <c r="M19" s="744"/>
    </row>
    <row r="20" spans="1:13" ht="15.75">
      <c r="A20" s="747" t="s">
        <v>3001</v>
      </c>
      <c r="B20" s="744"/>
      <c r="C20" s="2184">
        <f>C18/K13</f>
        <v>235.99435147018414</v>
      </c>
      <c r="D20" s="787"/>
      <c r="E20" s="788"/>
      <c r="F20" s="747" t="s">
        <v>3001</v>
      </c>
      <c r="G20" s="744"/>
      <c r="H20" s="4183">
        <f>H18/K13</f>
        <v>99.620774938169831</v>
      </c>
      <c r="I20" s="4182"/>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5.75">
      <c r="A25" s="747" t="s">
        <v>3004</v>
      </c>
      <c r="B25" s="793" t="str">
        <f>'Part III-Sources of Funds'!E38</f>
        <v>JLL/Freddie Mac</v>
      </c>
      <c r="C25" s="794">
        <f>'Part III-Sources of Funds'!I38</f>
        <v>8640000</v>
      </c>
      <c r="D25" s="795" t="s">
        <v>3005</v>
      </c>
      <c r="E25" s="744"/>
      <c r="F25" s="782"/>
      <c r="G25" s="744" t="s">
        <v>3006</v>
      </c>
      <c r="H25" s="744"/>
      <c r="I25" s="744"/>
      <c r="K25" s="794"/>
      <c r="L25" s="782"/>
      <c r="M25" s="784"/>
    </row>
    <row r="26" spans="1:13" ht="15">
      <c r="A26" s="744"/>
      <c r="B26" s="793"/>
      <c r="C26" s="794"/>
      <c r="D26" s="795"/>
      <c r="E26" s="744"/>
      <c r="F26" s="782"/>
      <c r="G26" s="744" t="s">
        <v>3007</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3008</v>
      </c>
      <c r="H28" s="744"/>
      <c r="I28" s="744"/>
      <c r="K28" s="794"/>
      <c r="L28" s="782"/>
      <c r="M28" s="744"/>
    </row>
    <row r="29" spans="1:13" ht="16.5" thickBot="1">
      <c r="A29" s="744"/>
      <c r="B29" s="797" t="s">
        <v>3009</v>
      </c>
      <c r="C29" s="798">
        <f>SUM(C25:C27)</f>
        <v>8640000</v>
      </c>
      <c r="D29" s="744"/>
      <c r="E29" s="744"/>
      <c r="F29" s="782"/>
      <c r="G29" s="744" t="s">
        <v>3010</v>
      </c>
      <c r="H29" s="744"/>
      <c r="I29" s="744"/>
      <c r="K29" s="796" t="e">
        <f>C29/K28</f>
        <v>#DIV/0!</v>
      </c>
      <c r="L29" s="782"/>
      <c r="M29" s="744"/>
    </row>
    <row r="30" spans="1:13" ht="16.5" thickTop="1">
      <c r="A30" s="747" t="s">
        <v>3011</v>
      </c>
      <c r="B30" s="797"/>
      <c r="C30" s="799">
        <f>'Part III-Sources of Funds'!$I$49+'Part III-Sources of Funds'!$I$50</f>
        <v>6817234</v>
      </c>
      <c r="D30" s="744"/>
      <c r="E30" s="744"/>
      <c r="F30" s="782"/>
      <c r="G30" s="744"/>
      <c r="H30" s="744"/>
      <c r="I30" s="744"/>
      <c r="K30" s="800"/>
      <c r="L30" s="782"/>
      <c r="M30" s="744"/>
    </row>
    <row r="31" spans="1:13" ht="15">
      <c r="A31" s="801" t="s">
        <v>3012</v>
      </c>
      <c r="B31" s="793">
        <f>'Part III-Sources of Funds'!E39</f>
        <v>0</v>
      </c>
      <c r="C31" s="794">
        <f>'Part III-Sources of Funds'!I39</f>
        <v>0</v>
      </c>
      <c r="D31" s="795"/>
      <c r="E31" s="744"/>
      <c r="F31" s="782"/>
      <c r="G31" s="744"/>
      <c r="H31" s="744"/>
      <c r="I31" s="744"/>
      <c r="K31" s="744"/>
      <c r="L31" s="782"/>
      <c r="M31" s="744"/>
    </row>
    <row r="32" spans="1:13" ht="15">
      <c r="A32" s="801" t="s">
        <v>3012</v>
      </c>
      <c r="B32" s="793">
        <f>'Part III-Sources of Funds'!E40</f>
        <v>0</v>
      </c>
      <c r="C32" s="794">
        <f>'Part III-Sources of Funds'!I40</f>
        <v>0</v>
      </c>
      <c r="D32" s="795"/>
      <c r="E32" s="744" t="s">
        <v>243</v>
      </c>
      <c r="F32" s="782"/>
      <c r="G32" s="744" t="s">
        <v>3013</v>
      </c>
      <c r="H32" s="744"/>
      <c r="I32" s="744"/>
      <c r="K32" s="794"/>
      <c r="L32" s="782"/>
      <c r="M32" s="782"/>
    </row>
    <row r="33" spans="1:13" ht="15">
      <c r="A33" s="744"/>
      <c r="B33" s="782"/>
      <c r="C33" s="802"/>
      <c r="D33" s="744"/>
      <c r="E33" s="744"/>
      <c r="F33" s="782"/>
      <c r="G33" s="1561" t="s">
        <v>3014</v>
      </c>
      <c r="H33" s="1561"/>
      <c r="I33" s="1561"/>
      <c r="K33" s="796" t="e">
        <f>$C$29/K32</f>
        <v>#DIV/0!</v>
      </c>
      <c r="L33" s="782"/>
      <c r="M33" s="803"/>
    </row>
    <row r="34" spans="1:13" ht="15.75">
      <c r="A34" s="744"/>
      <c r="B34" s="797" t="s">
        <v>3015</v>
      </c>
      <c r="C34" s="802">
        <f>SUM(C31:C32)</f>
        <v>0</v>
      </c>
      <c r="D34" s="744"/>
      <c r="E34" s="744"/>
      <c r="F34" s="744"/>
      <c r="G34" s="744"/>
      <c r="H34" s="744"/>
      <c r="I34" s="744"/>
      <c r="K34" s="782"/>
      <c r="L34" s="744"/>
      <c r="M34" s="803"/>
    </row>
    <row r="35" spans="1:13" ht="15.75">
      <c r="A35" s="744"/>
      <c r="B35" s="797"/>
      <c r="C35" s="744"/>
      <c r="D35" s="744"/>
      <c r="E35" s="744"/>
      <c r="F35" s="744"/>
      <c r="G35" s="1561" t="s">
        <v>3016</v>
      </c>
      <c r="H35" s="1561"/>
      <c r="I35" s="1561"/>
      <c r="K35" s="804" t="e">
        <f>(C36)/K25</f>
        <v>#DIV/0!</v>
      </c>
      <c r="L35" s="744"/>
      <c r="M35" s="782"/>
    </row>
    <row r="36" spans="1:13" ht="15.75">
      <c r="A36" s="744"/>
      <c r="B36" s="797" t="s">
        <v>3017</v>
      </c>
      <c r="C36" s="802">
        <f>C29+C34</f>
        <v>8640000</v>
      </c>
      <c r="D36" s="744"/>
      <c r="E36" s="744"/>
      <c r="F36" s="744"/>
      <c r="G36" s="744"/>
      <c r="H36" s="744"/>
      <c r="I36" s="744"/>
      <c r="K36" s="782"/>
      <c r="L36" s="744"/>
      <c r="M36" s="782"/>
    </row>
    <row r="37" spans="1:13" ht="15.75">
      <c r="A37" s="744"/>
      <c r="B37" s="797"/>
      <c r="C37" s="805"/>
      <c r="D37" s="744"/>
      <c r="E37" s="744"/>
      <c r="F37" s="744"/>
      <c r="G37" s="1561" t="s">
        <v>3018</v>
      </c>
      <c r="H37" s="1561"/>
      <c r="I37" s="1561"/>
      <c r="K37" s="1562" t="e">
        <f>+(C36)/K32</f>
        <v>#DIV/0!</v>
      </c>
      <c r="L37" s="744"/>
      <c r="M37" s="803"/>
    </row>
    <row r="38" spans="1:13" ht="15.75">
      <c r="A38" s="744"/>
      <c r="B38" s="797" t="s">
        <v>3019</v>
      </c>
      <c r="C38" s="806">
        <f>C36/C18</f>
        <v>0.55893019689032308</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3020</v>
      </c>
      <c r="C40" s="806">
        <f>C36/H18</f>
        <v>1.3240648791790797</v>
      </c>
      <c r="D40" s="744"/>
      <c r="E40" s="744"/>
      <c r="F40" s="747"/>
      <c r="G40" s="747" t="s">
        <v>3021</v>
      </c>
      <c r="H40" s="744"/>
      <c r="I40" s="744"/>
      <c r="K40" s="796">
        <f>C30/C18</f>
        <v>0.44101365067909776</v>
      </c>
      <c r="L40" s="744"/>
      <c r="M40" s="744"/>
    </row>
    <row r="46" spans="1:13" ht="15.75">
      <c r="A46" s="807" t="s">
        <v>3022</v>
      </c>
      <c r="B46" s="777"/>
      <c r="C46" s="777"/>
      <c r="D46" s="777"/>
      <c r="E46" s="777"/>
      <c r="F46" s="777"/>
      <c r="G46" s="777"/>
      <c r="H46" s="777"/>
      <c r="I46" s="777"/>
      <c r="J46" s="777"/>
      <c r="K46" s="777"/>
      <c r="L46" s="777"/>
      <c r="M46" s="744"/>
    </row>
    <row r="47" spans="1:13" ht="15.75">
      <c r="A47" s="807" t="str">
        <f>C8</f>
        <v>Enclave at Milledgeville</v>
      </c>
      <c r="B47" s="777"/>
      <c r="C47" s="777"/>
      <c r="D47" s="777"/>
      <c r="E47" s="777"/>
      <c r="F47" s="777"/>
      <c r="G47" s="777"/>
      <c r="H47" s="777"/>
      <c r="I47" s="777"/>
      <c r="J47" s="777"/>
      <c r="K47" s="777"/>
      <c r="L47" s="777"/>
      <c r="M47" s="744"/>
    </row>
    <row r="50" spans="1:14" s="744" customFormat="1" ht="15.75">
      <c r="A50" s="747" t="s">
        <v>3023</v>
      </c>
      <c r="C50" s="808" t="s">
        <v>3024</v>
      </c>
      <c r="E50" s="809" t="s">
        <v>3500</v>
      </c>
      <c r="F50" s="810">
        <v>0.1</v>
      </c>
      <c r="G50" s="809" t="s">
        <v>3501</v>
      </c>
      <c r="H50" s="810">
        <v>0.05</v>
      </c>
      <c r="I50" s="809" t="s">
        <v>3502</v>
      </c>
      <c r="J50" s="810">
        <v>0.03</v>
      </c>
      <c r="K50" s="4184" t="s">
        <v>3025</v>
      </c>
      <c r="L50" s="4185"/>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3026</v>
      </c>
      <c r="C52" s="813">
        <f>'Part VII-Pro Forma'!B14</f>
        <v>966504</v>
      </c>
      <c r="D52" s="813"/>
      <c r="E52" s="813">
        <f>$C$52</f>
        <v>966504</v>
      </c>
      <c r="F52" s="813"/>
      <c r="G52" s="813">
        <f>$C$52</f>
        <v>966504</v>
      </c>
      <c r="H52" s="813"/>
      <c r="I52" s="813">
        <f>$C$52</f>
        <v>966504</v>
      </c>
      <c r="J52" s="813"/>
      <c r="K52" s="813">
        <f>$C$52</f>
        <v>966504</v>
      </c>
      <c r="L52" s="814"/>
      <c r="M52" s="27"/>
      <c r="N52" s="27"/>
    </row>
    <row r="53" spans="1:14" s="744" customFormat="1" ht="18.75" customHeight="1">
      <c r="B53" s="812" t="s">
        <v>3029</v>
      </c>
      <c r="C53" s="813">
        <f>'Part VII-Pro Forma'!B15</f>
        <v>19330.080000000002</v>
      </c>
      <c r="D53" s="813"/>
      <c r="E53" s="813">
        <f>$C$53</f>
        <v>19330.080000000002</v>
      </c>
      <c r="F53" s="813"/>
      <c r="G53" s="813">
        <f>$C$53</f>
        <v>19330.080000000002</v>
      </c>
      <c r="H53" s="813"/>
      <c r="I53" s="813">
        <f>$C$53</f>
        <v>19330.080000000002</v>
      </c>
      <c r="J53" s="813"/>
      <c r="K53" s="813">
        <f>$C$53</f>
        <v>19330.080000000002</v>
      </c>
      <c r="L53" s="814"/>
      <c r="M53" s="27"/>
      <c r="N53" s="27"/>
    </row>
    <row r="54" spans="1:14" s="744" customFormat="1" ht="18.75" customHeight="1">
      <c r="B54" s="812" t="s">
        <v>3027</v>
      </c>
      <c r="C54" s="813">
        <f>'Part VII-Pro Forma'!B16</f>
        <v>-69008.385600000009</v>
      </c>
      <c r="D54" s="813"/>
      <c r="E54" s="813">
        <f>-($C$52+E53)*F50</f>
        <v>-98583.407999999996</v>
      </c>
      <c r="F54" s="815"/>
      <c r="G54" s="813">
        <f>-($C$52+G53)*0.07</f>
        <v>-69008.385600000009</v>
      </c>
      <c r="H54" s="813"/>
      <c r="I54" s="813">
        <f>-($C$52+I53)*0.07</f>
        <v>-69008.385600000009</v>
      </c>
      <c r="J54" s="813"/>
      <c r="K54" s="813">
        <f>-($C$52+K53)*L54</f>
        <v>-98583.407999999996</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916825.69439999992</v>
      </c>
      <c r="D56" s="813"/>
      <c r="E56" s="819">
        <f>SUM(E52:E55)</f>
        <v>887250.67200000002</v>
      </c>
      <c r="F56" s="813"/>
      <c r="G56" s="819">
        <f>SUM(G52:G55)</f>
        <v>916825.69439999992</v>
      </c>
      <c r="H56" s="813"/>
      <c r="I56" s="819">
        <f>SUM(I52:I55)</f>
        <v>916825.69439999992</v>
      </c>
      <c r="J56" s="813"/>
      <c r="K56" s="819">
        <f>SUM(K52:K55)</f>
        <v>887250.67200000002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116420</v>
      </c>
      <c r="D58" s="813"/>
      <c r="E58" s="813">
        <f>$C$58</f>
        <v>116420</v>
      </c>
      <c r="F58" s="813"/>
      <c r="G58" s="813">
        <f>$C$58</f>
        <v>116420</v>
      </c>
      <c r="H58" s="813"/>
      <c r="I58" s="813">
        <f>$C$58</f>
        <v>116420</v>
      </c>
      <c r="J58" s="813"/>
      <c r="K58" s="813">
        <f>$C$58</f>
        <v>116420</v>
      </c>
      <c r="L58" s="814"/>
      <c r="M58" s="27"/>
      <c r="N58" s="27"/>
    </row>
    <row r="59" spans="1:14" s="744" customFormat="1" ht="18.75" customHeight="1">
      <c r="B59" s="812" t="s">
        <v>3032</v>
      </c>
      <c r="C59" s="813">
        <f>+'Part VI-Revenues &amp; Expenses'!F239</f>
        <v>59500</v>
      </c>
      <c r="D59" s="813"/>
      <c r="E59" s="813">
        <f>$C$59</f>
        <v>59500</v>
      </c>
      <c r="F59" s="813"/>
      <c r="G59" s="813">
        <f>$C$59</f>
        <v>59500</v>
      </c>
      <c r="H59" s="813"/>
      <c r="I59" s="813">
        <f>$C$59</f>
        <v>59500</v>
      </c>
      <c r="J59" s="813"/>
      <c r="K59" s="813">
        <f>$C$59*(1+$L$59)</f>
        <v>61880</v>
      </c>
      <c r="L59" s="821">
        <v>0.04</v>
      </c>
      <c r="M59" s="27"/>
      <c r="N59" s="27"/>
    </row>
    <row r="60" spans="1:14" s="744" customFormat="1" ht="18.75" customHeight="1">
      <c r="B60" s="812" t="s">
        <v>1375</v>
      </c>
      <c r="C60" s="813">
        <f>+'Part VI-Revenues &amp; Expenses'!K236</f>
        <v>80800</v>
      </c>
      <c r="D60" s="813"/>
      <c r="E60" s="813">
        <f>$C$60</f>
        <v>80800</v>
      </c>
      <c r="F60" s="813"/>
      <c r="G60" s="813">
        <f>$C$60</f>
        <v>80800</v>
      </c>
      <c r="H60" s="813"/>
      <c r="I60" s="813">
        <f>$C$60*(1+$J$50)</f>
        <v>83224</v>
      </c>
      <c r="J60" s="815"/>
      <c r="K60" s="813">
        <f>$C$60*(1+$J$50)</f>
        <v>83224</v>
      </c>
      <c r="L60" s="816">
        <v>0.03</v>
      </c>
      <c r="M60" s="27"/>
      <c r="N60" s="27"/>
    </row>
    <row r="61" spans="1:14" s="744" customFormat="1" ht="18.75" customHeight="1">
      <c r="B61" s="812" t="s">
        <v>1376</v>
      </c>
      <c r="C61" s="813">
        <f>+'Part VI-Revenues &amp; Expenses'!P218</f>
        <v>70800</v>
      </c>
      <c r="D61" s="813"/>
      <c r="E61" s="813">
        <f>$C$61</f>
        <v>70800</v>
      </c>
      <c r="F61" s="813"/>
      <c r="G61" s="813">
        <f>$C$61*(1+H50)</f>
        <v>74340</v>
      </c>
      <c r="H61" s="815"/>
      <c r="I61" s="813">
        <f>$C$61</f>
        <v>70800</v>
      </c>
      <c r="J61" s="813"/>
      <c r="K61" s="813">
        <f>$C$61*(1+$L$61)</f>
        <v>74340</v>
      </c>
      <c r="L61" s="816">
        <v>0.05</v>
      </c>
      <c r="M61" s="27"/>
      <c r="N61" s="27"/>
    </row>
    <row r="62" spans="1:14" s="744" customFormat="1" ht="18.75" customHeight="1">
      <c r="B62" s="818" t="s">
        <v>3033</v>
      </c>
      <c r="C62" s="819">
        <f>SUM(C58:C61)</f>
        <v>327520</v>
      </c>
      <c r="D62" s="813"/>
      <c r="E62" s="819">
        <f>SUM(E58:E61)</f>
        <v>327520</v>
      </c>
      <c r="F62" s="813"/>
      <c r="G62" s="819">
        <f>SUM(G58:G61)</f>
        <v>331060</v>
      </c>
      <c r="H62" s="813"/>
      <c r="I62" s="819">
        <f>SUM(I58:I61)</f>
        <v>329944</v>
      </c>
      <c r="J62" s="813"/>
      <c r="K62" s="819">
        <f>SUM(K58:K61)</f>
        <v>335864</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3034</v>
      </c>
      <c r="C64" s="825">
        <f>C56-C62</f>
        <v>589305.69439999992</v>
      </c>
      <c r="D64" s="825"/>
      <c r="E64" s="825">
        <f>E56-E62</f>
        <v>559730.67200000002</v>
      </c>
      <c r="F64" s="825"/>
      <c r="G64" s="825">
        <f>G56-G62</f>
        <v>585765.69439999992</v>
      </c>
      <c r="H64" s="825"/>
      <c r="I64" s="825">
        <f>I56-I62</f>
        <v>586881.69439999992</v>
      </c>
      <c r="J64" s="825"/>
      <c r="K64" s="825">
        <f>K56-K62</f>
        <v>551386.67200000002</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3035</v>
      </c>
      <c r="C66" s="820">
        <f>'Part VI-Revenues &amp; Expenses'!P230</f>
        <v>26600</v>
      </c>
      <c r="D66" s="820"/>
      <c r="E66" s="820">
        <f>$C$66</f>
        <v>26600</v>
      </c>
      <c r="F66" s="820"/>
      <c r="G66" s="820">
        <f>$C$66</f>
        <v>26600</v>
      </c>
      <c r="H66" s="820"/>
      <c r="I66" s="820">
        <f>$C$66</f>
        <v>26600</v>
      </c>
      <c r="J66" s="820"/>
      <c r="K66" s="820">
        <f>$C$66</f>
        <v>26600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3036</v>
      </c>
      <c r="C68" s="820">
        <f>'Part VI-Revenues &amp; Expenses'!P221</f>
        <v>45841</v>
      </c>
      <c r="D68" s="820"/>
      <c r="E68" s="820">
        <f>$C$68</f>
        <v>45841</v>
      </c>
      <c r="F68" s="820"/>
      <c r="G68" s="820">
        <f>$C$68</f>
        <v>45841</v>
      </c>
      <c r="H68" s="820"/>
      <c r="I68" s="820">
        <f>$C$68</f>
        <v>45841</v>
      </c>
      <c r="J68" s="820"/>
      <c r="K68" s="820">
        <f>$C$68</f>
        <v>45841</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3037</v>
      </c>
      <c r="C70" s="828">
        <f>C64-C66-C68</f>
        <v>516864.69439999992</v>
      </c>
      <c r="D70" s="829"/>
      <c r="E70" s="828">
        <f>E64-E66-E68</f>
        <v>487289.67200000002</v>
      </c>
      <c r="F70" s="829"/>
      <c r="G70" s="828">
        <f>G64-G66-G68</f>
        <v>513324.69439999992</v>
      </c>
      <c r="H70" s="829"/>
      <c r="I70" s="828">
        <f>I64-I66-I68</f>
        <v>514440.69439999992</v>
      </c>
      <c r="J70" s="829"/>
      <c r="K70" s="828">
        <f>K64-K66-K68</f>
        <v>478945.67200000002</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1.2302425956508534</v>
      </c>
      <c r="D72" s="831"/>
      <c r="E72" s="1610">
        <f>-E70/E75</f>
        <v>1.1598480558070268</v>
      </c>
      <c r="F72" s="831"/>
      <c r="G72" s="1610">
        <f>-G70/G75</f>
        <v>1.2218166790893448</v>
      </c>
      <c r="H72" s="831"/>
      <c r="I72" s="1610">
        <f>-I70/I75</f>
        <v>1.2244729849883966</v>
      </c>
      <c r="J72" s="831"/>
      <c r="K72" s="1610">
        <f>-K70/K75</f>
        <v>1.1399876468270189</v>
      </c>
      <c r="L72" s="832"/>
      <c r="M72" s="273"/>
      <c r="N72" s="273"/>
    </row>
    <row r="73" spans="1:14" s="744" customFormat="1" ht="18.75" customHeight="1">
      <c r="A73" s="27"/>
      <c r="B73" s="812" t="s">
        <v>3039</v>
      </c>
      <c r="C73" s="1611">
        <f>C76/C62</f>
        <v>0.29534794620441018</v>
      </c>
      <c r="D73" s="833"/>
      <c r="E73" s="1611">
        <f>E76/E62</f>
        <v>0.20504804879356536</v>
      </c>
      <c r="F73" s="833"/>
      <c r="G73" s="1611">
        <f>G76/G62</f>
        <v>0.2814968867905166</v>
      </c>
      <c r="H73" s="833"/>
      <c r="I73" s="1611">
        <f>I76/I62</f>
        <v>0.28583141181797039</v>
      </c>
      <c r="J73" s="833"/>
      <c r="K73" s="1611">
        <f>K76/K62</f>
        <v>0.17511057136480399</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-420132.3350591315</v>
      </c>
      <c r="D75" s="813"/>
      <c r="E75" s="813">
        <f>$C$75</f>
        <v>-420132.3350591315</v>
      </c>
      <c r="F75" s="813"/>
      <c r="G75" s="813">
        <f>$C$75</f>
        <v>-420132.3350591315</v>
      </c>
      <c r="H75" s="813"/>
      <c r="I75" s="813">
        <f>$C$75</f>
        <v>-420132.3350591315</v>
      </c>
      <c r="J75" s="813"/>
      <c r="K75" s="813">
        <f>$C$75</f>
        <v>-420132.3350591315</v>
      </c>
      <c r="L75" s="33"/>
      <c r="M75" s="27"/>
      <c r="N75" s="27"/>
    </row>
    <row r="76" spans="1:14" s="744" customFormat="1" ht="18.75" customHeight="1">
      <c r="A76" s="27"/>
      <c r="B76" s="812" t="s">
        <v>1164</v>
      </c>
      <c r="C76" s="813">
        <f>C70+C75</f>
        <v>96732.359340868425</v>
      </c>
      <c r="D76" s="813"/>
      <c r="E76" s="813">
        <f>E70+E75</f>
        <v>67157.336940868525</v>
      </c>
      <c r="F76" s="813"/>
      <c r="G76" s="813">
        <f>G70+G75</f>
        <v>93192.359340868425</v>
      </c>
      <c r="H76" s="813"/>
      <c r="I76" s="813">
        <f>I70+I75</f>
        <v>94308.359340868425</v>
      </c>
      <c r="J76" s="813"/>
      <c r="K76" s="813">
        <f>K70+K75</f>
        <v>58813.336940868525</v>
      </c>
      <c r="L76" s="33"/>
      <c r="M76" s="27"/>
      <c r="N76" s="27"/>
    </row>
    <row r="77" spans="1:14" s="744" customFormat="1" ht="15"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3042</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2927</v>
      </c>
      <c r="B2" s="751"/>
      <c r="C2" s="751"/>
      <c r="D2" s="751"/>
      <c r="E2" s="752"/>
      <c r="F2" s="751"/>
      <c r="G2" s="751"/>
      <c r="H2" s="751"/>
      <c r="I2" s="751"/>
      <c r="J2" s="751"/>
    </row>
    <row r="3" spans="1:10" ht="15">
      <c r="A3" s="754"/>
    </row>
    <row r="4" spans="1:10" ht="15">
      <c r="A4" s="754" t="s">
        <v>2928</v>
      </c>
      <c r="D4" s="753" t="s">
        <v>2929</v>
      </c>
    </row>
    <row r="5" spans="1:10" ht="15">
      <c r="A5" s="754"/>
    </row>
    <row r="6" spans="1:10" ht="15">
      <c r="A6" s="754" t="s">
        <v>2930</v>
      </c>
      <c r="D6" s="753" t="s">
        <v>2931</v>
      </c>
    </row>
    <row r="7" spans="1:10" ht="15">
      <c r="A7" s="754"/>
    </row>
    <row r="8" spans="1:10" ht="15">
      <c r="A8" s="754" t="s">
        <v>2932</v>
      </c>
      <c r="D8" s="755" t="s">
        <v>2933</v>
      </c>
    </row>
    <row r="9" spans="1:10" ht="15">
      <c r="A9" s="754"/>
    </row>
    <row r="10" spans="1:10" ht="15">
      <c r="A10" s="754" t="s">
        <v>2934</v>
      </c>
      <c r="D10" s="755" t="s">
        <v>2935</v>
      </c>
    </row>
    <row r="11" spans="1:10" ht="15">
      <c r="A11" s="754"/>
      <c r="D11" s="2660"/>
    </row>
    <row r="12" spans="1:10" ht="15">
      <c r="A12" s="754" t="s">
        <v>2936</v>
      </c>
      <c r="D12" s="753" t="s">
        <v>617</v>
      </c>
      <c r="F12" s="2660" t="str">
        <f>Overview!$C$8</f>
        <v>Enclave at Milledgeville</v>
      </c>
    </row>
    <row r="13" spans="1:10" ht="15">
      <c r="A13" s="754"/>
      <c r="D13" s="753" t="s">
        <v>2937</v>
      </c>
      <c r="F13" s="2660" t="str">
        <f>Overview!E8</f>
        <v>2019-5</v>
      </c>
    </row>
    <row r="14" spans="1:10" ht="15">
      <c r="A14" s="754"/>
      <c r="D14" s="753" t="s">
        <v>2938</v>
      </c>
      <c r="F14" s="2660" t="str">
        <f>Overview!H8</f>
        <v>Milledgeville, Baldwin</v>
      </c>
    </row>
    <row r="15" spans="1:10" ht="15">
      <c r="A15" s="754"/>
      <c r="D15" s="753" t="s">
        <v>3302</v>
      </c>
      <c r="F15" s="4198">
        <f>Overview!$C$25</f>
        <v>8640000</v>
      </c>
      <c r="G15" s="4198"/>
      <c r="H15" s="4198"/>
    </row>
    <row r="16" spans="1:10" ht="15">
      <c r="A16" s="754"/>
      <c r="D16" s="756" t="s">
        <v>2939</v>
      </c>
      <c r="F16" s="757">
        <f>Overview!C13</f>
        <v>76</v>
      </c>
      <c r="G16" s="758" t="s">
        <v>3303</v>
      </c>
      <c r="H16" s="1559">
        <f>Overview!E13</f>
        <v>76</v>
      </c>
    </row>
    <row r="17" spans="1:18" ht="15">
      <c r="A17" s="754"/>
      <c r="D17" s="756" t="s">
        <v>2903</v>
      </c>
      <c r="F17" s="757" t="str">
        <f>Overview!C14</f>
        <v>Family</v>
      </c>
    </row>
    <row r="18" spans="1:18" ht="15">
      <c r="A18" s="754"/>
      <c r="D18" s="756" t="s">
        <v>3307</v>
      </c>
      <c r="F18" s="2660" t="str">
        <f>Overview!H15</f>
        <v>Rural</v>
      </c>
    </row>
    <row r="19" spans="1:18" ht="15">
      <c r="A19" s="754"/>
      <c r="D19" s="756" t="s">
        <v>3304</v>
      </c>
      <c r="F19" s="2660" t="str">
        <f>Overview!E16</f>
        <v>No</v>
      </c>
    </row>
    <row r="20" spans="1:18" ht="15">
      <c r="A20" s="754"/>
      <c r="D20" s="756"/>
    </row>
    <row r="21" spans="1:18" ht="15">
      <c r="A21" s="759" t="s">
        <v>2940</v>
      </c>
    </row>
    <row r="22" spans="1:18" ht="111.75" customHeight="1">
      <c r="A22" s="4187" t="s">
        <v>3498</v>
      </c>
      <c r="B22" s="4187"/>
      <c r="C22" s="4187"/>
      <c r="D22" s="4187"/>
      <c r="E22" s="4187"/>
      <c r="F22" s="4187"/>
      <c r="G22" s="4187"/>
      <c r="H22" s="4187"/>
      <c r="I22" s="4187"/>
      <c r="J22" s="4187"/>
      <c r="K22" s="4186" t="s">
        <v>5069</v>
      </c>
      <c r="L22" s="4186"/>
      <c r="M22" s="4186"/>
      <c r="N22" s="4186"/>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88"/>
      <c r="B24" s="4188"/>
      <c r="C24" s="4188"/>
      <c r="D24" s="4188"/>
      <c r="E24" s="4188"/>
      <c r="F24" s="4188"/>
      <c r="G24" s="4188"/>
      <c r="H24" s="4188"/>
      <c r="I24" s="4188"/>
      <c r="J24" s="4188"/>
    </row>
    <row r="25" spans="1:18" ht="10.5" hidden="1" customHeight="1">
      <c r="A25" s="4189"/>
      <c r="B25" s="4189"/>
      <c r="C25" s="4189"/>
      <c r="D25" s="4189"/>
      <c r="E25" s="4189"/>
      <c r="F25" s="4189"/>
      <c r="G25" s="4189"/>
      <c r="H25" s="4189"/>
      <c r="I25" s="4189"/>
      <c r="J25" s="4189"/>
    </row>
    <row r="26" spans="1:18" ht="15">
      <c r="A26" s="759" t="s">
        <v>2941</v>
      </c>
    </row>
    <row r="27" spans="1:18" ht="14.25" customHeight="1">
      <c r="A27" s="4190" t="s">
        <v>2942</v>
      </c>
      <c r="B27" s="4190"/>
      <c r="C27" s="4190"/>
      <c r="D27" s="4190"/>
      <c r="E27" s="4190"/>
      <c r="F27" s="4190"/>
      <c r="G27" s="4190"/>
      <c r="H27" s="4190"/>
      <c r="I27" s="4190"/>
      <c r="J27" s="4190"/>
    </row>
    <row r="28" spans="1:18" ht="14.25" customHeight="1">
      <c r="A28" s="4190"/>
      <c r="B28" s="4190"/>
      <c r="C28" s="4190"/>
      <c r="D28" s="4190"/>
      <c r="E28" s="4190"/>
      <c r="F28" s="4190"/>
      <c r="G28" s="4190"/>
      <c r="H28" s="4190"/>
      <c r="I28" s="4190"/>
      <c r="J28" s="4190"/>
    </row>
    <row r="29" spans="1:18" ht="6.75" customHeight="1">
      <c r="A29" s="4190"/>
      <c r="B29" s="4190"/>
      <c r="C29" s="4190"/>
      <c r="D29" s="4190"/>
      <c r="E29" s="4190"/>
      <c r="F29" s="4190"/>
      <c r="G29" s="4190"/>
      <c r="H29" s="4190"/>
      <c r="I29" s="4190"/>
      <c r="J29" s="4190"/>
    </row>
    <row r="30" spans="1:18" ht="14.25" customHeight="1">
      <c r="A30" s="4190"/>
      <c r="B30" s="4190"/>
      <c r="C30" s="4190"/>
      <c r="D30" s="4190"/>
      <c r="E30" s="4190"/>
      <c r="F30" s="4190"/>
      <c r="G30" s="4190"/>
      <c r="H30" s="4190"/>
      <c r="I30" s="4190"/>
      <c r="J30" s="4190"/>
    </row>
    <row r="31" spans="1:18" ht="14.25" customHeight="1">
      <c r="A31" s="4190"/>
      <c r="B31" s="4190"/>
      <c r="C31" s="4190"/>
      <c r="D31" s="4190"/>
      <c r="E31" s="4190"/>
      <c r="F31" s="4190"/>
      <c r="G31" s="4190"/>
      <c r="H31" s="4190"/>
      <c r="I31" s="4190"/>
      <c r="J31" s="4190"/>
    </row>
    <row r="32" spans="1:18" ht="54.75" customHeight="1">
      <c r="A32" s="4190"/>
      <c r="B32" s="4190"/>
      <c r="C32" s="4190"/>
      <c r="D32" s="4190"/>
      <c r="E32" s="4190"/>
      <c r="F32" s="4190"/>
      <c r="G32" s="4190"/>
      <c r="H32" s="4190"/>
      <c r="I32" s="4190"/>
      <c r="J32" s="4190"/>
    </row>
    <row r="33" spans="1:10" ht="0.75" hidden="1" customHeight="1">
      <c r="A33" s="4190"/>
      <c r="B33" s="4190"/>
      <c r="C33" s="4190"/>
      <c r="D33" s="4190"/>
      <c r="E33" s="4190"/>
      <c r="F33" s="4190"/>
      <c r="G33" s="4190"/>
      <c r="H33" s="4190"/>
      <c r="I33" s="4190"/>
      <c r="J33" s="4190"/>
    </row>
    <row r="34" spans="1:10" ht="3.75" hidden="1" customHeight="1">
      <c r="A34" s="4190"/>
      <c r="B34" s="4190"/>
      <c r="C34" s="4190"/>
      <c r="D34" s="4190"/>
      <c r="E34" s="4190"/>
      <c r="F34" s="4190"/>
      <c r="G34" s="4190"/>
      <c r="H34" s="4190"/>
      <c r="I34" s="4190"/>
      <c r="J34" s="4190"/>
    </row>
    <row r="35" spans="1:10" ht="5.25" customHeight="1">
      <c r="A35" s="2656"/>
      <c r="B35" s="2656"/>
      <c r="C35" s="2656"/>
      <c r="D35" s="2656"/>
      <c r="E35" s="2656"/>
      <c r="F35" s="2656"/>
      <c r="G35" s="2656"/>
      <c r="H35" s="2656"/>
      <c r="I35" s="2656"/>
      <c r="J35" s="2656"/>
    </row>
    <row r="36" spans="1:10" ht="19.5" customHeight="1">
      <c r="A36" s="4188" t="s">
        <v>2943</v>
      </c>
      <c r="B36" s="4188"/>
      <c r="C36" s="4188"/>
      <c r="D36" s="2654"/>
      <c r="E36" s="2654"/>
      <c r="F36" s="2654"/>
      <c r="G36" s="2654"/>
      <c r="H36" s="2654"/>
      <c r="I36" s="2654"/>
      <c r="J36" s="265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2654"/>
      <c r="B39" s="2654"/>
      <c r="C39" s="2654"/>
      <c r="D39" s="2654"/>
      <c r="E39" s="2654"/>
      <c r="F39" s="2654"/>
      <c r="G39" s="2654"/>
      <c r="H39" s="2654"/>
      <c r="I39" s="2654"/>
      <c r="J39" s="2654"/>
    </row>
    <row r="40" spans="1:10" ht="15">
      <c r="A40" s="759" t="s">
        <v>2944</v>
      </c>
    </row>
    <row r="41" spans="1:10" ht="135" customHeight="1">
      <c r="A41" s="4189" t="s">
        <v>5066</v>
      </c>
      <c r="B41" s="4189"/>
      <c r="C41" s="4189"/>
      <c r="D41" s="4189"/>
      <c r="E41" s="4189"/>
      <c r="F41" s="4189"/>
      <c r="G41" s="4189"/>
      <c r="H41" s="4189"/>
      <c r="I41" s="4189"/>
      <c r="J41" s="4189"/>
    </row>
    <row r="42" spans="1:10" ht="6" customHeight="1">
      <c r="A42" s="2655"/>
      <c r="B42" s="2655"/>
      <c r="C42" s="2655"/>
      <c r="D42" s="2655"/>
      <c r="E42" s="2655"/>
      <c r="F42" s="2655"/>
      <c r="G42" s="2655"/>
      <c r="H42" s="2655"/>
      <c r="I42" s="2655"/>
      <c r="J42" s="2655"/>
    </row>
    <row r="43" spans="1:10" ht="15">
      <c r="A43" s="759" t="s">
        <v>2945</v>
      </c>
    </row>
    <row r="44" spans="1:10" ht="33" customHeight="1">
      <c r="A44" s="4174" t="s">
        <v>4247</v>
      </c>
      <c r="B44" s="4176"/>
      <c r="C44" s="4176"/>
      <c r="D44" s="4176"/>
      <c r="E44" s="4176"/>
      <c r="F44" s="4176"/>
      <c r="G44" s="4176"/>
      <c r="H44" s="4176"/>
      <c r="I44" s="4176"/>
      <c r="J44" s="4174"/>
    </row>
    <row r="45" spans="1:10" ht="3" customHeight="1"/>
    <row r="46" spans="1:10" ht="72.75" customHeight="1">
      <c r="A46" s="4174" t="s">
        <v>4248</v>
      </c>
      <c r="B46" s="4174"/>
      <c r="C46" s="4174"/>
      <c r="D46" s="4174"/>
      <c r="E46" s="4174"/>
      <c r="F46" s="4174"/>
      <c r="G46" s="4174"/>
      <c r="H46" s="4174"/>
      <c r="I46" s="4174"/>
      <c r="J46" s="4174"/>
    </row>
    <row r="47" spans="1:10" ht="3" customHeight="1">
      <c r="A47" s="2654"/>
      <c r="B47" s="2654"/>
      <c r="C47" s="2654"/>
      <c r="D47" s="2654"/>
      <c r="E47" s="2654"/>
      <c r="F47" s="2654"/>
      <c r="G47" s="2654"/>
      <c r="H47" s="2654"/>
      <c r="I47" s="2654"/>
      <c r="J47" s="2654"/>
    </row>
    <row r="48" spans="1:10" ht="56.25" customHeight="1">
      <c r="A48" s="4174" t="s">
        <v>4249</v>
      </c>
      <c r="B48" s="4174"/>
      <c r="C48" s="4174"/>
      <c r="D48" s="4174"/>
      <c r="E48" s="4174"/>
      <c r="F48" s="4174"/>
      <c r="G48" s="4174"/>
      <c r="H48" s="4174"/>
      <c r="I48" s="4174"/>
      <c r="J48" s="4174"/>
    </row>
    <row r="49" spans="1:17" ht="3" customHeight="1">
      <c r="A49" s="2654"/>
      <c r="B49" s="2654"/>
      <c r="C49" s="2654"/>
      <c r="D49" s="2654"/>
      <c r="E49" s="2654"/>
      <c r="F49" s="2654"/>
      <c r="G49" s="2654"/>
      <c r="H49" s="2654"/>
      <c r="I49" s="2654"/>
      <c r="J49" s="2654"/>
    </row>
    <row r="50" spans="1:17" ht="49.5" customHeight="1">
      <c r="A50" s="4174" t="s">
        <v>4250</v>
      </c>
      <c r="B50" s="4174"/>
      <c r="C50" s="4174"/>
      <c r="D50" s="4174"/>
      <c r="E50" s="4174"/>
      <c r="F50" s="4174"/>
      <c r="G50" s="4174"/>
      <c r="H50" s="4174"/>
      <c r="I50" s="4174"/>
      <c r="J50" s="2654"/>
    </row>
    <row r="51" spans="1:17" ht="3" customHeight="1">
      <c r="A51" s="2654"/>
      <c r="B51" s="2654"/>
      <c r="C51" s="2654"/>
      <c r="D51" s="2654"/>
      <c r="E51" s="2654"/>
      <c r="F51" s="2654"/>
      <c r="G51" s="2654"/>
      <c r="H51" s="2654"/>
      <c r="I51" s="2654"/>
      <c r="J51" s="2654"/>
    </row>
    <row r="52" spans="1:17" ht="54.75" customHeight="1">
      <c r="A52" s="4203" t="s">
        <v>3312</v>
      </c>
      <c r="B52" s="4193"/>
      <c r="C52" s="4193"/>
      <c r="D52" s="4193"/>
      <c r="E52" s="4193"/>
      <c r="F52" s="4193"/>
      <c r="G52" s="4193"/>
      <c r="H52" s="4193"/>
      <c r="I52" s="4193"/>
      <c r="J52" s="2654"/>
    </row>
    <row r="53" spans="1:17" ht="3" customHeight="1">
      <c r="A53" s="2654"/>
      <c r="B53" s="2654"/>
      <c r="C53" s="2654"/>
      <c r="D53" s="2654"/>
      <c r="E53" s="2654"/>
      <c r="F53" s="2654"/>
      <c r="G53" s="2654"/>
      <c r="H53" s="2654"/>
      <c r="I53" s="2654"/>
      <c r="J53" s="2654"/>
    </row>
    <row r="54" spans="1:17" ht="62.25" customHeight="1">
      <c r="A54" s="4193" t="s">
        <v>4251</v>
      </c>
      <c r="B54" s="4193"/>
      <c r="C54" s="4193"/>
      <c r="D54" s="4193"/>
      <c r="E54" s="4193"/>
      <c r="F54" s="4193"/>
      <c r="G54" s="4193"/>
      <c r="H54" s="4193"/>
      <c r="I54" s="4193"/>
      <c r="J54" s="4193"/>
    </row>
    <row r="55" spans="1:17" ht="3" customHeight="1"/>
    <row r="56" spans="1:17" ht="73.5" customHeight="1">
      <c r="A56" s="4174" t="s">
        <v>4252</v>
      </c>
      <c r="B56" s="4174"/>
      <c r="C56" s="4174"/>
      <c r="D56" s="4174"/>
      <c r="E56" s="4174"/>
      <c r="F56" s="4174"/>
      <c r="G56" s="4174"/>
      <c r="H56" s="4174"/>
      <c r="I56" s="4174"/>
      <c r="J56" s="4174"/>
    </row>
    <row r="57" spans="1:17" ht="6" customHeight="1">
      <c r="A57" s="2654" t="s">
        <v>243</v>
      </c>
      <c r="B57" s="2654"/>
      <c r="C57" s="2654"/>
      <c r="D57" s="2654"/>
      <c r="E57" s="2654"/>
      <c r="F57" s="2654"/>
      <c r="G57" s="2654"/>
      <c r="H57" s="2654"/>
      <c r="I57" s="2654"/>
      <c r="J57" s="2654"/>
    </row>
    <row r="58" spans="1:17" ht="15">
      <c r="A58" s="759" t="s">
        <v>2948</v>
      </c>
      <c r="L58" s="760" t="s">
        <v>3490</v>
      </c>
    </row>
    <row r="59" spans="1:17" ht="73.5" customHeight="1">
      <c r="A59" s="4187" t="s">
        <v>2949</v>
      </c>
      <c r="B59" s="4187"/>
      <c r="C59" s="4187"/>
      <c r="D59" s="4187"/>
      <c r="E59" s="4187"/>
      <c r="F59" s="4187"/>
      <c r="G59" s="4187"/>
      <c r="H59" s="4187"/>
      <c r="I59" s="4187"/>
      <c r="J59" s="4187"/>
      <c r="L59" s="761">
        <f>'Closing term sheet'!C133</f>
        <v>949600</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3" t="s">
        <v>3389</v>
      </c>
      <c r="B61" s="4193"/>
      <c r="C61" s="4193"/>
      <c r="D61" s="4193"/>
      <c r="E61" s="4193"/>
      <c r="F61" s="4193"/>
      <c r="G61" s="4193"/>
      <c r="H61" s="4193"/>
      <c r="I61" s="4193"/>
      <c r="J61" s="766"/>
      <c r="L61" s="767">
        <f>'Part III-Sources of Funds'!I49</f>
        <v>3998000</v>
      </c>
      <c r="M61" s="768">
        <f>'Part IV-A-Uses of Funds'!$J$175</f>
        <v>512639</v>
      </c>
      <c r="N61" s="769">
        <f>'Part IV-A-Uses of Funds'!N168</f>
        <v>0.78</v>
      </c>
      <c r="O61" s="767">
        <f>'Part III-Sources of Funds'!I50</f>
        <v>2819234</v>
      </c>
      <c r="P61" s="768">
        <f>M61</f>
        <v>512639</v>
      </c>
      <c r="Q61" s="769">
        <f>'Part IV-A-Uses of Funds'!Q168</f>
        <v>0.55000000000000004</v>
      </c>
    </row>
    <row r="62" spans="1:17" ht="18.75" customHeight="1">
      <c r="A62" s="770" t="s">
        <v>2950</v>
      </c>
    </row>
    <row r="63" spans="1:17" ht="159.75" customHeight="1">
      <c r="A63" s="4193" t="s">
        <v>4253</v>
      </c>
      <c r="B63" s="4193"/>
      <c r="C63" s="4193"/>
      <c r="D63" s="4193"/>
      <c r="E63" s="4193"/>
      <c r="F63" s="4193"/>
      <c r="G63" s="4193"/>
      <c r="H63" s="4193"/>
      <c r="I63" s="4193"/>
      <c r="J63" s="4193"/>
      <c r="L63" s="771">
        <f>'Part VII-Pro Forma'!K71</f>
        <v>4944870.0775969625</v>
      </c>
      <c r="M63" s="4191" t="s">
        <v>3497</v>
      </c>
      <c r="N63" s="4192"/>
    </row>
    <row r="64" spans="1:17" ht="6" customHeight="1">
      <c r="A64" s="759"/>
    </row>
    <row r="65" spans="1:10" ht="15">
      <c r="A65" s="759" t="s">
        <v>2951</v>
      </c>
    </row>
    <row r="66" spans="1:10" ht="66.75" customHeight="1">
      <c r="A66" s="4193" t="s">
        <v>2952</v>
      </c>
      <c r="B66" s="4193"/>
      <c r="C66" s="4193"/>
      <c r="D66" s="4193"/>
      <c r="E66" s="4193"/>
      <c r="F66" s="4193"/>
      <c r="G66" s="4193"/>
      <c r="H66" s="4193"/>
      <c r="I66" s="4193"/>
      <c r="J66" s="4193"/>
    </row>
    <row r="67" spans="1:10" ht="36" customHeight="1">
      <c r="A67" s="4193" t="s">
        <v>2953</v>
      </c>
      <c r="B67" s="4193"/>
      <c r="C67" s="4193"/>
      <c r="D67" s="4193"/>
      <c r="E67" s="4193"/>
      <c r="F67" s="4193"/>
      <c r="G67" s="4193"/>
      <c r="H67" s="4193"/>
      <c r="I67" s="4193"/>
      <c r="J67" s="4193"/>
    </row>
    <row r="68" spans="1:10" ht="6" customHeight="1">
      <c r="A68" s="759"/>
    </row>
    <row r="69" spans="1:10" ht="15">
      <c r="A69" s="759" t="s">
        <v>2954</v>
      </c>
    </row>
    <row r="70" spans="1:10" ht="105.75" customHeight="1">
      <c r="A70" s="4174" t="s">
        <v>2955</v>
      </c>
      <c r="B70" s="4174"/>
      <c r="C70" s="4174"/>
      <c r="D70" s="4174"/>
      <c r="E70" s="4174"/>
      <c r="F70" s="4174"/>
      <c r="G70" s="4174"/>
      <c r="H70" s="4174"/>
      <c r="I70" s="4174"/>
      <c r="J70" s="4174"/>
    </row>
    <row r="71" spans="1:10" ht="6" customHeight="1">
      <c r="A71" s="759"/>
    </row>
    <row r="72" spans="1:10" ht="15">
      <c r="A72" s="759" t="s">
        <v>2956</v>
      </c>
    </row>
    <row r="73" spans="1:10" ht="66" customHeight="1">
      <c r="A73" s="4174" t="s">
        <v>2957</v>
      </c>
      <c r="B73" s="4174"/>
      <c r="C73" s="4174"/>
      <c r="D73" s="4174"/>
      <c r="E73" s="4174"/>
      <c r="F73" s="4174"/>
      <c r="G73" s="4174"/>
      <c r="H73" s="4174"/>
      <c r="I73" s="4174"/>
      <c r="J73" s="4174"/>
    </row>
    <row r="74" spans="1:10" s="2656" customFormat="1" ht="6" customHeight="1">
      <c r="A74" s="4174"/>
      <c r="B74" s="4174"/>
      <c r="C74" s="4174"/>
      <c r="D74" s="4174"/>
      <c r="E74" s="4174"/>
      <c r="F74" s="4174"/>
      <c r="G74" s="4174"/>
      <c r="H74" s="4174"/>
      <c r="I74" s="4174"/>
      <c r="J74" s="4174"/>
    </row>
    <row r="75" spans="1:10" ht="16.5" customHeight="1">
      <c r="A75" s="2658" t="s">
        <v>2958</v>
      </c>
      <c r="B75" s="758"/>
      <c r="C75" s="758"/>
      <c r="D75" s="2660"/>
      <c r="E75" s="758"/>
      <c r="F75" s="758"/>
      <c r="G75" s="758"/>
      <c r="H75" s="758"/>
      <c r="I75" s="758"/>
      <c r="J75" s="772"/>
    </row>
    <row r="76" spans="1:10" s="2656" customFormat="1" ht="63" customHeight="1">
      <c r="A76" s="4174" t="s">
        <v>4464</v>
      </c>
      <c r="B76" s="4174"/>
      <c r="C76" s="4174"/>
      <c r="D76" s="4174"/>
      <c r="E76" s="4174"/>
      <c r="F76" s="4174"/>
      <c r="G76" s="4174"/>
      <c r="H76" s="4174"/>
      <c r="I76" s="4174"/>
      <c r="J76" s="4174"/>
    </row>
    <row r="77" spans="1:10" s="2656" customFormat="1" ht="6" customHeight="1">
      <c r="A77" s="2654"/>
      <c r="B77" s="2654"/>
      <c r="C77" s="2654"/>
      <c r="D77" s="2654"/>
      <c r="E77" s="2654"/>
      <c r="F77" s="2654"/>
      <c r="G77" s="2654"/>
      <c r="H77" s="2654"/>
      <c r="I77" s="2654"/>
      <c r="J77" s="2654"/>
    </row>
    <row r="78" spans="1:10" ht="16.5" customHeight="1">
      <c r="A78" s="4195" t="s">
        <v>2959</v>
      </c>
      <c r="B78" s="4196"/>
      <c r="C78" s="4196"/>
      <c r="D78" s="758"/>
      <c r="E78" s="758"/>
      <c r="F78" s="758"/>
      <c r="G78" s="758"/>
      <c r="H78" s="758"/>
      <c r="I78" s="758"/>
      <c r="J78" s="772"/>
    </row>
    <row r="79" spans="1:10" ht="41.25" customHeight="1">
      <c r="A79" s="4193" t="s">
        <v>4254</v>
      </c>
      <c r="B79" s="4197"/>
      <c r="C79" s="4197"/>
      <c r="D79" s="4197"/>
      <c r="E79" s="4197"/>
      <c r="F79" s="4197"/>
      <c r="G79" s="4197"/>
      <c r="H79" s="4197"/>
      <c r="I79" s="4197"/>
      <c r="J79" s="4197"/>
    </row>
    <row r="80" spans="1:10" ht="6" customHeight="1">
      <c r="A80" s="773"/>
      <c r="B80" s="758"/>
      <c r="C80" s="758"/>
      <c r="D80" s="758"/>
      <c r="E80" s="758"/>
      <c r="F80" s="758"/>
      <c r="G80" s="758"/>
      <c r="H80" s="758"/>
      <c r="I80" s="758"/>
      <c r="J80" s="772"/>
    </row>
    <row r="81" spans="1:15" ht="15">
      <c r="A81" s="759" t="s">
        <v>2960</v>
      </c>
    </row>
    <row r="82" spans="1:15" ht="139.5" customHeight="1">
      <c r="A82" s="4193" t="s">
        <v>2961</v>
      </c>
      <c r="B82" s="4193"/>
      <c r="C82" s="4193"/>
      <c r="D82" s="4193"/>
      <c r="E82" s="4193"/>
      <c r="F82" s="4193"/>
      <c r="G82" s="4193"/>
      <c r="H82" s="4193"/>
      <c r="I82" s="4193"/>
      <c r="J82" s="4193"/>
      <c r="L82" s="4186" t="s">
        <v>2962</v>
      </c>
      <c r="M82" s="4186"/>
      <c r="N82" s="4186"/>
    </row>
    <row r="83" spans="1:15" ht="6" customHeight="1">
      <c r="A83" s="2657"/>
      <c r="B83" s="2657"/>
      <c r="C83" s="2657"/>
      <c r="D83" s="2657"/>
      <c r="E83" s="2657"/>
      <c r="F83" s="2657"/>
      <c r="G83" s="2657"/>
      <c r="H83" s="2657"/>
      <c r="I83" s="2657"/>
      <c r="J83" s="2657"/>
      <c r="L83" s="2659"/>
      <c r="M83" s="2659"/>
      <c r="N83" s="2659"/>
    </row>
    <row r="84" spans="1:15" ht="17.25" customHeight="1">
      <c r="A84" s="759" t="s">
        <v>2963</v>
      </c>
    </row>
    <row r="85" spans="1:15" ht="111" customHeight="1">
      <c r="A85" s="4193" t="s">
        <v>2964</v>
      </c>
      <c r="B85" s="4193"/>
      <c r="C85" s="4193"/>
      <c r="D85" s="4193"/>
      <c r="E85" s="4193"/>
      <c r="F85" s="4193"/>
      <c r="G85" s="4193"/>
      <c r="H85" s="4193"/>
      <c r="I85" s="4193"/>
      <c r="J85" s="4193"/>
      <c r="L85" s="4186" t="s">
        <v>2965</v>
      </c>
      <c r="M85" s="4186"/>
      <c r="N85" s="774" t="e">
        <f>'After-Tax Analysis'!G66</f>
        <v>#VALUE!</v>
      </c>
      <c r="O85" s="775" t="s">
        <v>2966</v>
      </c>
    </row>
    <row r="86" spans="1:15" ht="6" customHeight="1">
      <c r="A86" s="759"/>
    </row>
    <row r="87" spans="1:15" ht="15">
      <c r="A87" s="759" t="s">
        <v>2967</v>
      </c>
    </row>
    <row r="88" spans="1:15" ht="118.5" customHeight="1">
      <c r="A88" s="4174" t="s">
        <v>2968</v>
      </c>
      <c r="B88" s="4174"/>
      <c r="C88" s="4174"/>
      <c r="D88" s="4174"/>
      <c r="E88" s="4174"/>
      <c r="F88" s="4174"/>
      <c r="G88" s="4174"/>
      <c r="H88" s="4174"/>
      <c r="I88" s="4174"/>
      <c r="J88" s="4174"/>
    </row>
    <row r="89" spans="1:15" ht="20.25" customHeight="1">
      <c r="A89" s="4176" t="s">
        <v>2969</v>
      </c>
      <c r="B89" s="4176"/>
      <c r="C89" s="4176"/>
      <c r="D89" s="4174"/>
      <c r="E89" s="2654"/>
      <c r="F89" s="2654"/>
      <c r="G89" s="2654"/>
      <c r="H89" s="2654"/>
      <c r="I89" s="2654"/>
      <c r="J89" s="2654"/>
    </row>
    <row r="90" spans="1:15" ht="109.5" customHeight="1">
      <c r="A90" s="4200" t="s">
        <v>2970</v>
      </c>
      <c r="B90" s="4201"/>
      <c r="C90" s="4201"/>
      <c r="D90" s="4201"/>
      <c r="E90" s="4201"/>
      <c r="F90" s="4201"/>
      <c r="G90" s="4201"/>
      <c r="H90" s="4201"/>
      <c r="I90" s="4201"/>
      <c r="J90" s="4201"/>
    </row>
    <row r="91" spans="1:15" ht="11.25" customHeight="1">
      <c r="A91" s="759"/>
    </row>
    <row r="92" spans="1:15" ht="15">
      <c r="A92" s="759" t="s">
        <v>2971</v>
      </c>
    </row>
    <row r="93" spans="1:15" ht="122.25" customHeight="1">
      <c r="A93" s="4187" t="s">
        <v>2972</v>
      </c>
      <c r="B93" s="4187"/>
      <c r="C93" s="4187"/>
      <c r="D93" s="4187"/>
      <c r="E93" s="4187"/>
      <c r="F93" s="4187"/>
      <c r="G93" s="4187"/>
      <c r="H93" s="4187"/>
      <c r="I93" s="4187"/>
      <c r="J93" s="4187"/>
      <c r="L93" s="1564">
        <f>'Part VII-Pro Forma'!K71</f>
        <v>4944870.0775969625</v>
      </c>
      <c r="M93" s="4194" t="s">
        <v>2973</v>
      </c>
      <c r="N93" s="4194"/>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6" t="s">
        <v>2974</v>
      </c>
      <c r="B97" s="4176"/>
      <c r="C97" s="4176"/>
      <c r="D97" s="2654"/>
      <c r="E97" s="2654"/>
      <c r="F97" s="2654"/>
      <c r="G97" s="2654"/>
      <c r="H97" s="2654"/>
      <c r="I97" s="2654"/>
      <c r="J97" s="772"/>
    </row>
    <row r="98" spans="1:10" ht="37.5" customHeight="1">
      <c r="A98" s="4193" t="s">
        <v>2975</v>
      </c>
      <c r="B98" s="4193"/>
      <c r="C98" s="4193"/>
      <c r="D98" s="4193"/>
      <c r="E98" s="4193"/>
      <c r="F98" s="4193"/>
      <c r="G98" s="4193"/>
      <c r="H98" s="4193"/>
      <c r="I98" s="4193"/>
      <c r="J98" s="4193"/>
    </row>
    <row r="99" spans="1:10" ht="6" customHeight="1">
      <c r="A99" s="759"/>
    </row>
    <row r="100" spans="1:10" ht="15">
      <c r="A100" s="759" t="s">
        <v>2976</v>
      </c>
    </row>
    <row r="101" spans="1:10" ht="43.5" customHeight="1">
      <c r="A101" s="4174" t="s">
        <v>2977</v>
      </c>
      <c r="B101" s="4174"/>
      <c r="C101" s="4174"/>
      <c r="D101" s="4174"/>
      <c r="E101" s="4174"/>
      <c r="F101" s="4174"/>
      <c r="G101" s="4174"/>
      <c r="H101" s="4174"/>
      <c r="I101" s="4174"/>
      <c r="J101" s="4174"/>
    </row>
    <row r="102" spans="1:10" ht="6" customHeight="1">
      <c r="A102" s="2654"/>
      <c r="B102" s="2654"/>
      <c r="C102" s="2654"/>
      <c r="D102" s="2654"/>
      <c r="E102" s="2654"/>
      <c r="F102" s="2654"/>
      <c r="G102" s="2654"/>
      <c r="H102" s="2654"/>
      <c r="I102" s="2654"/>
      <c r="J102" s="2654"/>
    </row>
    <row r="103" spans="1:10" ht="15">
      <c r="A103" s="759" t="s">
        <v>2978</v>
      </c>
    </row>
    <row r="105" spans="1:10">
      <c r="A105" s="4202" t="s">
        <v>2979</v>
      </c>
      <c r="B105" s="4202"/>
      <c r="C105" s="4202"/>
      <c r="D105" s="4202"/>
      <c r="E105" s="4202"/>
      <c r="F105" s="4202"/>
      <c r="G105" s="4202"/>
      <c r="H105" s="4202"/>
      <c r="I105" s="4202"/>
      <c r="J105" s="4202"/>
    </row>
    <row r="107" spans="1:10" ht="15" thickBot="1">
      <c r="A107" s="776"/>
      <c r="B107" s="753" t="s">
        <v>2980</v>
      </c>
    </row>
    <row r="110" spans="1:10" ht="15" thickBot="1">
      <c r="A110" s="776"/>
      <c r="B110" s="753" t="s">
        <v>2981</v>
      </c>
    </row>
    <row r="112" spans="1:10">
      <c r="A112" s="753" t="s">
        <v>2982</v>
      </c>
    </row>
    <row r="115" spans="1:10" ht="15" thickBot="1">
      <c r="A115" s="776"/>
      <c r="B115" s="776"/>
      <c r="C115" s="776"/>
      <c r="D115" s="776"/>
      <c r="E115" s="776"/>
      <c r="H115" s="776"/>
      <c r="I115" s="776"/>
      <c r="J115" s="776"/>
    </row>
    <row r="116" spans="1:10">
      <c r="A116" s="4199" t="s">
        <v>5070</v>
      </c>
      <c r="B116" s="4199"/>
      <c r="C116" s="4199"/>
      <c r="D116" s="4199"/>
      <c r="E116" s="4199"/>
      <c r="H116" s="4199" t="s">
        <v>2983</v>
      </c>
      <c r="I116" s="4199"/>
      <c r="J116" s="4199"/>
    </row>
    <row r="118" spans="1:10" ht="15"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3045</v>
      </c>
      <c r="B1" s="838"/>
      <c r="C1" s="753" t="str">
        <f>Overview!C8</f>
        <v>Enclave at Milledgeville</v>
      </c>
    </row>
    <row r="2" spans="1:15" ht="13.5" customHeight="1"/>
    <row r="3" spans="1:15" ht="13.5" customHeight="1">
      <c r="A3" s="754" t="s">
        <v>3046</v>
      </c>
      <c r="C3" s="753" t="s">
        <v>3047</v>
      </c>
      <c r="E3" s="839">
        <f>SUM('Part IV-A-Uses of Funds'!J149,'Part IV-A-Uses of Funds'!M149,'Part IV-A-Uses of Funds'!P149)</f>
        <v>10130887.640000001</v>
      </c>
      <c r="F3" s="2185" t="s">
        <v>3048</v>
      </c>
      <c r="H3" s="1612">
        <v>27.5</v>
      </c>
      <c r="I3" s="753" t="s">
        <v>2468</v>
      </c>
      <c r="K3" s="758" t="s">
        <v>3069</v>
      </c>
      <c r="M3" s="2185"/>
      <c r="O3" s="840"/>
    </row>
    <row r="4" spans="1:15" ht="13.5" customHeight="1">
      <c r="C4" s="753" t="s">
        <v>3555</v>
      </c>
      <c r="E4" s="839">
        <f>SUM('Part IV-A-Uses of Funds'!G85:H89)</f>
        <v>375428.64</v>
      </c>
      <c r="F4" s="2185" t="s">
        <v>4466</v>
      </c>
      <c r="H4" s="754">
        <f>'Part III-Sources of Funds'!M38</f>
        <v>35</v>
      </c>
      <c r="I4" s="753" t="s">
        <v>2468</v>
      </c>
      <c r="K4" s="841" t="s">
        <v>3313</v>
      </c>
      <c r="M4" s="2185"/>
    </row>
    <row r="5" spans="1:15" ht="13.5" customHeight="1">
      <c r="C5" s="753" t="s">
        <v>3556</v>
      </c>
      <c r="E5" s="839">
        <f>SUM('Part IV-A-Uses of Funds'!G96:H102)</f>
        <v>133063.91999999998</v>
      </c>
      <c r="F5" s="2185" t="s">
        <v>4465</v>
      </c>
      <c r="H5" s="1612">
        <v>15</v>
      </c>
      <c r="I5" s="753" t="s">
        <v>2468</v>
      </c>
      <c r="K5" s="840">
        <f>-E6</f>
        <v>-6817234</v>
      </c>
    </row>
    <row r="6" spans="1:15" ht="13.5" customHeight="1">
      <c r="C6" s="753" t="s">
        <v>3049</v>
      </c>
      <c r="E6" s="842">
        <f>'Part III-Sources of Funds'!$I$49+'Part III-Sources of Funds'!$I$50</f>
        <v>6817234</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89231.359340868425</v>
      </c>
      <c r="D9" s="847">
        <f>'Part VII-Pro Forma'!C32</f>
        <v>96027.273228868609</v>
      </c>
      <c r="E9" s="847">
        <f>'Part VII-Pro Forma'!D32</f>
        <v>102853.20939462853</v>
      </c>
      <c r="F9" s="847">
        <f>'Part VII-Pro Forma'!E32</f>
        <v>109705.94120370364</v>
      </c>
      <c r="G9" s="847">
        <f>'Part VII-Pro Forma'!F32</f>
        <v>116583.10187656037</v>
      </c>
      <c r="H9" s="847">
        <f>'Part VII-Pro Forma'!G32</f>
        <v>123482.17881730222</v>
      </c>
      <c r="I9" s="847">
        <f>'Part VII-Pro Forma'!H32</f>
        <v>130398.50774291984</v>
      </c>
      <c r="K9" s="840" t="e">
        <f>F24</f>
        <v>#VALUE!</v>
      </c>
      <c r="N9" s="848" t="s">
        <v>3055</v>
      </c>
    </row>
    <row r="10" spans="1:15" ht="13.5" customHeight="1">
      <c r="A10" s="753" t="s">
        <v>3054</v>
      </c>
      <c r="C10" s="1567">
        <f>'Part III-Sources of Funds'!I38-'Part VII-Pro Forma'!B39</f>
        <v>131846.47016895749</v>
      </c>
      <c r="D10" s="849">
        <f>'Part VII-Pro Forma'!B39-'Part VII-Pro Forma'!C39</f>
        <v>136345.37497829553</v>
      </c>
      <c r="E10" s="849">
        <f>'Part VII-Pro Forma'!C39-'Part VII-Pro Forma'!D39</f>
        <v>140997.79276722111</v>
      </c>
      <c r="F10" s="849">
        <f>'Part VII-Pro Forma'!D39-'Part VII-Pro Forma'!E39</f>
        <v>145808.96175167523</v>
      </c>
      <c r="G10" s="849">
        <f>'Part VII-Pro Forma'!E39-'Part VII-Pro Forma'!F39</f>
        <v>150784.2988875797</v>
      </c>
      <c r="H10" s="849">
        <f>'Part VII-Pro Forma'!F39-'Part VII-Pro Forma'!G39</f>
        <v>155929.40596984699</v>
      </c>
      <c r="I10" s="849">
        <f>'Part VII-Pro Forma'!G39-'Part VII-Pro Forma'!H39</f>
        <v>161250.0759395184</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3558</v>
      </c>
      <c r="B13" s="852"/>
      <c r="C13" s="1568">
        <f>'Part VII-Pro Forma'!B22</f>
        <v>-26600</v>
      </c>
      <c r="D13" s="1568">
        <f>'Part VII-Pro Forma'!C22</f>
        <v>-27398</v>
      </c>
      <c r="E13" s="1568">
        <f>'Part VII-Pro Forma'!D22</f>
        <v>-28219.94</v>
      </c>
      <c r="F13" s="1568">
        <f>'Part VII-Pro Forma'!E22</f>
        <v>-29066.538199999999</v>
      </c>
      <c r="G13" s="1568">
        <f>'Part VII-Pro Forma'!F22</f>
        <v>-29938.534345999997</v>
      </c>
      <c r="H13" s="1568">
        <f>'Part VII-Pro Forma'!G22</f>
        <v>-30836.690376379996</v>
      </c>
      <c r="I13" s="1568">
        <f>'Part VII-Pro Forma'!H22</f>
        <v>-31761.791087671398</v>
      </c>
      <c r="K13" s="840" t="e">
        <f>C44</f>
        <v>#VALUE!</v>
      </c>
      <c r="O13" s="845"/>
    </row>
    <row r="14" spans="1:15" ht="13.5" customHeight="1">
      <c r="A14" s="851" t="s">
        <v>3559</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c r="A15" s="853" t="s">
        <v>3057</v>
      </c>
      <c r="C15" s="854">
        <f t="shared" ref="C15:I15" si="0">$E$3/$H$3</f>
        <v>368395.9141818182</v>
      </c>
      <c r="D15" s="854">
        <f t="shared" si="0"/>
        <v>368395.9141818182</v>
      </c>
      <c r="E15" s="854">
        <f t="shared" si="0"/>
        <v>368395.9141818182</v>
      </c>
      <c r="F15" s="854">
        <f t="shared" si="0"/>
        <v>368395.9141818182</v>
      </c>
      <c r="G15" s="854">
        <f t="shared" si="0"/>
        <v>368395.9141818182</v>
      </c>
      <c r="H15" s="854">
        <f t="shared" si="0"/>
        <v>368395.9141818182</v>
      </c>
      <c r="I15" s="854">
        <f t="shared" si="0"/>
        <v>368395.9141818182</v>
      </c>
      <c r="K15" s="840" t="e">
        <f>E44</f>
        <v>#VALUE!</v>
      </c>
      <c r="O15" s="845"/>
    </row>
    <row r="16" spans="1:15" ht="13.5" customHeight="1">
      <c r="A16" s="853" t="s">
        <v>3059</v>
      </c>
      <c r="C16" s="854">
        <f>IF(C$8&lt;=$H$4,($E$4/$H$4),0)+IF(C$8&lt;=$H$5,($E$5/$H$5),0)</f>
        <v>19597.460571428572</v>
      </c>
      <c r="D16" s="854">
        <f t="shared" ref="D16:I16" si="1">IF(D$8&lt;=$H$4,($E$4/$H$4),0)+IF(D$8&lt;=$H$5,($E$5/$H$5),0)</f>
        <v>19597.460571428572</v>
      </c>
      <c r="E16" s="854">
        <f t="shared" si="1"/>
        <v>19597.460571428572</v>
      </c>
      <c r="F16" s="854">
        <f t="shared" si="1"/>
        <v>19597.460571428572</v>
      </c>
      <c r="G16" s="854">
        <f t="shared" si="1"/>
        <v>19597.460571428572</v>
      </c>
      <c r="H16" s="854">
        <f t="shared" si="1"/>
        <v>19597.460571428572</v>
      </c>
      <c r="I16" s="854">
        <f t="shared" si="1"/>
        <v>19597.460571428572</v>
      </c>
      <c r="K16" s="840" t="e">
        <f>F44</f>
        <v>#VALUE!</v>
      </c>
      <c r="M16" s="753" t="s">
        <v>3063</v>
      </c>
      <c r="O16" s="845">
        <f>E3</f>
        <v>10130887.640000001</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7367918.2836363642</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2762969.3563636364</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512639</v>
      </c>
      <c r="D21" s="855">
        <f t="shared" ref="D21:I21" si="5">C21</f>
        <v>512639</v>
      </c>
      <c r="E21" s="855">
        <f t="shared" si="5"/>
        <v>512639</v>
      </c>
      <c r="F21" s="855">
        <f t="shared" si="5"/>
        <v>512639</v>
      </c>
      <c r="G21" s="855">
        <f t="shared" si="5"/>
        <v>512639</v>
      </c>
      <c r="H21" s="855">
        <f t="shared" si="5"/>
        <v>512639</v>
      </c>
      <c r="I21" s="855">
        <f t="shared" si="5"/>
        <v>512639</v>
      </c>
      <c r="J21" s="753" t="s">
        <v>243</v>
      </c>
      <c r="K21" s="840" t="e">
        <f>D64</f>
        <v>#VALUE!</v>
      </c>
      <c r="O21" s="845"/>
    </row>
    <row r="22" spans="1:17" ht="13.5" customHeight="1">
      <c r="A22" s="753" t="s">
        <v>3066</v>
      </c>
      <c r="C22" s="855">
        <f>C21</f>
        <v>512639</v>
      </c>
      <c r="D22" s="855">
        <f t="shared" ref="D22:I22" si="6">D21</f>
        <v>512639</v>
      </c>
      <c r="E22" s="855">
        <f t="shared" si="6"/>
        <v>512639</v>
      </c>
      <c r="F22" s="855">
        <f t="shared" si="6"/>
        <v>512639</v>
      </c>
      <c r="G22" s="855">
        <f t="shared" si="6"/>
        <v>512639</v>
      </c>
      <c r="H22" s="855">
        <f t="shared" si="6"/>
        <v>512639</v>
      </c>
      <c r="I22" s="855">
        <f t="shared" si="6"/>
        <v>512639</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2762969.3563636364</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-2762969.3563636364</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137331.26660649222</v>
      </c>
      <c r="D29" s="847">
        <f>'Part VII-Pro Forma'!J32</f>
        <v>144275.46930756222</v>
      </c>
      <c r="E29" s="847">
        <f>'Part VII-Pro Forma'!K32</f>
        <v>151226.95918268641</v>
      </c>
      <c r="F29" s="847">
        <f>'Part VII-Pro Forma'!B64</f>
        <v>158184.40226894675</v>
      </c>
      <c r="G29" s="847">
        <f>'Part VII-Pro Forma'!C64</f>
        <v>165141.28033297416</v>
      </c>
      <c r="H29" s="847">
        <f>'Part VII-Pro Forma'!D64</f>
        <v>172094.88365780748</v>
      </c>
      <c r="I29" s="847">
        <f>'Part VII-Pro Forma'!E64</f>
        <v>179040.3035796464</v>
      </c>
      <c r="N29" s="858"/>
      <c r="O29" s="858"/>
    </row>
    <row r="30" spans="1:17" ht="13.5" customHeight="1">
      <c r="A30" s="753" t="s">
        <v>3054</v>
      </c>
      <c r="C30" s="849">
        <f>'Part VII-Pro Forma'!H39-'Part VII-Pro Forma'!I39</f>
        <v>166752.29940610845</v>
      </c>
      <c r="D30" s="849">
        <f>'Part VII-Pro Forma'!I39-'Part VII-Pro Forma'!J39</f>
        <v>172442.27139250375</v>
      </c>
      <c r="E30" s="849">
        <f>'Part VII-Pro Forma'!J39-'Part VII-Pro Forma'!K39</f>
        <v>178326.39831002429</v>
      </c>
      <c r="F30" s="1565">
        <f>'Part VII-Pro Forma'!K39-'Part VII-Pro Forma'!B71</f>
        <v>184411.30517147481</v>
      </c>
      <c r="G30" s="1565">
        <f>'Part VII-Pro Forma'!B71-'Part VII-Pro Forma'!C71</f>
        <v>190703.8430503374</v>
      </c>
      <c r="H30" s="1565">
        <f>'Part VII-Pro Forma'!C71-'Part VII-Pro Forma'!D71</f>
        <v>197211.0967944786</v>
      </c>
      <c r="I30" s="1565">
        <f>'Part VII-Pro Forma'!D71-'Part VII-Pro Forma'!E71</f>
        <v>203940.393003067</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-552593.87127272727</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-32714.644820301542</v>
      </c>
      <c r="D33" s="1568">
        <f>'Part VII-Pro Forma'!J22</f>
        <v>-33696.084164910586</v>
      </c>
      <c r="E33" s="1568">
        <f>'Part VII-Pro Forma'!K22</f>
        <v>-34706.966689857902</v>
      </c>
      <c r="F33" s="1568">
        <f>'Part VII-Pro Forma'!B54</f>
        <v>-35748.175690553639</v>
      </c>
      <c r="G33" s="1568">
        <f>'Part VII-Pro Forma'!C54</f>
        <v>-36820.620961270251</v>
      </c>
      <c r="H33" s="1568">
        <f>'Part VII-Pro Forma'!D54</f>
        <v>-37925.239590108351</v>
      </c>
      <c r="I33" s="1568">
        <f>'Part VII-Pro Forma'!E54</f>
        <v>-39062.996777811597</v>
      </c>
      <c r="K33" s="753" t="s">
        <v>243</v>
      </c>
      <c r="M33" s="753" t="s">
        <v>3074</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3057</v>
      </c>
      <c r="C35" s="854">
        <f t="shared" ref="C35:I35" si="8">$E$3/$H$3</f>
        <v>368395.9141818182</v>
      </c>
      <c r="D35" s="854">
        <f t="shared" si="8"/>
        <v>368395.9141818182</v>
      </c>
      <c r="E35" s="854">
        <f t="shared" si="8"/>
        <v>368395.9141818182</v>
      </c>
      <c r="F35" s="854">
        <f t="shared" si="8"/>
        <v>368395.9141818182</v>
      </c>
      <c r="G35" s="854">
        <f t="shared" si="8"/>
        <v>368395.9141818182</v>
      </c>
      <c r="H35" s="854">
        <f t="shared" si="8"/>
        <v>368395.9141818182</v>
      </c>
      <c r="I35" s="854">
        <f t="shared" si="8"/>
        <v>368395.9141818182</v>
      </c>
    </row>
    <row r="36" spans="1:15" ht="13.5" customHeight="1">
      <c r="A36" s="853" t="s">
        <v>3059</v>
      </c>
      <c r="C36" s="847">
        <f>IF(C$28&lt;=$H$4,($E$4/$H$4),0)+IF(C$28&lt;=$H$5,($E$5/$H$5),0)</f>
        <v>19597.460571428572</v>
      </c>
      <c r="D36" s="847">
        <f t="shared" ref="D36:I36" si="9">IF(D$28&lt;=$H$4,($E$4/$H$4),0)+IF(D$28&lt;=$H$5,($E$5/$H$5),0)</f>
        <v>19597.460571428572</v>
      </c>
      <c r="E36" s="847">
        <f t="shared" si="9"/>
        <v>19597.460571428572</v>
      </c>
      <c r="F36" s="847">
        <f t="shared" si="9"/>
        <v>19597.460571428572</v>
      </c>
      <c r="G36" s="847">
        <f t="shared" si="9"/>
        <v>19597.460571428572</v>
      </c>
      <c r="H36" s="847">
        <f t="shared" si="9"/>
        <v>19597.460571428572</v>
      </c>
      <c r="I36" s="847">
        <f t="shared" si="9"/>
        <v>19597.460571428572</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512639</v>
      </c>
      <c r="D41" s="855">
        <f>C41</f>
        <v>512639</v>
      </c>
      <c r="E41" s="855">
        <f>D41</f>
        <v>512639</v>
      </c>
      <c r="F41" s="855">
        <v>0</v>
      </c>
      <c r="G41" s="855">
        <v>0</v>
      </c>
      <c r="H41" s="855">
        <v>0</v>
      </c>
      <c r="I41" s="855">
        <v>0</v>
      </c>
    </row>
    <row r="42" spans="1:15" ht="13.5" customHeight="1">
      <c r="A42" s="753" t="s">
        <v>3066</v>
      </c>
      <c r="C42" s="855">
        <f>C22</f>
        <v>512639</v>
      </c>
      <c r="D42" s="855">
        <f>C42</f>
        <v>512639</v>
      </c>
      <c r="E42" s="855">
        <f>D42</f>
        <v>512639</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185973.42476634751</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210899.30827568937</v>
      </c>
      <c r="D50" s="1566">
        <f>'Part VII-Pro Forma'!F71-'Part VII-Pro Forma'!G71</f>
        <v>218095.67774293385</v>
      </c>
      <c r="E50" s="1566">
        <f>'Part VII-Pro Forma'!G71-'Part VII-Pro Forma'!H71</f>
        <v>225537.60388806649</v>
      </c>
      <c r="F50" s="1566">
        <f>'Part VII-Pro Forma'!H71-'Part VII-Pro Forma'!I71</f>
        <v>233233.46566971764</v>
      </c>
      <c r="G50" s="1566">
        <f>'Part VII-Pro Forma'!I71-'Part VII-Pro Forma'!J71</f>
        <v>241191.92795585841</v>
      </c>
      <c r="H50" s="1566">
        <f>'Part VII-Pro Forma'!J71-'Part VII-Pro Forma'!K71</f>
        <v>249421.95127968304</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-40234.886681145952</v>
      </c>
      <c r="D53" s="1568">
        <f>'Part VII-Pro Forma'!G54</f>
        <v>-41441.933281580335</v>
      </c>
      <c r="E53" s="1568">
        <f>'Part VII-Pro Forma'!H54</f>
        <v>-42685.191280027735</v>
      </c>
      <c r="F53" s="1568">
        <f>'Part VII-Pro Forma'!I54</f>
        <v>-43965.74701842857</v>
      </c>
      <c r="G53" s="1568">
        <f>'Part VII-Pro Forma'!J54</f>
        <v>-45284.719428981429</v>
      </c>
      <c r="H53" s="1568">
        <f>'Part VII-Pro Forma'!K54</f>
        <v>-46643.261011850867</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368395.9141818182</v>
      </c>
      <c r="D55" s="854">
        <f t="shared" si="14"/>
        <v>368395.9141818182</v>
      </c>
      <c r="E55" s="854">
        <f t="shared" si="14"/>
        <v>368395.9141818182</v>
      </c>
      <c r="F55" s="854">
        <f t="shared" si="14"/>
        <v>368395.9141818182</v>
      </c>
      <c r="G55" s="854">
        <f t="shared" si="14"/>
        <v>368395.9141818182</v>
      </c>
      <c r="H55" s="854">
        <f t="shared" si="14"/>
        <v>368395.9141818182</v>
      </c>
    </row>
    <row r="56" spans="1:10" ht="13.5" customHeight="1">
      <c r="A56" s="853" t="s">
        <v>3059</v>
      </c>
      <c r="C56" s="847">
        <f t="shared" ref="C56:H56" si="15">IF(C$48&lt;=$H$4,($E$4/$H$4),0)+IF(C$48&lt;=$H$5,($E$5/$H$5),0)</f>
        <v>19597.460571428572</v>
      </c>
      <c r="D56" s="847">
        <f t="shared" si="15"/>
        <v>10726.532571428572</v>
      </c>
      <c r="E56" s="847">
        <f t="shared" si="15"/>
        <v>10726.532571428572</v>
      </c>
      <c r="F56" s="847">
        <f t="shared" si="15"/>
        <v>10726.532571428572</v>
      </c>
      <c r="G56" s="847">
        <f t="shared" si="15"/>
        <v>10726.532571428572</v>
      </c>
      <c r="H56" s="847">
        <f t="shared" si="15"/>
        <v>10726.532571428572</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3075</v>
      </c>
      <c r="G66" s="4204" t="e">
        <f>IRR(K5:K25)</f>
        <v>#VALUE!</v>
      </c>
      <c r="H66" s="4205"/>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80" zoomScaleNormal="100" workbookViewId="0">
      <selection activeCell="A193" sqref="A193:L19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5" t="str">
        <f>CONCATENATE("PART ONE - PROJECT INFORMATION"," - ",$O$6," ",$F$34,", ",'Part I-Project Information'!F38,", ",'Part I-Project Information'!J39," County")</f>
        <v>PART ONE - PROJECT INFORMATION - 2019-5 Enclave at Milledgeville, Milledgeville, Baldwin County</v>
      </c>
      <c r="B1" s="2926"/>
      <c r="C1" s="2926"/>
      <c r="D1" s="2926"/>
      <c r="E1" s="2926"/>
      <c r="F1" s="2926"/>
      <c r="G1" s="2926"/>
      <c r="H1" s="2926"/>
      <c r="I1" s="2926"/>
      <c r="J1" s="2926"/>
      <c r="K1" s="2926"/>
      <c r="L1" s="2926"/>
      <c r="M1" s="2926"/>
      <c r="N1" s="2926"/>
      <c r="O1" s="2926"/>
      <c r="P1" s="2927"/>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9" t="s">
        <v>4462</v>
      </c>
      <c r="B3" s="2939"/>
      <c r="C3" s="2939"/>
      <c r="D3" s="2939"/>
      <c r="E3" s="2939"/>
      <c r="F3" s="2939"/>
      <c r="G3" s="2939"/>
      <c r="H3" s="2939"/>
      <c r="I3" s="2939"/>
      <c r="J3" s="2939"/>
      <c r="K3" s="2939"/>
      <c r="L3" s="2939"/>
      <c r="M3" s="2939"/>
      <c r="N3" s="2939"/>
      <c r="O3" s="2939"/>
      <c r="P3" s="293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4871</v>
      </c>
      <c r="L5" s="1001"/>
      <c r="P5" s="1306" t="s">
        <v>5208</v>
      </c>
    </row>
    <row r="6" spans="1:16" s="325" customFormat="1" ht="12" customHeight="1" thickBot="1">
      <c r="B6" s="2940" t="s">
        <v>5209</v>
      </c>
      <c r="C6" s="2940"/>
      <c r="D6" s="2940"/>
      <c r="E6" s="1601"/>
      <c r="F6" s="328"/>
      <c r="G6" s="301" t="s">
        <v>4870</v>
      </c>
      <c r="H6" s="1243"/>
      <c r="I6" s="1243"/>
      <c r="J6" s="1243"/>
      <c r="O6" s="2928" t="s">
        <v>5212</v>
      </c>
      <c r="P6" s="2929"/>
    </row>
    <row r="7" spans="1:16" s="325" customFormat="1" ht="12" customHeight="1">
      <c r="B7" s="2940"/>
      <c r="C7" s="2940"/>
      <c r="D7" s="2940"/>
      <c r="E7" s="1601"/>
      <c r="F7" s="602"/>
      <c r="G7" s="192" t="s">
        <v>3317</v>
      </c>
      <c r="H7" s="1243"/>
      <c r="I7" s="1243"/>
      <c r="J7" s="1243"/>
    </row>
    <row r="8" spans="1:16" s="325" customFormat="1" ht="6" customHeight="1">
      <c r="A8" s="545"/>
      <c r="B8" s="2940"/>
      <c r="C8" s="2940"/>
      <c r="D8" s="2940"/>
      <c r="E8" s="1243"/>
      <c r="H8" s="1243"/>
      <c r="I8" s="1243"/>
      <c r="M8" s="1243"/>
    </row>
    <row r="9" spans="1:16" s="325" customFormat="1" ht="13.35" customHeight="1">
      <c r="A9" s="327" t="s">
        <v>616</v>
      </c>
      <c r="B9" s="327" t="s">
        <v>2375</v>
      </c>
      <c r="D9" s="302"/>
      <c r="E9" s="329"/>
      <c r="F9" s="330" t="s">
        <v>3799</v>
      </c>
      <c r="I9" s="2930">
        <f>'Part IV-A-Uses of Funds'!$J$175</f>
        <v>512639</v>
      </c>
      <c r="J9" s="2931"/>
      <c r="L9" s="325" t="s">
        <v>3800</v>
      </c>
      <c r="O9" s="2932">
        <f>'Part III-Sources of Funds'!$H$5</f>
        <v>0</v>
      </c>
      <c r="P9" s="2933"/>
    </row>
    <row r="10" spans="1:16" s="325" customFormat="1" ht="6" customHeight="1">
      <c r="A10" s="327"/>
      <c r="B10" s="327"/>
      <c r="D10" s="302"/>
      <c r="E10" s="329"/>
      <c r="F10" s="329"/>
      <c r="I10" s="331"/>
      <c r="N10" s="332"/>
    </row>
    <row r="11" spans="1:16" s="325" customFormat="1" ht="13.35" customHeight="1">
      <c r="A11" s="331" t="s">
        <v>740</v>
      </c>
      <c r="B11" s="327" t="s">
        <v>2040</v>
      </c>
      <c r="F11" s="2934" t="s">
        <v>5219</v>
      </c>
      <c r="G11" s="2935"/>
      <c r="H11" s="2936"/>
      <c r="I11" s="1108" t="s">
        <v>3714</v>
      </c>
      <c r="J11" s="573" t="s">
        <v>5073</v>
      </c>
      <c r="K11" s="337"/>
      <c r="L11" s="1243"/>
      <c r="O11" s="2937" t="s">
        <v>5220</v>
      </c>
      <c r="P11" s="2938"/>
    </row>
    <row r="12" spans="1:16" s="325" customFormat="1" ht="12.75" customHeight="1">
      <c r="A12" s="545"/>
      <c r="B12" s="2650"/>
      <c r="C12" s="2650"/>
      <c r="D12" s="2650"/>
      <c r="E12" s="2650"/>
      <c r="H12" s="1243"/>
      <c r="J12" s="1527" t="s">
        <v>5052</v>
      </c>
      <c r="K12" s="299"/>
      <c r="M12" s="1243"/>
      <c r="O12" s="2941" t="s">
        <v>5221</v>
      </c>
      <c r="P12" s="2942"/>
    </row>
    <row r="13" spans="1:16" s="325" customFormat="1" ht="3" customHeight="1">
      <c r="A13" s="545"/>
      <c r="B13" s="2650"/>
      <c r="C13" s="2650"/>
      <c r="D13" s="2650"/>
      <c r="E13" s="2650"/>
      <c r="H13" s="1243"/>
      <c r="J13" s="574"/>
      <c r="K13" s="299"/>
      <c r="M13" s="1243"/>
    </row>
    <row r="14" spans="1:16" s="325" customFormat="1" ht="12.75" customHeight="1">
      <c r="A14" s="545"/>
      <c r="B14" s="2650" t="s">
        <v>5053</v>
      </c>
      <c r="C14" s="2650"/>
      <c r="D14" s="2650"/>
      <c r="E14" s="2650"/>
      <c r="F14" s="342" t="s">
        <v>2992</v>
      </c>
      <c r="G14" s="2619" t="s">
        <v>5054</v>
      </c>
      <c r="N14" s="2934" t="s">
        <v>5055</v>
      </c>
      <c r="O14" s="2935"/>
      <c r="P14" s="2936"/>
    </row>
    <row r="15" spans="1:16" s="325" customFormat="1" ht="12.75" customHeight="1">
      <c r="A15" s="545"/>
      <c r="B15" s="325" t="s">
        <v>3872</v>
      </c>
      <c r="D15" s="337"/>
      <c r="F15" s="2946" t="s">
        <v>970</v>
      </c>
      <c r="G15" s="2947"/>
      <c r="H15" s="2947"/>
      <c r="I15" s="2947"/>
      <c r="J15" s="2947"/>
      <c r="K15" s="2948"/>
      <c r="L15" s="325" t="s">
        <v>5040</v>
      </c>
      <c r="O15" s="2897" t="s">
        <v>970</v>
      </c>
      <c r="P15" s="2898"/>
    </row>
    <row r="16" spans="1:16" s="325" customFormat="1" ht="12.75" customHeight="1">
      <c r="A16" s="545"/>
      <c r="B16" s="325" t="s">
        <v>3798</v>
      </c>
      <c r="F16" s="342"/>
      <c r="G16" s="325" t="s">
        <v>5041</v>
      </c>
      <c r="H16" s="1243"/>
      <c r="I16" s="192"/>
      <c r="J16" s="574"/>
      <c r="N16" s="2949"/>
      <c r="O16" s="2950"/>
      <c r="P16" s="2951"/>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3881</v>
      </c>
      <c r="F20" s="2894" t="s">
        <v>5222</v>
      </c>
      <c r="G20" s="2895"/>
      <c r="H20" s="2896"/>
      <c r="I20" s="325" t="s">
        <v>1797</v>
      </c>
      <c r="J20" s="2894" t="s">
        <v>5223</v>
      </c>
      <c r="K20" s="2895"/>
      <c r="L20" s="2896"/>
      <c r="M20" s="365" t="s">
        <v>1980</v>
      </c>
      <c r="N20" s="2897" t="s">
        <v>5224</v>
      </c>
      <c r="O20" s="2884"/>
      <c r="P20" s="2898"/>
    </row>
    <row r="21" spans="1:16" s="325" customFormat="1" ht="13.35" customHeight="1">
      <c r="B21" s="330" t="s">
        <v>1981</v>
      </c>
      <c r="F21" s="2899" t="s">
        <v>5315</v>
      </c>
      <c r="G21" s="2900"/>
      <c r="H21" s="2900"/>
      <c r="I21" s="2901"/>
      <c r="J21" s="2900"/>
      <c r="K21" s="2901"/>
      <c r="L21" s="2902"/>
      <c r="M21" s="2903" t="s">
        <v>3880</v>
      </c>
      <c r="N21" s="2904"/>
      <c r="O21" s="2904"/>
      <c r="P21" s="2904"/>
    </row>
    <row r="22" spans="1:16" s="325" customFormat="1" ht="13.35" customHeight="1">
      <c r="B22" s="330" t="s">
        <v>618</v>
      </c>
      <c r="F22" s="2899" t="s">
        <v>196</v>
      </c>
      <c r="G22" s="2900"/>
      <c r="H22" s="2905"/>
      <c r="I22" s="330" t="s">
        <v>1799</v>
      </c>
      <c r="J22" s="1315" t="s">
        <v>848</v>
      </c>
      <c r="M22" s="2903"/>
      <c r="N22" s="2903"/>
      <c r="O22" s="2903"/>
      <c r="P22" s="2903"/>
    </row>
    <row r="23" spans="1:16" s="325" customFormat="1" ht="13.35" customHeight="1">
      <c r="B23" s="1331" t="s">
        <v>2229</v>
      </c>
      <c r="F23" s="2888">
        <v>300302612</v>
      </c>
      <c r="G23" s="2889"/>
      <c r="H23" s="2890"/>
      <c r="I23" s="330" t="s">
        <v>1720</v>
      </c>
      <c r="J23" s="2891">
        <v>4704408610</v>
      </c>
      <c r="K23" s="2892"/>
      <c r="L23" s="1231" t="s">
        <v>1719</v>
      </c>
      <c r="M23" s="963"/>
      <c r="N23" s="1228" t="s">
        <v>1721</v>
      </c>
      <c r="O23" s="2893">
        <v>4042702503</v>
      </c>
      <c r="P23" s="2892"/>
    </row>
    <row r="24" spans="1:16" s="325" customFormat="1" ht="13.35" customHeight="1">
      <c r="B24" s="1331" t="s">
        <v>1984</v>
      </c>
      <c r="F24" s="2882" t="s">
        <v>5226</v>
      </c>
      <c r="G24" s="2883"/>
      <c r="H24" s="2883"/>
      <c r="I24" s="2884"/>
      <c r="J24" s="2883"/>
      <c r="K24" s="2885"/>
      <c r="N24" s="1228" t="s">
        <v>1979</v>
      </c>
      <c r="O24" s="2886">
        <v>4042702633</v>
      </c>
      <c r="P24" s="2887"/>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3881</v>
      </c>
      <c r="F26" s="2894"/>
      <c r="G26" s="2895"/>
      <c r="H26" s="2896"/>
      <c r="I26" s="325" t="s">
        <v>1797</v>
      </c>
      <c r="J26" s="2894"/>
      <c r="K26" s="2895"/>
      <c r="L26" s="2896"/>
      <c r="M26" s="365" t="s">
        <v>1980</v>
      </c>
      <c r="N26" s="2897"/>
      <c r="O26" s="2884"/>
      <c r="P26" s="2898"/>
    </row>
    <row r="27" spans="1:16" s="325" customFormat="1" ht="13.35" customHeight="1">
      <c r="B27" s="330" t="s">
        <v>1981</v>
      </c>
      <c r="F27" s="2899"/>
      <c r="G27" s="2900"/>
      <c r="H27" s="2900"/>
      <c r="I27" s="2901"/>
      <c r="J27" s="2900"/>
      <c r="K27" s="2901"/>
      <c r="L27" s="2902"/>
      <c r="M27" s="2903" t="s">
        <v>3880</v>
      </c>
      <c r="N27" s="2904"/>
      <c r="O27" s="2904"/>
      <c r="P27" s="2904"/>
    </row>
    <row r="28" spans="1:16" s="325" customFormat="1" ht="13.35" customHeight="1">
      <c r="B28" s="330" t="s">
        <v>618</v>
      </c>
      <c r="F28" s="2899"/>
      <c r="G28" s="2900"/>
      <c r="H28" s="2905"/>
      <c r="I28" s="330" t="s">
        <v>1799</v>
      </c>
      <c r="J28" s="1315"/>
      <c r="M28" s="2903"/>
      <c r="N28" s="2903"/>
      <c r="O28" s="2903"/>
      <c r="P28" s="2903"/>
    </row>
    <row r="29" spans="1:16" s="325" customFormat="1" ht="13.35" customHeight="1">
      <c r="B29" s="1414" t="s">
        <v>2229</v>
      </c>
      <c r="F29" s="2888"/>
      <c r="G29" s="2889"/>
      <c r="H29" s="2890"/>
      <c r="I29" s="330" t="s">
        <v>1720</v>
      </c>
      <c r="J29" s="2891"/>
      <c r="K29" s="2892"/>
      <c r="L29" s="1415" t="s">
        <v>1719</v>
      </c>
      <c r="M29" s="963"/>
      <c r="N29" s="1414" t="s">
        <v>1721</v>
      </c>
      <c r="O29" s="2893"/>
      <c r="P29" s="2892"/>
    </row>
    <row r="30" spans="1:16" s="325" customFormat="1" ht="13.35" customHeight="1">
      <c r="B30" s="1414" t="s">
        <v>1984</v>
      </c>
      <c r="F30" s="2882"/>
      <c r="G30" s="2883"/>
      <c r="H30" s="2883"/>
      <c r="I30" s="2884"/>
      <c r="J30" s="2883"/>
      <c r="K30" s="2885"/>
      <c r="N30" s="1414" t="s">
        <v>1979</v>
      </c>
      <c r="O30" s="2886"/>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2" t="s">
        <v>5227</v>
      </c>
      <c r="G34" s="2983"/>
      <c r="H34" s="2983"/>
      <c r="I34" s="2983"/>
      <c r="J34" s="2983"/>
      <c r="K34" s="2984"/>
      <c r="L34" s="1228" t="s">
        <v>2192</v>
      </c>
      <c r="O34" s="2894" t="s">
        <v>2992</v>
      </c>
      <c r="P34" s="2896"/>
    </row>
    <row r="35" spans="1:16" s="325" customFormat="1" ht="13.35" customHeight="1">
      <c r="A35" s="338"/>
      <c r="B35" s="325" t="s">
        <v>2698</v>
      </c>
      <c r="D35" s="339"/>
      <c r="F35" s="2943" t="s">
        <v>5228</v>
      </c>
      <c r="G35" s="2944"/>
      <c r="H35" s="2944"/>
      <c r="I35" s="2944"/>
      <c r="J35" s="2944"/>
      <c r="K35" s="2945"/>
      <c r="L35" s="325" t="s">
        <v>3682</v>
      </c>
      <c r="O35" s="2912" t="s">
        <v>970</v>
      </c>
      <c r="P35" s="2905"/>
    </row>
    <row r="36" spans="1:16" s="325" customFormat="1" ht="13.35" customHeight="1">
      <c r="A36" s="338"/>
      <c r="B36" s="325" t="s">
        <v>2733</v>
      </c>
      <c r="D36" s="339"/>
      <c r="F36" s="2912"/>
      <c r="G36" s="2900"/>
      <c r="H36" s="2900"/>
      <c r="I36" s="2901"/>
      <c r="J36" s="2900"/>
      <c r="K36" s="2905"/>
      <c r="L36" s="1228" t="s">
        <v>2050</v>
      </c>
      <c r="N36" s="963" t="s">
        <v>2992</v>
      </c>
      <c r="O36" s="1243" t="s">
        <v>3681</v>
      </c>
      <c r="P36" s="1352">
        <v>1</v>
      </c>
    </row>
    <row r="37" spans="1:16" s="325" customFormat="1" ht="13.35" customHeight="1">
      <c r="A37" s="338"/>
      <c r="B37" s="325" t="s">
        <v>3737</v>
      </c>
      <c r="D37" s="339"/>
      <c r="F37" s="325" t="s">
        <v>3716</v>
      </c>
      <c r="G37" s="2978">
        <v>33.058079999999997</v>
      </c>
      <c r="H37" s="2979"/>
      <c r="I37" s="1231" t="s">
        <v>3717</v>
      </c>
      <c r="J37" s="2978">
        <v>-83.218540000000004</v>
      </c>
      <c r="K37" s="2979"/>
      <c r="L37" s="1228" t="s">
        <v>2283</v>
      </c>
      <c r="O37" s="2921">
        <v>8.5719999999999992</v>
      </c>
      <c r="P37" s="2922"/>
    </row>
    <row r="38" spans="1:16" s="325" customFormat="1" ht="13.35" customHeight="1">
      <c r="A38" s="545"/>
      <c r="B38" s="325" t="s">
        <v>618</v>
      </c>
      <c r="F38" s="2894" t="s">
        <v>529</v>
      </c>
      <c r="G38" s="2923"/>
      <c r="H38" s="2924"/>
      <c r="I38" s="344" t="s">
        <v>2699</v>
      </c>
      <c r="J38" s="2888">
        <v>310614053</v>
      </c>
      <c r="K38" s="2890"/>
      <c r="L38" s="421" t="str">
        <f>IF(AND(NOT(F34=""),NOT(F38="Select from list"),J38=""),"Enter Zip!","")</f>
        <v/>
      </c>
      <c r="M38" s="341" t="s">
        <v>2905</v>
      </c>
      <c r="O38" s="2980" t="s">
        <v>5229</v>
      </c>
      <c r="P38" s="2981"/>
    </row>
    <row r="39" spans="1:16" s="325" customFormat="1" ht="13.35" customHeight="1">
      <c r="A39" s="545"/>
      <c r="B39" s="1238" t="s">
        <v>3568</v>
      </c>
      <c r="D39" s="1238"/>
      <c r="F39" s="2912" t="s">
        <v>5230</v>
      </c>
      <c r="G39" s="2901"/>
      <c r="H39" s="2902"/>
      <c r="I39" s="340" t="s">
        <v>619</v>
      </c>
      <c r="J39" s="2913" t="str">
        <f>IF(F38="","",VLOOKUP(F38,'DCA Underwriting Assumptions'!$T$158:$U$786,2,FALSE))</f>
        <v>Baldwin</v>
      </c>
      <c r="K39" s="2914"/>
      <c r="M39" s="1228" t="s">
        <v>451</v>
      </c>
      <c r="N39" s="1607" t="s">
        <v>2989</v>
      </c>
      <c r="O39" s="1243" t="s">
        <v>452</v>
      </c>
      <c r="P39" s="1353" t="s">
        <v>2989</v>
      </c>
    </row>
    <row r="40" spans="1:16" s="325" customFormat="1" ht="13.35" customHeight="1">
      <c r="A40" s="545"/>
      <c r="B40" s="327"/>
      <c r="C40" s="325" t="s">
        <v>1558</v>
      </c>
      <c r="F40" s="575" t="s">
        <v>2989</v>
      </c>
      <c r="G40" s="2915" t="s">
        <v>2780</v>
      </c>
      <c r="H40" s="2916"/>
      <c r="I40" s="582" t="str">
        <f>IF($J$39="","",IF(VLOOKUP($J$39,'DCA Underwriting Assumptions'!G158:M317,7,FALSE)="Rural","Yes",IF(VLOOKUP($J$39,'DCA Underwriting Assumptions'!G158:M317,7,FALSE)="Urban","No","")))</f>
        <v>Yes</v>
      </c>
      <c r="J40" s="1231" t="s">
        <v>2800</v>
      </c>
      <c r="K40" s="1231" t="str">
        <f>IF(OR(F40="Yes",I40="Yes"),"Rural","Urban")</f>
        <v>Rural</v>
      </c>
      <c r="M40" s="1228" t="s">
        <v>2610</v>
      </c>
      <c r="N40" s="484" t="str">
        <f>VLOOKUP($J$39,'DCA Underwriting Assumptions'!$G$158:$J$317,4)</f>
        <v>Non-MSA</v>
      </c>
      <c r="O40" s="2917" t="str">
        <f>IF($F$38="","",VLOOKUP($J$39,'DCA Underwriting Assumptions'!$G$158:$L$317,3,FALSE))</f>
        <v>Baldwin Co.</v>
      </c>
      <c r="P40" s="2918"/>
    </row>
    <row r="41" spans="1:16" s="325" customFormat="1" ht="6" customHeight="1">
      <c r="A41" s="545"/>
      <c r="B41" s="327"/>
      <c r="C41" s="327"/>
      <c r="I41" s="330"/>
      <c r="J41" s="1238"/>
      <c r="L41" s="1247"/>
      <c r="M41" s="1247"/>
      <c r="N41" s="1247"/>
      <c r="O41" s="1247"/>
      <c r="P41" s="1247"/>
    </row>
    <row r="42" spans="1:16" s="325" customFormat="1" ht="13.35" customHeight="1">
      <c r="A42" s="545"/>
      <c r="C42" s="325" t="s">
        <v>2742</v>
      </c>
      <c r="F42" s="2919" t="s">
        <v>2761</v>
      </c>
      <c r="G42" s="2919"/>
      <c r="H42" s="2920" t="s">
        <v>736</v>
      </c>
      <c r="I42" s="2920"/>
      <c r="J42" s="2920" t="s">
        <v>737</v>
      </c>
      <c r="K42" s="2920"/>
      <c r="L42" s="566" t="s">
        <v>4946</v>
      </c>
    </row>
    <row r="43" spans="1:16" s="325" customFormat="1" ht="13.35" customHeight="1">
      <c r="A43" s="545"/>
      <c r="B43" s="325" t="s">
        <v>2760</v>
      </c>
      <c r="D43" s="327"/>
      <c r="F43" s="2906">
        <v>10</v>
      </c>
      <c r="G43" s="2907"/>
      <c r="H43" s="2906">
        <v>25</v>
      </c>
      <c r="I43" s="2907"/>
      <c r="J43" s="2906">
        <v>145</v>
      </c>
      <c r="K43" s="2907"/>
      <c r="L43" s="562" t="s">
        <v>1283</v>
      </c>
      <c r="N43" s="2908" t="s">
        <v>1284</v>
      </c>
      <c r="O43" s="2908"/>
      <c r="P43" s="2908"/>
    </row>
    <row r="44" spans="1:16" s="325" customFormat="1" ht="12.75" customHeight="1">
      <c r="A44" s="545"/>
      <c r="B44" s="330" t="s">
        <v>738</v>
      </c>
      <c r="F44" s="2909"/>
      <c r="G44" s="2910"/>
      <c r="H44" s="2909"/>
      <c r="I44" s="2910"/>
      <c r="J44" s="2909"/>
      <c r="K44" s="2910"/>
      <c r="L44" s="562" t="s">
        <v>2759</v>
      </c>
      <c r="N44" s="2911" t="s">
        <v>2758</v>
      </c>
      <c r="O44" s="2911"/>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5" t="s">
        <v>5231</v>
      </c>
      <c r="G46" s="2956"/>
      <c r="H46" s="2956"/>
      <c r="I46" s="2957"/>
      <c r="J46" s="2956"/>
      <c r="K46" s="2958"/>
      <c r="L46" s="997" t="s">
        <v>2703</v>
      </c>
      <c r="M46" s="2897" t="s">
        <v>5232</v>
      </c>
      <c r="N46" s="2884"/>
      <c r="O46" s="2884"/>
      <c r="P46" s="2898"/>
    </row>
    <row r="47" spans="1:16" s="325" customFormat="1" ht="13.35" customHeight="1">
      <c r="A47" s="545"/>
      <c r="B47" s="325" t="s">
        <v>638</v>
      </c>
      <c r="F47" s="2959" t="s">
        <v>5233</v>
      </c>
      <c r="G47" s="2960"/>
      <c r="H47" s="2961"/>
      <c r="I47" s="1232" t="s">
        <v>1980</v>
      </c>
      <c r="J47" s="2943" t="s">
        <v>5234</v>
      </c>
      <c r="K47" s="2945"/>
      <c r="L47" s="997"/>
    </row>
    <row r="48" spans="1:16" s="325" customFormat="1" ht="13.35" customHeight="1">
      <c r="A48" s="545"/>
      <c r="B48" s="325" t="s">
        <v>1981</v>
      </c>
      <c r="F48" s="2962" t="s">
        <v>5235</v>
      </c>
      <c r="G48" s="2963"/>
      <c r="H48" s="2964"/>
      <c r="I48" s="2956"/>
      <c r="J48" s="2963"/>
      <c r="K48" s="2965"/>
      <c r="L48" s="366" t="s">
        <v>618</v>
      </c>
      <c r="M48" s="2966" t="s">
        <v>529</v>
      </c>
      <c r="N48" s="2967"/>
      <c r="O48" s="2967"/>
      <c r="P48" s="2968"/>
    </row>
    <row r="49" spans="1:19" s="325" customFormat="1" ht="13.35" customHeight="1">
      <c r="A49" s="545"/>
      <c r="B49" s="1228" t="s">
        <v>2229</v>
      </c>
      <c r="F49" s="2970">
        <v>310613376</v>
      </c>
      <c r="G49" s="2971"/>
      <c r="H49" s="1231" t="s">
        <v>1982</v>
      </c>
      <c r="I49" s="2972">
        <v>4784517105</v>
      </c>
      <c r="J49" s="2973"/>
      <c r="K49" s="2974"/>
      <c r="L49" s="330" t="s">
        <v>1800</v>
      </c>
      <c r="M49" s="2975" t="s">
        <v>5236</v>
      </c>
      <c r="N49" s="2976"/>
      <c r="O49" s="2976"/>
      <c r="P49" s="297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3673</v>
      </c>
      <c r="L54" s="325"/>
      <c r="M54" s="1065" t="s">
        <v>3672</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76</v>
      </c>
      <c r="I56" s="547" t="s">
        <v>2909</v>
      </c>
      <c r="K56" s="325" t="s">
        <v>348</v>
      </c>
      <c r="P56" s="445">
        <v>27196</v>
      </c>
      <c r="Q56" s="1243"/>
    </row>
    <row r="57" spans="1:19" s="325" customFormat="1" ht="3.6" customHeight="1">
      <c r="A57" s="545"/>
      <c r="P57" s="1238"/>
    </row>
    <row r="58" spans="1:19" s="325" customFormat="1">
      <c r="A58" s="545"/>
      <c r="B58" s="545" t="s">
        <v>1985</v>
      </c>
      <c r="C58" s="327" t="s">
        <v>2296</v>
      </c>
      <c r="H58" s="334" t="s">
        <v>2992</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76</v>
      </c>
      <c r="I61" s="738">
        <f>SUM(I62:I68)</f>
        <v>76</v>
      </c>
      <c r="J61" s="545"/>
      <c r="K61" s="335" t="s">
        <v>2772</v>
      </c>
      <c r="M61" s="1238"/>
      <c r="N61" s="1238"/>
      <c r="O61" s="1238"/>
      <c r="P61" s="2326">
        <f>SUM(P62:P68)</f>
        <v>64272</v>
      </c>
    </row>
    <row r="62" spans="1:19" s="325" customFormat="1" ht="13.35" customHeight="1">
      <c r="A62" s="545"/>
      <c r="B62" s="2321"/>
      <c r="C62" s="335"/>
      <c r="D62" s="351" t="s">
        <v>4716</v>
      </c>
      <c r="E62" s="2322"/>
      <c r="H62" s="955">
        <f>'Part VI-Revenues &amp; Expenses'!$O$56</f>
        <v>0</v>
      </c>
      <c r="I62" s="955">
        <f>'Part VI-Revenues &amp; Expenses'!$O$81</f>
        <v>0</v>
      </c>
      <c r="J62" s="545"/>
      <c r="K62" s="335"/>
      <c r="L62" s="351" t="s">
        <v>4716</v>
      </c>
      <c r="M62" s="2322"/>
      <c r="N62" s="2322"/>
      <c r="O62" s="2322"/>
      <c r="P62" s="955">
        <f>'Part VI-Revenues &amp; Expenses'!$O$145</f>
        <v>0</v>
      </c>
    </row>
    <row r="63" spans="1:19" s="325" customFormat="1" ht="13.35" customHeight="1">
      <c r="A63" s="545"/>
      <c r="B63" s="2321"/>
      <c r="C63" s="335"/>
      <c r="D63" s="351" t="s">
        <v>4717</v>
      </c>
      <c r="E63" s="2322"/>
      <c r="H63" s="2328">
        <f>'Part VI-Revenues &amp; Expenses'!$O$57</f>
        <v>0</v>
      </c>
      <c r="I63" s="2328">
        <f>'Part VI-Revenues &amp; Expenses'!$O$82</f>
        <v>0</v>
      </c>
      <c r="J63" s="545"/>
      <c r="K63" s="335"/>
      <c r="L63" s="351" t="s">
        <v>4717</v>
      </c>
      <c r="M63" s="2322"/>
      <c r="N63" s="2322"/>
      <c r="O63" s="2322"/>
      <c r="P63" s="2328">
        <f>'Part VI-Revenues &amp; Expenses'!$O$146</f>
        <v>0</v>
      </c>
    </row>
    <row r="64" spans="1:19" s="325" customFormat="1" ht="13.35" customHeight="1">
      <c r="A64" s="545"/>
      <c r="B64" s="346"/>
      <c r="D64" s="351" t="s">
        <v>4714</v>
      </c>
      <c r="E64" s="351"/>
      <c r="H64" s="2328">
        <f>'Part VI-Revenues &amp; Expenses'!$O$58</f>
        <v>76</v>
      </c>
      <c r="I64" s="2328">
        <f>'Part VI-Revenues &amp; Expenses'!$O$83</f>
        <v>76</v>
      </c>
      <c r="L64" s="351" t="s">
        <v>4714</v>
      </c>
      <c r="O64" s="2322"/>
      <c r="P64" s="2328">
        <f>'Part VI-Revenues &amp; Expenses'!$O$147</f>
        <v>64272</v>
      </c>
    </row>
    <row r="65" spans="1:16" s="325" customFormat="1" ht="13.35" customHeight="1">
      <c r="A65" s="545"/>
      <c r="D65" s="351" t="s">
        <v>4715</v>
      </c>
      <c r="E65" s="1238"/>
      <c r="H65" s="2328">
        <f>'Part VI-Revenues &amp; Expenses'!$O$59</f>
        <v>0</v>
      </c>
      <c r="I65" s="2328">
        <f>'Part VI-Revenues &amp; Expenses'!$O$84</f>
        <v>0</v>
      </c>
      <c r="L65" s="351" t="s">
        <v>4715</v>
      </c>
      <c r="O65" s="2322"/>
      <c r="P65" s="2328">
        <f>'Part VI-Revenues &amp; Expenses'!$O$148</f>
        <v>0</v>
      </c>
    </row>
    <row r="66" spans="1:16" s="325" customFormat="1" ht="13.35" customHeight="1">
      <c r="A66" s="545"/>
      <c r="D66" s="351" t="s">
        <v>4718</v>
      </c>
      <c r="E66" s="351"/>
      <c r="H66" s="2328">
        <f>'Part VI-Revenues &amp; Expenses'!$O$60</f>
        <v>0</v>
      </c>
      <c r="I66" s="2328">
        <f>'Part VI-Revenues &amp; Expenses'!$O$85</f>
        <v>0</v>
      </c>
      <c r="L66" s="351" t="s">
        <v>4718</v>
      </c>
      <c r="O66" s="2322"/>
      <c r="P66" s="2328">
        <f>'Part VI-Revenues &amp; Expenses'!$O$149</f>
        <v>0</v>
      </c>
    </row>
    <row r="67" spans="1:16" s="325" customFormat="1" ht="13.35" customHeight="1">
      <c r="A67" s="545"/>
      <c r="D67" s="351" t="s">
        <v>4719</v>
      </c>
      <c r="E67" s="351"/>
      <c r="H67" s="2328">
        <f>'Part VI-Revenues &amp; Expenses'!$O$61</f>
        <v>0</v>
      </c>
      <c r="I67" s="2328">
        <f>'Part VI-Revenues &amp; Expenses'!$O$86</f>
        <v>0</v>
      </c>
      <c r="L67" s="351" t="s">
        <v>4719</v>
      </c>
      <c r="O67" s="2322"/>
      <c r="P67" s="2328">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2"/>
      <c r="P68" s="956">
        <f>'Part VI-Revenues &amp; Expenses'!$O$151</f>
        <v>0</v>
      </c>
    </row>
    <row r="69" spans="1:16" s="325" customFormat="1" ht="13.3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c r="A70" s="545"/>
      <c r="C70" s="335" t="s">
        <v>2407</v>
      </c>
      <c r="D70" s="1238"/>
      <c r="E70" s="1238"/>
      <c r="H70" s="955">
        <f>H61+H69</f>
        <v>76</v>
      </c>
      <c r="J70" s="545"/>
      <c r="K70" s="335" t="s">
        <v>2774</v>
      </c>
      <c r="M70" s="1238"/>
      <c r="N70" s="1238"/>
      <c r="O70" s="1238"/>
      <c r="P70" s="955">
        <f>P61+P69</f>
        <v>64272</v>
      </c>
    </row>
    <row r="71" spans="1:16" s="325" customFormat="1" ht="13.35" customHeight="1">
      <c r="A71" s="545"/>
      <c r="C71" s="335" t="s">
        <v>2408</v>
      </c>
      <c r="D71" s="1238"/>
      <c r="E71" s="1238"/>
      <c r="H71" s="956">
        <f>'Part VI-Revenues &amp; Expenses'!$O$66</f>
        <v>0</v>
      </c>
      <c r="J71" s="545"/>
      <c r="K71" s="335" t="s">
        <v>2775</v>
      </c>
      <c r="M71" s="1238"/>
      <c r="N71" s="1238"/>
      <c r="O71" s="1238"/>
      <c r="P71" s="956">
        <f>'Part VI-Revenues &amp; Expenses'!$O$155</f>
        <v>0</v>
      </c>
    </row>
    <row r="72" spans="1:16" s="325" customFormat="1" ht="13.35" customHeight="1">
      <c r="A72" s="545"/>
      <c r="C72" s="335" t="s">
        <v>1793</v>
      </c>
      <c r="D72" s="1238"/>
      <c r="E72" s="1238"/>
      <c r="H72" s="350">
        <f>+H70+H71</f>
        <v>76</v>
      </c>
      <c r="J72" s="1238"/>
      <c r="K72" s="335" t="s">
        <v>1420</v>
      </c>
      <c r="M72" s="1238"/>
      <c r="N72" s="1238"/>
      <c r="O72" s="1238"/>
      <c r="P72" s="350">
        <f>+P70+P71</f>
        <v>64272</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10</v>
      </c>
      <c r="K74" s="335" t="s">
        <v>5032</v>
      </c>
      <c r="O74" s="1238"/>
      <c r="P74" s="352">
        <v>1230</v>
      </c>
    </row>
    <row r="75" spans="1:16" s="325" customFormat="1" ht="13.35" customHeight="1">
      <c r="A75" s="545"/>
      <c r="B75" s="545"/>
      <c r="D75" s="1233" t="s">
        <v>1997</v>
      </c>
      <c r="H75" s="1287">
        <v>0</v>
      </c>
      <c r="I75" s="1238"/>
      <c r="K75" s="335" t="s">
        <v>252</v>
      </c>
      <c r="O75" s="1238"/>
      <c r="P75" s="350">
        <f>+P72+P74</f>
        <v>65502</v>
      </c>
    </row>
    <row r="76" spans="1:16" s="325" customFormat="1" ht="13.35" customHeight="1">
      <c r="A76" s="545"/>
      <c r="B76" s="545"/>
      <c r="D76" s="1233" t="s">
        <v>1998</v>
      </c>
      <c r="H76" s="350">
        <f>+H74+H75</f>
        <v>10</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2842</v>
      </c>
      <c r="D78" s="1238"/>
      <c r="E78" s="1238"/>
      <c r="F78" s="1238"/>
      <c r="G78" s="1238"/>
      <c r="H78" s="352">
        <v>121</v>
      </c>
      <c r="K78" s="2969" t="s">
        <v>3855</v>
      </c>
      <c r="L78" s="2969"/>
      <c r="M78" s="2969"/>
      <c r="N78" s="2969"/>
      <c r="O78" s="2969"/>
      <c r="P78" s="2969"/>
    </row>
    <row r="79" spans="1:16" s="325" customFormat="1" ht="6" customHeight="1">
      <c r="A79" s="545"/>
      <c r="B79" s="545"/>
      <c r="C79" s="335"/>
      <c r="D79" s="1238"/>
      <c r="E79" s="1238"/>
      <c r="F79" s="1238"/>
      <c r="G79" s="1243"/>
      <c r="H79" s="1238"/>
      <c r="I79" s="335"/>
      <c r="J79" s="335"/>
      <c r="K79" s="2969"/>
      <c r="L79" s="2969"/>
      <c r="M79" s="2969"/>
      <c r="N79" s="2969"/>
      <c r="O79" s="2969"/>
      <c r="P79" s="2969"/>
    </row>
    <row r="80" spans="1:16" s="325" customFormat="1" ht="13.35" customHeight="1">
      <c r="A80" s="545" t="s">
        <v>530</v>
      </c>
      <c r="B80" s="353" t="s">
        <v>1191</v>
      </c>
      <c r="D80" s="353"/>
      <c r="E80" s="353"/>
      <c r="F80" s="1238"/>
      <c r="G80" s="1243"/>
      <c r="H80" s="580"/>
      <c r="K80" s="2969"/>
      <c r="L80" s="2969"/>
      <c r="M80" s="2969"/>
      <c r="N80" s="2969"/>
      <c r="O80" s="2969"/>
      <c r="P80" s="2969"/>
    </row>
    <row r="81" spans="1:16" s="325" customFormat="1" ht="3" customHeight="1">
      <c r="A81" s="545"/>
      <c r="C81" s="1229"/>
      <c r="D81" s="1229"/>
      <c r="E81" s="1229"/>
      <c r="F81" s="1238"/>
      <c r="G81" s="1243"/>
      <c r="K81" s="1238"/>
      <c r="P81" s="336"/>
    </row>
    <row r="82" spans="1:16" s="325" customFormat="1" ht="13.35" customHeight="1">
      <c r="A82" s="545"/>
      <c r="B82" s="545" t="s">
        <v>1983</v>
      </c>
      <c r="C82" s="299" t="s">
        <v>2691</v>
      </c>
      <c r="D82" s="1229"/>
      <c r="E82" s="1229"/>
      <c r="F82" s="1238"/>
      <c r="G82" s="1243"/>
      <c r="H82" s="2952" t="s">
        <v>2910</v>
      </c>
      <c r="I82" s="2953"/>
      <c r="K82" s="2954" t="s">
        <v>1772</v>
      </c>
      <c r="L82" s="2954"/>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6" t="s">
        <v>4965</v>
      </c>
      <c r="L84" s="354" t="s">
        <v>2910</v>
      </c>
      <c r="M84" s="1286">
        <v>76</v>
      </c>
      <c r="N84" s="354" t="s">
        <v>2911</v>
      </c>
      <c r="O84" s="1286"/>
      <c r="P84" s="2557" t="s">
        <v>4964</v>
      </c>
    </row>
    <row r="85" spans="1:16" s="325" customFormat="1" ht="13.35" customHeight="1">
      <c r="A85" s="545"/>
      <c r="B85" s="545"/>
      <c r="D85" s="1228"/>
      <c r="E85" s="1229"/>
      <c r="J85" s="2559"/>
      <c r="K85" s="3046"/>
      <c r="L85" s="339" t="s">
        <v>2912</v>
      </c>
      <c r="M85" s="1287"/>
      <c r="N85" s="339" t="s">
        <v>3876</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4</v>
      </c>
      <c r="K87" s="2954" t="s">
        <v>520</v>
      </c>
      <c r="L87" s="2954"/>
      <c r="N87" s="355">
        <f>IF('Part VI-Revenues &amp; Expenses'!$O$67=0,0,H87/'Part VI-Revenues &amp; Expenses'!$O$67)</f>
        <v>5.2631578947368418E-2</v>
      </c>
      <c r="O87" s="339" t="s">
        <v>3695</v>
      </c>
      <c r="P87" s="1078">
        <f>'DCA Underwriting Assumptions'!$Q$139</f>
        <v>0.05</v>
      </c>
    </row>
    <row r="88" spans="1:16" s="325" customFormat="1" ht="12.75" customHeight="1">
      <c r="A88" s="545"/>
      <c r="B88" s="545"/>
      <c r="D88" s="1233" t="s">
        <v>2840</v>
      </c>
      <c r="E88" s="1233"/>
      <c r="F88" s="1233" t="s">
        <v>796</v>
      </c>
      <c r="H88" s="350">
        <f>'Part VIII-Threshold Criteria'!K307</f>
        <v>2</v>
      </c>
      <c r="K88" s="1238" t="s">
        <v>2841</v>
      </c>
      <c r="L88" s="1238"/>
      <c r="N88" s="355">
        <f>IF(H87=0,0,H88/H87)</f>
        <v>0.5</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2</v>
      </c>
      <c r="K90" s="2954" t="s">
        <v>520</v>
      </c>
      <c r="L90" s="2954"/>
      <c r="N90" s="355">
        <f>IF('Part VI-Revenues &amp; Expenses'!$O$67=0,0,H90/'Part VI-Revenues &amp; Expenses'!$O$67)</f>
        <v>2.6315789473684209E-2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6" t="s">
        <v>5237</v>
      </c>
      <c r="L94" s="2998"/>
      <c r="M94" s="2997"/>
      <c r="N94" s="2556"/>
    </row>
    <row r="95" spans="1:16" s="325" customFormat="1" ht="1.5" customHeight="1">
      <c r="A95" s="545"/>
      <c r="B95" s="545"/>
      <c r="D95" s="1233"/>
      <c r="F95" s="1233"/>
      <c r="G95" s="1233"/>
      <c r="H95" s="547" t="s">
        <v>5137</v>
      </c>
      <c r="L95" s="2616"/>
      <c r="M95" s="2616"/>
    </row>
    <row r="96" spans="1:16" s="325" customFormat="1" ht="13.35" customHeight="1">
      <c r="B96" s="545" t="s">
        <v>1985</v>
      </c>
      <c r="C96" s="327" t="s">
        <v>1534</v>
      </c>
      <c r="K96" s="330" t="s">
        <v>4941</v>
      </c>
      <c r="N96" s="358"/>
      <c r="P96" s="2547" t="s">
        <v>5238</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2707</v>
      </c>
      <c r="F100" s="351" t="s">
        <v>2599</v>
      </c>
      <c r="H100" s="2492" t="s">
        <v>2992</v>
      </c>
      <c r="K100" s="2491" t="s">
        <v>3894</v>
      </c>
      <c r="P100" s="2492" t="s">
        <v>2992</v>
      </c>
    </row>
    <row r="101" spans="1:16" s="325" customFormat="1" ht="13.35" customHeight="1">
      <c r="A101" s="356"/>
      <c r="B101" s="545"/>
      <c r="C101" s="327"/>
      <c r="F101" s="2398" t="s">
        <v>3900</v>
      </c>
      <c r="H101" s="2493" t="s">
        <v>2989</v>
      </c>
      <c r="K101" s="2491" t="s">
        <v>4732</v>
      </c>
      <c r="P101" s="2493" t="s">
        <v>2992</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2708</v>
      </c>
      <c r="F103" s="1228" t="s">
        <v>2678</v>
      </c>
      <c r="H103" s="334" t="s">
        <v>2992</v>
      </c>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2782</v>
      </c>
      <c r="D105" s="1233"/>
      <c r="H105" s="2996" t="s">
        <v>5239</v>
      </c>
      <c r="I105" s="2997"/>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4" t="s">
        <v>139</v>
      </c>
      <c r="F109" s="2895"/>
      <c r="G109" s="2895"/>
      <c r="H109" s="2895"/>
      <c r="I109" s="2895"/>
      <c r="J109" s="2895"/>
      <c r="K109" s="2895"/>
      <c r="L109" s="2896"/>
      <c r="M109" s="2985" t="s">
        <v>553</v>
      </c>
      <c r="N109" s="2985"/>
      <c r="O109" s="2986">
        <v>43948</v>
      </c>
      <c r="P109" s="2987"/>
    </row>
    <row r="110" spans="1:16" s="325" customFormat="1" ht="13.35" customHeight="1">
      <c r="C110" s="330" t="s">
        <v>1021</v>
      </c>
      <c r="D110" s="339"/>
      <c r="E110" s="2899" t="s">
        <v>5317</v>
      </c>
      <c r="F110" s="2900"/>
      <c r="G110" s="2900"/>
      <c r="H110" s="2901"/>
      <c r="I110" s="2900"/>
      <c r="J110" s="2901"/>
      <c r="K110" s="2900"/>
      <c r="L110" s="2905"/>
      <c r="M110" s="2985" t="s">
        <v>808</v>
      </c>
      <c r="N110" s="2985"/>
      <c r="O110" s="2988">
        <v>2019</v>
      </c>
      <c r="P110" s="2989"/>
    </row>
    <row r="111" spans="1:16" s="325" customFormat="1" ht="13.35" customHeight="1">
      <c r="C111" s="330" t="s">
        <v>618</v>
      </c>
      <c r="E111" s="2943" t="s">
        <v>529</v>
      </c>
      <c r="F111" s="2990"/>
      <c r="G111" s="2991"/>
      <c r="H111" s="1231" t="s">
        <v>1799</v>
      </c>
      <c r="I111" s="1599" t="s">
        <v>848</v>
      </c>
      <c r="J111" s="359" t="s">
        <v>2229</v>
      </c>
      <c r="K111" s="2992">
        <v>310612740</v>
      </c>
      <c r="L111" s="2993"/>
      <c r="M111" s="302" t="s">
        <v>3663</v>
      </c>
      <c r="N111" s="302"/>
      <c r="O111" s="2994">
        <v>13000000</v>
      </c>
      <c r="P111" s="2995"/>
    </row>
    <row r="112" spans="1:16" s="325" customFormat="1" ht="13.35" customHeight="1">
      <c r="C112" s="325" t="s">
        <v>2194</v>
      </c>
      <c r="E112" s="2943" t="s">
        <v>5240</v>
      </c>
      <c r="F112" s="2990"/>
      <c r="G112" s="2991"/>
      <c r="H112" s="1124" t="s">
        <v>1980</v>
      </c>
      <c r="I112" s="3009" t="s">
        <v>5241</v>
      </c>
      <c r="J112" s="3010"/>
      <c r="K112" s="3011"/>
      <c r="L112" s="1251" t="s">
        <v>1984</v>
      </c>
      <c r="M112" s="2894" t="s">
        <v>5242</v>
      </c>
      <c r="N112" s="3012"/>
      <c r="O112" s="3013"/>
      <c r="P112" s="3014"/>
    </row>
    <row r="113" spans="1:16" s="325" customFormat="1" ht="13.35" customHeight="1">
      <c r="C113" s="330" t="s">
        <v>2193</v>
      </c>
      <c r="E113" s="2886">
        <v>4784452880</v>
      </c>
      <c r="F113" s="3015"/>
      <c r="G113" s="2887"/>
      <c r="H113" s="1124" t="s">
        <v>1802</v>
      </c>
      <c r="I113" s="2886">
        <v>4784452880</v>
      </c>
      <c r="J113" s="3016"/>
      <c r="K113" s="1231" t="s">
        <v>2703</v>
      </c>
      <c r="L113" s="2946" t="s">
        <v>5243</v>
      </c>
      <c r="M113" s="3017"/>
      <c r="N113" s="3017"/>
      <c r="O113" s="3017"/>
      <c r="P113" s="3018"/>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v>999607</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99" t="s">
        <v>5244</v>
      </c>
      <c r="D125" s="3000"/>
      <c r="E125" s="3000"/>
      <c r="F125" s="3001" t="s">
        <v>5245</v>
      </c>
      <c r="G125" s="3002"/>
      <c r="H125" s="3003"/>
      <c r="I125" s="1606" t="s">
        <v>5318</v>
      </c>
      <c r="J125" s="2999">
        <v>7</v>
      </c>
      <c r="K125" s="3000"/>
      <c r="L125" s="3000"/>
      <c r="M125" s="3001"/>
      <c r="N125" s="3002"/>
      <c r="O125" s="3003"/>
      <c r="P125" s="1606"/>
    </row>
    <row r="126" spans="1:16" s="325" customFormat="1" ht="13.35" customHeight="1">
      <c r="A126" s="545"/>
      <c r="B126" s="545"/>
      <c r="C126" s="3004">
        <v>2</v>
      </c>
      <c r="D126" s="3005"/>
      <c r="E126" s="3005"/>
      <c r="F126" s="3006"/>
      <c r="G126" s="3007"/>
      <c r="H126" s="3008"/>
      <c r="I126" s="1605"/>
      <c r="J126" s="3004">
        <v>8</v>
      </c>
      <c r="K126" s="3005"/>
      <c r="L126" s="3005"/>
      <c r="M126" s="3006"/>
      <c r="N126" s="3007"/>
      <c r="O126" s="3008"/>
      <c r="P126" s="1605"/>
    </row>
    <row r="127" spans="1:16" s="325" customFormat="1" ht="13.35" customHeight="1">
      <c r="A127" s="545"/>
      <c r="B127" s="545"/>
      <c r="C127" s="3004">
        <v>3</v>
      </c>
      <c r="D127" s="3005"/>
      <c r="E127" s="3005"/>
      <c r="F127" s="3006"/>
      <c r="G127" s="3007"/>
      <c r="H127" s="3008"/>
      <c r="I127" s="1605"/>
      <c r="J127" s="3004">
        <v>9</v>
      </c>
      <c r="K127" s="3005"/>
      <c r="L127" s="3005"/>
      <c r="M127" s="3006"/>
      <c r="N127" s="3007"/>
      <c r="O127" s="3008"/>
      <c r="P127" s="1605"/>
    </row>
    <row r="128" spans="1:16" s="325" customFormat="1" ht="13.35" customHeight="1">
      <c r="A128" s="545"/>
      <c r="B128" s="545"/>
      <c r="C128" s="3004">
        <v>4</v>
      </c>
      <c r="D128" s="3005"/>
      <c r="E128" s="3005"/>
      <c r="F128" s="3006"/>
      <c r="G128" s="3007"/>
      <c r="H128" s="3008"/>
      <c r="I128" s="1605"/>
      <c r="J128" s="3004">
        <v>10</v>
      </c>
      <c r="K128" s="3005"/>
      <c r="L128" s="3005"/>
      <c r="M128" s="3006"/>
      <c r="N128" s="3007"/>
      <c r="O128" s="3008"/>
      <c r="P128" s="1605"/>
    </row>
    <row r="129" spans="1:16" s="325" customFormat="1" ht="13.35" customHeight="1">
      <c r="A129" s="545"/>
      <c r="B129" s="545"/>
      <c r="C129" s="3004">
        <v>5</v>
      </c>
      <c r="D129" s="3005"/>
      <c r="E129" s="3005"/>
      <c r="F129" s="3006"/>
      <c r="G129" s="3007"/>
      <c r="H129" s="3008"/>
      <c r="I129" s="1605"/>
      <c r="J129" s="3004">
        <v>11</v>
      </c>
      <c r="K129" s="3005"/>
      <c r="L129" s="3005"/>
      <c r="M129" s="3006"/>
      <c r="N129" s="3007"/>
      <c r="O129" s="3008"/>
      <c r="P129" s="1605"/>
    </row>
    <row r="130" spans="1:16" s="325" customFormat="1" ht="13.35" customHeight="1">
      <c r="A130" s="545"/>
      <c r="B130" s="545"/>
      <c r="C130" s="3019">
        <v>6</v>
      </c>
      <c r="D130" s="3020"/>
      <c r="E130" s="3020"/>
      <c r="F130" s="3021"/>
      <c r="G130" s="3022"/>
      <c r="H130" s="3023"/>
      <c r="I130" s="1604"/>
      <c r="J130" s="3019">
        <v>12</v>
      </c>
      <c r="K130" s="3020"/>
      <c r="L130" s="3020"/>
      <c r="M130" s="3021"/>
      <c r="N130" s="3022"/>
      <c r="O130" s="302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4" t="s">
        <v>1847</v>
      </c>
      <c r="D132" s="3024"/>
      <c r="E132" s="3024"/>
      <c r="F132" s="3024"/>
      <c r="G132" s="3024"/>
      <c r="H132" s="3024"/>
      <c r="I132" s="3024"/>
      <c r="J132" s="3024"/>
      <c r="K132" s="3024"/>
      <c r="L132" s="3024"/>
      <c r="M132" s="3024"/>
      <c r="N132" s="3024"/>
      <c r="O132" s="3024"/>
      <c r="P132" s="3024"/>
    </row>
    <row r="133" spans="1:16" s="325" customFormat="1" ht="13.35" customHeight="1">
      <c r="A133" s="545"/>
      <c r="B133" s="545"/>
      <c r="C133" s="3024"/>
      <c r="D133" s="3024"/>
      <c r="E133" s="3024"/>
      <c r="F133" s="3024"/>
      <c r="G133" s="3024"/>
      <c r="H133" s="3024"/>
      <c r="I133" s="3024"/>
      <c r="J133" s="3024"/>
      <c r="K133" s="3024"/>
      <c r="L133" s="3024"/>
      <c r="M133" s="3024"/>
      <c r="N133" s="3024"/>
      <c r="O133" s="3024"/>
      <c r="P133" s="3024"/>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99">
        <v>1</v>
      </c>
      <c r="D135" s="3000"/>
      <c r="E135" s="3000"/>
      <c r="F135" s="3001"/>
      <c r="G135" s="3002"/>
      <c r="H135" s="3002"/>
      <c r="I135" s="3025"/>
      <c r="J135" s="2999">
        <v>7</v>
      </c>
      <c r="K135" s="3000"/>
      <c r="L135" s="3000"/>
      <c r="M135" s="3001"/>
      <c r="N135" s="3002"/>
      <c r="O135" s="3002"/>
      <c r="P135" s="3025"/>
    </row>
    <row r="136" spans="1:16" s="325" customFormat="1" ht="13.35" customHeight="1">
      <c r="A136" s="545"/>
      <c r="B136" s="545"/>
      <c r="C136" s="3004">
        <v>2</v>
      </c>
      <c r="D136" s="3005"/>
      <c r="E136" s="3005"/>
      <c r="F136" s="3006"/>
      <c r="G136" s="3007"/>
      <c r="H136" s="3007"/>
      <c r="I136" s="3026"/>
      <c r="J136" s="3004">
        <v>8</v>
      </c>
      <c r="K136" s="3005"/>
      <c r="L136" s="3005"/>
      <c r="M136" s="3006"/>
      <c r="N136" s="3007"/>
      <c r="O136" s="3007"/>
      <c r="P136" s="3026"/>
    </row>
    <row r="137" spans="1:16" s="325" customFormat="1" ht="13.35" customHeight="1">
      <c r="A137" s="545"/>
      <c r="B137" s="545"/>
      <c r="C137" s="3004">
        <v>3</v>
      </c>
      <c r="D137" s="3005"/>
      <c r="E137" s="3005"/>
      <c r="F137" s="3006"/>
      <c r="G137" s="3007"/>
      <c r="H137" s="3007"/>
      <c r="I137" s="3026"/>
      <c r="J137" s="3004">
        <v>9</v>
      </c>
      <c r="K137" s="3005"/>
      <c r="L137" s="3005"/>
      <c r="M137" s="3006"/>
      <c r="N137" s="3007"/>
      <c r="O137" s="3007"/>
      <c r="P137" s="3026"/>
    </row>
    <row r="138" spans="1:16" s="325" customFormat="1" ht="13.35" customHeight="1">
      <c r="A138" s="545"/>
      <c r="B138" s="545"/>
      <c r="C138" s="3004">
        <v>4</v>
      </c>
      <c r="D138" s="3005"/>
      <c r="E138" s="3005"/>
      <c r="F138" s="3006"/>
      <c r="G138" s="3007"/>
      <c r="H138" s="3007"/>
      <c r="I138" s="3026"/>
      <c r="J138" s="3004">
        <v>10</v>
      </c>
      <c r="K138" s="3005"/>
      <c r="L138" s="3005"/>
      <c r="M138" s="3006"/>
      <c r="N138" s="3007"/>
      <c r="O138" s="3007"/>
      <c r="P138" s="3026"/>
    </row>
    <row r="139" spans="1:16" s="325" customFormat="1" ht="13.35" customHeight="1">
      <c r="A139" s="545"/>
      <c r="B139" s="545"/>
      <c r="C139" s="3004">
        <v>5</v>
      </c>
      <c r="D139" s="3005"/>
      <c r="E139" s="3005"/>
      <c r="F139" s="3006"/>
      <c r="G139" s="3007"/>
      <c r="H139" s="3007"/>
      <c r="I139" s="3026"/>
      <c r="J139" s="3004">
        <v>11</v>
      </c>
      <c r="K139" s="3005"/>
      <c r="L139" s="3005"/>
      <c r="M139" s="3006"/>
      <c r="N139" s="3007"/>
      <c r="O139" s="3007"/>
      <c r="P139" s="3026"/>
    </row>
    <row r="140" spans="1:16" s="325" customFormat="1" ht="13.35" customHeight="1">
      <c r="A140" s="545"/>
      <c r="B140" s="545"/>
      <c r="C140" s="3019">
        <v>6</v>
      </c>
      <c r="D140" s="3020"/>
      <c r="E140" s="3020"/>
      <c r="F140" s="3021"/>
      <c r="G140" s="3022"/>
      <c r="H140" s="3022"/>
      <c r="I140" s="3029"/>
      <c r="J140" s="3019">
        <v>12</v>
      </c>
      <c r="K140" s="3020"/>
      <c r="L140" s="3020"/>
      <c r="M140" s="3021"/>
      <c r="N140" s="3022"/>
      <c r="O140" s="3022"/>
      <c r="P140" s="3029"/>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4973</v>
      </c>
      <c r="D143" s="337"/>
      <c r="E143" s="337"/>
      <c r="F143" s="337"/>
      <c r="I143" s="2576" t="s">
        <v>2989</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2419</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2420</v>
      </c>
      <c r="D148" s="1233"/>
      <c r="E148" s="2562"/>
      <c r="F148" s="1243"/>
      <c r="I148" s="1316"/>
      <c r="K148" s="302" t="s">
        <v>2245</v>
      </c>
      <c r="O148" s="2894" t="s">
        <v>484</v>
      </c>
      <c r="P148" s="2896"/>
    </row>
    <row r="149" spans="1:16" s="325" customFormat="1" ht="13.35" customHeight="1">
      <c r="A149" s="545"/>
      <c r="B149" s="545"/>
      <c r="C149" s="1233" t="s">
        <v>2418</v>
      </c>
      <c r="F149" s="1243"/>
      <c r="I149" s="1319"/>
      <c r="K149" s="302" t="s">
        <v>2246</v>
      </c>
      <c r="O149" s="2912" t="s">
        <v>484</v>
      </c>
      <c r="P149" s="2902"/>
    </row>
    <row r="150" spans="1:16" s="325" customFormat="1" ht="13.35" customHeight="1">
      <c r="A150" s="545"/>
      <c r="B150" s="545"/>
      <c r="C150" s="1233" t="s">
        <v>2166</v>
      </c>
      <c r="D150" s="1233"/>
      <c r="E150" s="1233"/>
      <c r="F150" s="1243"/>
      <c r="I150" s="3027"/>
      <c r="J150" s="302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2700</v>
      </c>
      <c r="D152" s="1233"/>
      <c r="E152" s="351" t="s">
        <v>5057</v>
      </c>
      <c r="F152" s="351"/>
      <c r="G152" s="351"/>
      <c r="I152" s="2651" t="s">
        <v>2989</v>
      </c>
      <c r="K152" s="351" t="s">
        <v>5059</v>
      </c>
      <c r="L152" s="351"/>
      <c r="M152" s="351"/>
      <c r="O152" s="2432" t="s">
        <v>2989</v>
      </c>
      <c r="P152" s="336"/>
    </row>
    <row r="153" spans="1:16" s="325" customFormat="1" ht="13.35" customHeight="1">
      <c r="A153" s="545"/>
      <c r="C153" s="2562"/>
      <c r="D153" s="2647"/>
      <c r="E153" s="351" t="s">
        <v>5058</v>
      </c>
      <c r="F153" s="351"/>
      <c r="G153" s="351"/>
      <c r="I153" s="1320" t="s">
        <v>2992</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5056</v>
      </c>
      <c r="D155" s="1233"/>
      <c r="E155" s="1233"/>
      <c r="F155" s="1243"/>
      <c r="I155" s="362" t="s">
        <v>2992</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2992</v>
      </c>
      <c r="N160" s="1238"/>
      <c r="O160" s="1238"/>
      <c r="P160" s="336"/>
    </row>
    <row r="161" spans="1:16" s="325" customFormat="1" ht="12.6" customHeight="1">
      <c r="A161" s="545"/>
      <c r="B161" s="545"/>
      <c r="C161" s="2969" t="s">
        <v>4975</v>
      </c>
      <c r="D161" s="2969"/>
      <c r="E161" s="2969"/>
      <c r="F161" s="2969"/>
      <c r="G161" s="325" t="s">
        <v>4785</v>
      </c>
      <c r="I161" s="1318"/>
      <c r="K161" s="2417" t="s">
        <v>1795</v>
      </c>
      <c r="P161" s="2429">
        <f>IF('Part VI-Revenues &amp; Expenses'!$O$65=0,0,I161/'Part VI-Revenues &amp; Expenses'!$O$65)</f>
        <v>0</v>
      </c>
    </row>
    <row r="162" spans="1:16" s="325" customFormat="1" ht="12.6" customHeight="1">
      <c r="A162" s="545"/>
      <c r="B162" s="545"/>
      <c r="C162" s="2969"/>
      <c r="D162" s="2969"/>
      <c r="E162" s="2969"/>
      <c r="F162" s="2969"/>
      <c r="G162" s="325" t="s">
        <v>4784</v>
      </c>
      <c r="I162" s="1318"/>
      <c r="K162" s="2417" t="s">
        <v>1795</v>
      </c>
      <c r="O162" s="2418"/>
      <c r="P162" s="2430">
        <f>IF('Part VI-Revenues &amp; Expenses'!$O$65=0,0,I162/'Part VI-Revenues &amp; Expenses'!$O$65)</f>
        <v>0</v>
      </c>
    </row>
    <row r="163" spans="1:16" s="325" customFormat="1" ht="12" customHeight="1">
      <c r="A163" s="545"/>
      <c r="B163" s="545"/>
      <c r="C163" s="2417" t="s">
        <v>4786</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4"/>
      <c r="E165" s="2895"/>
      <c r="F165" s="2895"/>
      <c r="G165" s="2895"/>
      <c r="H165" s="2896"/>
      <c r="I165" s="330" t="s">
        <v>4730</v>
      </c>
      <c r="N165" s="2893"/>
      <c r="O165" s="3058"/>
      <c r="P165" s="2892"/>
    </row>
    <row r="166" spans="1:16" s="325" customFormat="1" ht="12.6" customHeight="1">
      <c r="A166" s="545"/>
      <c r="B166" s="545"/>
      <c r="C166" s="330" t="s">
        <v>4731</v>
      </c>
      <c r="D166" s="2943"/>
      <c r="E166" s="2944"/>
      <c r="F166" s="2900"/>
      <c r="G166" s="2944"/>
      <c r="H166" s="2945"/>
      <c r="I166" s="2394" t="s">
        <v>1797</v>
      </c>
      <c r="J166" s="2894"/>
      <c r="K166" s="2895"/>
      <c r="L166" s="2896"/>
      <c r="M166" s="2397" t="s">
        <v>1980</v>
      </c>
      <c r="N166" s="2943"/>
      <c r="O166" s="2944"/>
      <c r="P166" s="2945"/>
    </row>
    <row r="167" spans="1:16" s="325" customFormat="1" ht="12.6" customHeight="1">
      <c r="A167" s="545"/>
      <c r="B167" s="545"/>
      <c r="C167" s="330" t="s">
        <v>618</v>
      </c>
      <c r="D167" s="2943"/>
      <c r="E167" s="2945"/>
      <c r="F167" s="2395" t="s">
        <v>2229</v>
      </c>
      <c r="G167" s="3059"/>
      <c r="H167" s="3060"/>
      <c r="I167" s="365" t="s">
        <v>1802</v>
      </c>
      <c r="J167" s="3055"/>
      <c r="K167" s="3056"/>
      <c r="L167" s="3057"/>
      <c r="M167" s="2396" t="s">
        <v>1979</v>
      </c>
      <c r="N167" s="3055"/>
      <c r="O167" s="3056"/>
      <c r="P167" s="3057"/>
    </row>
    <row r="168" spans="1:16" s="325" customFormat="1" ht="12.6" customHeight="1">
      <c r="A168" s="545"/>
      <c r="B168" s="545"/>
      <c r="C168" s="325" t="s">
        <v>2703</v>
      </c>
      <c r="D168" s="2882"/>
      <c r="E168" s="2883"/>
      <c r="F168" s="2883"/>
      <c r="G168" s="2883"/>
      <c r="H168" s="2885"/>
      <c r="I168" s="365" t="s">
        <v>1800</v>
      </c>
      <c r="J168" s="3054"/>
      <c r="K168" s="3017"/>
      <c r="L168" s="3017"/>
      <c r="M168" s="3017"/>
      <c r="N168" s="3017"/>
      <c r="O168" s="3017"/>
      <c r="P168" s="3018"/>
    </row>
    <row r="169" spans="1:16" s="325" customFormat="1" ht="12" customHeight="1">
      <c r="A169" s="545"/>
      <c r="B169" s="545"/>
      <c r="C169" s="325" t="s">
        <v>4787</v>
      </c>
      <c r="E169" s="367"/>
      <c r="F169" s="367"/>
      <c r="G169" s="367"/>
      <c r="H169" s="1243"/>
      <c r="I169" s="2432"/>
      <c r="J169" s="3061" t="s">
        <v>761</v>
      </c>
      <c r="K169" s="3062"/>
      <c r="L169" s="362"/>
      <c r="M169" s="367"/>
      <c r="N169" s="1243"/>
      <c r="O169" s="367"/>
      <c r="P169" s="367"/>
    </row>
    <row r="170" spans="1:16" s="325" customFormat="1" ht="3" customHeight="1">
      <c r="A170" s="545"/>
      <c r="B170" s="545"/>
    </row>
    <row r="171" spans="1:16" s="325" customFormat="1" ht="12.6" customHeight="1">
      <c r="A171" s="545"/>
      <c r="B171" s="545" t="s">
        <v>1985</v>
      </c>
      <c r="C171" s="299" t="s">
        <v>2701</v>
      </c>
      <c r="D171" s="299"/>
      <c r="E171" s="299"/>
      <c r="F171" s="299"/>
      <c r="G171" s="299"/>
      <c r="I171" s="2598" t="s">
        <v>2992</v>
      </c>
      <c r="J171" s="3047" t="s">
        <v>761</v>
      </c>
      <c r="K171" s="3048"/>
      <c r="L171" s="2598"/>
      <c r="M171" s="3049" t="s">
        <v>2326</v>
      </c>
      <c r="N171" s="3050"/>
      <c r="O171" s="3051"/>
      <c r="P171" s="2671"/>
    </row>
    <row r="172" spans="1:16" s="325" customFormat="1" ht="12.6" customHeight="1">
      <c r="A172" s="545"/>
      <c r="B172" s="545"/>
      <c r="C172" s="299" t="s">
        <v>2702</v>
      </c>
      <c r="D172" s="299"/>
      <c r="E172" s="299"/>
      <c r="F172" s="299"/>
      <c r="G172" s="299"/>
      <c r="I172" s="2653"/>
      <c r="J172" s="3047" t="s">
        <v>761</v>
      </c>
      <c r="K172" s="3048"/>
      <c r="L172" s="2653"/>
      <c r="M172" s="3049" t="s">
        <v>2326</v>
      </c>
      <c r="N172" s="3050"/>
      <c r="O172" s="3051"/>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2" t="s">
        <v>1978</v>
      </c>
      <c r="D176" s="3052"/>
      <c r="E176" s="3052"/>
      <c r="F176" s="3052"/>
      <c r="G176" s="299"/>
      <c r="I176" s="334" t="s">
        <v>2989</v>
      </c>
      <c r="J176" s="369" t="s">
        <v>2752</v>
      </c>
      <c r="L176" s="3053" t="s">
        <v>3701</v>
      </c>
      <c r="M176" s="3053"/>
      <c r="N176" s="299"/>
      <c r="O176" s="299"/>
      <c r="P176" s="1286">
        <v>76</v>
      </c>
    </row>
    <row r="177" spans="1:16" s="325" customFormat="1" ht="12.6" customHeight="1">
      <c r="B177" s="545"/>
      <c r="L177" s="2954" t="s">
        <v>797</v>
      </c>
      <c r="M177" s="2954"/>
      <c r="N177" s="1229"/>
      <c r="O177" s="1229"/>
      <c r="P177" s="1287">
        <v>73</v>
      </c>
    </row>
    <row r="178" spans="1:16" s="325" customFormat="1" ht="12.6" customHeight="1">
      <c r="A178" s="545"/>
      <c r="B178" s="545"/>
      <c r="L178" s="2954" t="s">
        <v>1791</v>
      </c>
      <c r="M178" s="2954"/>
      <c r="N178" s="1229"/>
      <c r="O178" s="1229"/>
      <c r="P178" s="368">
        <f>IF(P176="","",P177/P176)</f>
        <v>0.96052631578947367</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2992</v>
      </c>
      <c r="L180" s="1238" t="s">
        <v>1610</v>
      </c>
      <c r="M180" s="1238"/>
      <c r="N180" s="1238"/>
      <c r="P180" s="1317" t="s">
        <v>2989</v>
      </c>
    </row>
    <row r="181" spans="1:16" s="325" customFormat="1" ht="12.6" customHeight="1">
      <c r="A181" s="545"/>
      <c r="B181" s="545"/>
      <c r="C181" s="1238" t="s">
        <v>2213</v>
      </c>
      <c r="I181" s="1319" t="s">
        <v>2989</v>
      </c>
      <c r="L181" s="1238" t="s">
        <v>2845</v>
      </c>
      <c r="M181" s="1238"/>
      <c r="N181" s="1238"/>
      <c r="P181" s="1319" t="s">
        <v>2992</v>
      </c>
    </row>
    <row r="182" spans="1:16" s="325" customFormat="1" ht="12.6" customHeight="1">
      <c r="A182" s="545"/>
      <c r="C182" s="1238" t="s">
        <v>2721</v>
      </c>
      <c r="I182" s="1319" t="s">
        <v>2992</v>
      </c>
      <c r="L182" s="1238" t="s">
        <v>2689</v>
      </c>
      <c r="N182" s="3030"/>
      <c r="O182" s="3031"/>
      <c r="P182" s="1319" t="s">
        <v>2992</v>
      </c>
    </row>
    <row r="183" spans="1:16" s="325" customFormat="1" ht="12.6" customHeight="1">
      <c r="A183" s="545"/>
      <c r="B183" s="545"/>
      <c r="C183" s="1238" t="s">
        <v>1285</v>
      </c>
      <c r="D183" s="370"/>
      <c r="I183" s="1319" t="s">
        <v>2992</v>
      </c>
      <c r="K183" s="337"/>
      <c r="L183" s="1238" t="s">
        <v>3481</v>
      </c>
      <c r="M183" s="1238"/>
      <c r="N183" s="1238"/>
      <c r="P183" s="1319" t="s">
        <v>2992</v>
      </c>
    </row>
    <row r="184" spans="1:16" s="325" customFormat="1" ht="12.6" customHeight="1">
      <c r="A184" s="545"/>
      <c r="B184" s="327"/>
      <c r="C184" s="1238" t="s">
        <v>1807</v>
      </c>
      <c r="I184" s="1319" t="s">
        <v>2992</v>
      </c>
      <c r="J184" s="369" t="s">
        <v>2753</v>
      </c>
      <c r="O184" s="3032"/>
      <c r="P184" s="3033"/>
    </row>
    <row r="185" spans="1:16" s="325" customFormat="1" ht="12.6" customHeight="1">
      <c r="A185" s="545"/>
      <c r="B185" s="545"/>
      <c r="C185" s="1238" t="s">
        <v>2902</v>
      </c>
      <c r="I185" s="1320" t="s">
        <v>2992</v>
      </c>
      <c r="J185" s="369" t="s">
        <v>2753</v>
      </c>
      <c r="O185" s="3034"/>
      <c r="P185" s="303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6">
        <v>44105</v>
      </c>
      <c r="I188" s="2987"/>
      <c r="N188" s="1238"/>
      <c r="O188" s="1238"/>
      <c r="P188" s="336"/>
    </row>
    <row r="189" spans="1:16" s="325" customFormat="1" ht="12.6" customHeight="1">
      <c r="A189" s="545"/>
      <c r="B189" s="545"/>
      <c r="C189" s="330" t="s">
        <v>276</v>
      </c>
      <c r="D189" s="1233"/>
      <c r="E189" s="1233"/>
      <c r="F189" s="1243"/>
      <c r="G189" s="1243"/>
      <c r="H189" s="3042">
        <v>44197</v>
      </c>
      <c r="I189" s="3043"/>
      <c r="N189" s="1238"/>
      <c r="O189" s="1238"/>
      <c r="P189" s="336"/>
    </row>
    <row r="190" spans="1:16" s="325" customFormat="1" ht="12.6" customHeight="1">
      <c r="A190" s="545"/>
      <c r="B190" s="545"/>
      <c r="C190" s="330" t="s">
        <v>2295</v>
      </c>
      <c r="D190" s="1233"/>
      <c r="E190" s="1233"/>
      <c r="F190" s="1243"/>
      <c r="G190" s="1243"/>
      <c r="H190" s="3044"/>
      <c r="I190" s="3045"/>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572</v>
      </c>
      <c r="M192" s="356" t="s">
        <v>2251</v>
      </c>
      <c r="N192" s="356" t="s">
        <v>79</v>
      </c>
    </row>
    <row r="193" spans="1:44" ht="409.5" customHeight="1">
      <c r="A193" s="3036" t="s">
        <v>5338</v>
      </c>
      <c r="B193" s="3037"/>
      <c r="C193" s="3037"/>
      <c r="D193" s="3037"/>
      <c r="E193" s="3037"/>
      <c r="F193" s="3037"/>
      <c r="G193" s="3037"/>
      <c r="H193" s="3037"/>
      <c r="I193" s="3037"/>
      <c r="J193" s="3037"/>
      <c r="K193" s="3037"/>
      <c r="L193" s="3038"/>
      <c r="M193" s="3039"/>
      <c r="N193" s="3040"/>
      <c r="O193" s="3040"/>
      <c r="P193" s="3041"/>
      <c r="Q193" s="2881" t="s">
        <v>2692</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3873</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2527</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7" t="str">
        <f>Overview!C8</f>
        <v>Enclave at Milledgeville</v>
      </c>
      <c r="C1" s="4207"/>
      <c r="D1" s="4207"/>
      <c r="E1" s="4207"/>
      <c r="F1" s="4207"/>
      <c r="G1" s="4207"/>
      <c r="H1" s="1613"/>
    </row>
    <row r="2" spans="1:8" ht="21.95" customHeight="1">
      <c r="A2" s="2186"/>
      <c r="B2" s="2186"/>
      <c r="C2" s="2186"/>
      <c r="D2" s="2186"/>
      <c r="E2" s="2186"/>
      <c r="F2" s="2186"/>
      <c r="G2" s="2186"/>
      <c r="H2" s="2186"/>
    </row>
    <row r="3" spans="1:8" ht="20.25" customHeight="1">
      <c r="C3" s="4206" t="s">
        <v>3076</v>
      </c>
      <c r="D3" s="4206"/>
      <c r="E3" s="4206"/>
      <c r="F3" s="4206"/>
    </row>
    <row r="5" spans="1:8" ht="15.75">
      <c r="D5" s="1571"/>
      <c r="E5" s="1571" t="s">
        <v>3077</v>
      </c>
    </row>
    <row r="6" spans="1:8" ht="15.75">
      <c r="D6" s="1614" t="s">
        <v>2479</v>
      </c>
      <c r="E6" s="1614" t="s">
        <v>3078</v>
      </c>
    </row>
    <row r="7" spans="1:8" ht="15">
      <c r="D7" s="1572"/>
      <c r="E7" s="1572"/>
    </row>
    <row r="8" spans="1:8" ht="21" customHeight="1">
      <c r="D8" s="1573">
        <v>1</v>
      </c>
      <c r="E8" s="1574">
        <f>-'Part VII-Pro Forma'!B25/12</f>
        <v>35011.027921594294</v>
      </c>
    </row>
    <row r="9" spans="1:8" ht="21" customHeight="1">
      <c r="D9" s="1573">
        <v>2</v>
      </c>
      <c r="E9" s="1574">
        <f>-'Part VII-Pro Forma'!C25/12</f>
        <v>35011.027921594294</v>
      </c>
    </row>
    <row r="10" spans="1:8" ht="21" customHeight="1">
      <c r="D10" s="1573">
        <v>3</v>
      </c>
      <c r="E10" s="1574">
        <f>-'Part VII-Pro Forma'!D25/12</f>
        <v>35011.027921594294</v>
      </c>
    </row>
    <row r="11" spans="1:8" ht="21" customHeight="1">
      <c r="D11" s="1575">
        <v>4</v>
      </c>
      <c r="E11" s="1574">
        <f>-'Part VII-Pro Forma'!E25/12</f>
        <v>35011.027921594294</v>
      </c>
    </row>
    <row r="12" spans="1:8" ht="21" customHeight="1">
      <c r="D12" s="1575">
        <v>5</v>
      </c>
      <c r="E12" s="1574">
        <f>-'Part VII-Pro Forma'!F25/12</f>
        <v>35011.027921594294</v>
      </c>
    </row>
    <row r="13" spans="1:8" ht="21" customHeight="1">
      <c r="D13" s="1573">
        <v>6</v>
      </c>
      <c r="E13" s="1574">
        <f>-'Part VII-Pro Forma'!G25/12</f>
        <v>35011.027921594294</v>
      </c>
    </row>
    <row r="14" spans="1:8" ht="21" customHeight="1">
      <c r="D14" s="1573">
        <v>7</v>
      </c>
      <c r="E14" s="1574">
        <f>-'Part VII-Pro Forma'!H25/12</f>
        <v>35011.027921594294</v>
      </c>
    </row>
    <row r="15" spans="1:8" ht="21" customHeight="1">
      <c r="D15" s="1575">
        <v>8</v>
      </c>
      <c r="E15" s="1574">
        <f>-'Part VII-Pro Forma'!I25/12</f>
        <v>35011.027921594294</v>
      </c>
    </row>
    <row r="16" spans="1:8" ht="21" customHeight="1">
      <c r="D16" s="1573">
        <v>9</v>
      </c>
      <c r="E16" s="1574">
        <f>-'Part VII-Pro Forma'!J25/12</f>
        <v>35011.027921594294</v>
      </c>
    </row>
    <row r="17" spans="4:8" ht="21" customHeight="1">
      <c r="D17" s="1573">
        <v>10</v>
      </c>
      <c r="E17" s="1574">
        <f>-'Part VII-Pro Forma'!K25/12</f>
        <v>35011.027921594294</v>
      </c>
    </row>
    <row r="18" spans="4:8" ht="21" customHeight="1">
      <c r="D18" s="1575">
        <v>11</v>
      </c>
      <c r="E18" s="1574">
        <f>-'Part VII-Pro Forma'!B57/12</f>
        <v>35011.027921594294</v>
      </c>
    </row>
    <row r="19" spans="4:8" ht="21" customHeight="1">
      <c r="D19" s="1573">
        <v>12</v>
      </c>
      <c r="E19" s="1574">
        <f>-'Part VII-Pro Forma'!C57/12</f>
        <v>35011.027921594294</v>
      </c>
    </row>
    <row r="20" spans="4:8" ht="21" customHeight="1">
      <c r="D20" s="1573">
        <v>13</v>
      </c>
      <c r="E20" s="1574">
        <f>-'Part VII-Pro Forma'!D57/12</f>
        <v>35011.027921594294</v>
      </c>
    </row>
    <row r="21" spans="4:8" ht="21" customHeight="1">
      <c r="D21" s="1573">
        <v>14</v>
      </c>
      <c r="E21" s="1574">
        <f>-'Part VII-Pro Forma'!E57/12</f>
        <v>35011.027921594294</v>
      </c>
    </row>
    <row r="22" spans="4:8" ht="21" customHeight="1">
      <c r="D22" s="1573">
        <v>15</v>
      </c>
      <c r="E22" s="1574">
        <f>-'Part VII-Pro Forma'!F57/12</f>
        <v>35011.027921594294</v>
      </c>
    </row>
    <row r="23" spans="4:8" ht="21" customHeight="1">
      <c r="D23" s="1573">
        <v>16</v>
      </c>
      <c r="E23" s="1574">
        <f>-'Part VII-Pro Forma'!G57/12</f>
        <v>35011.027921594294</v>
      </c>
    </row>
    <row r="24" spans="4:8" ht="21" customHeight="1">
      <c r="D24" s="1573">
        <v>17</v>
      </c>
      <c r="E24" s="1574">
        <f>-'Part VII-Pro Forma'!H57/12</f>
        <v>35011.027921594294</v>
      </c>
      <c r="H24" s="636" t="s">
        <v>243</v>
      </c>
    </row>
    <row r="25" spans="4:8" ht="21" customHeight="1">
      <c r="D25" s="1573">
        <v>18</v>
      </c>
      <c r="E25" s="1574">
        <f>-'Part VII-Pro Forma'!I57/12</f>
        <v>35011.027921594294</v>
      </c>
    </row>
    <row r="26" spans="4:8" ht="21" customHeight="1">
      <c r="D26" s="1573">
        <v>19</v>
      </c>
      <c r="E26" s="1574">
        <f>-'Part VII-Pro Forma'!J57/12</f>
        <v>35011.027921594294</v>
      </c>
    </row>
    <row r="27" spans="4:8" ht="21" customHeight="1">
      <c r="D27" s="1573">
        <v>20</v>
      </c>
      <c r="E27" s="1574">
        <f>-'Part VII-Pro Forma'!K57/12</f>
        <v>35011.027921594294</v>
      </c>
    </row>
    <row r="28" spans="4:8" ht="21" customHeight="1">
      <c r="D28" s="1573">
        <v>21</v>
      </c>
      <c r="E28" s="1574">
        <f>-'Part VII-Pro Forma'!B89/12</f>
        <v>35011.027921594294</v>
      </c>
    </row>
    <row r="29" spans="4:8" ht="21" customHeight="1">
      <c r="D29" s="1573">
        <v>22</v>
      </c>
      <c r="E29" s="1574">
        <f>-'Part VII-Pro Forma'!C89/12</f>
        <v>35011.027921594294</v>
      </c>
    </row>
    <row r="30" spans="4:8" ht="21" customHeight="1">
      <c r="D30" s="1573">
        <v>23</v>
      </c>
      <c r="E30" s="1574">
        <f>-'Part VII-Pro Forma'!D89/12</f>
        <v>35011.027921594294</v>
      </c>
    </row>
    <row r="31" spans="4:8" ht="21" customHeight="1">
      <c r="D31" s="1573">
        <v>24</v>
      </c>
      <c r="E31" s="1574">
        <f>-'Part VII-Pro Forma'!E89/12</f>
        <v>35011.027921594294</v>
      </c>
    </row>
    <row r="32" spans="4:8" ht="21" customHeight="1">
      <c r="D32" s="1573">
        <v>25</v>
      </c>
      <c r="E32" s="1574">
        <f>-'Part VII-Pro Forma'!F89/12</f>
        <v>35011.027921594294</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08" t="s">
        <v>3079</v>
      </c>
      <c r="B1" s="4208"/>
      <c r="C1" s="4208"/>
      <c r="D1" s="4208"/>
      <c r="E1" s="4208"/>
      <c r="F1" s="4208"/>
      <c r="G1" s="4208"/>
      <c r="H1" s="4208"/>
      <c r="I1" s="4208"/>
      <c r="J1" s="4208"/>
      <c r="K1" s="4208"/>
    </row>
    <row r="2" spans="1:11" ht="15">
      <c r="A2" s="4222" t="str">
        <f>Overview!C8</f>
        <v>Enclave at Milledgeville</v>
      </c>
      <c r="B2" s="4222"/>
      <c r="C2" s="4222"/>
      <c r="D2" s="4222"/>
      <c r="E2" s="4222"/>
      <c r="F2" s="4222"/>
      <c r="G2" s="4222"/>
      <c r="H2" s="4222"/>
      <c r="I2" s="4222"/>
      <c r="J2" s="4222"/>
      <c r="K2" s="4222"/>
    </row>
    <row r="3" spans="1:11" ht="9" customHeight="1">
      <c r="A3" s="865"/>
      <c r="B3" s="865"/>
      <c r="C3" s="865"/>
    </row>
    <row r="4" spans="1:11" ht="18">
      <c r="A4" s="866" t="s">
        <v>3552</v>
      </c>
      <c r="B4" s="865"/>
      <c r="C4" s="865"/>
      <c r="K4" s="867"/>
    </row>
    <row r="5" spans="1:11" s="822" customFormat="1" ht="42" customHeight="1">
      <c r="C5" s="4209" t="s">
        <v>4467</v>
      </c>
      <c r="D5" s="4210"/>
      <c r="E5" s="4211"/>
      <c r="F5" s="650"/>
      <c r="G5" s="4209" t="s">
        <v>4468</v>
      </c>
      <c r="H5" s="4210"/>
      <c r="I5" s="4211"/>
      <c r="J5" s="864"/>
      <c r="K5" s="4220" t="s">
        <v>4469</v>
      </c>
    </row>
    <row r="6" spans="1:11" s="869" customFormat="1" ht="15" customHeight="1">
      <c r="A6" s="868" t="s">
        <v>2713</v>
      </c>
      <c r="C6" s="870" t="s">
        <v>3535</v>
      </c>
      <c r="D6" s="870" t="s">
        <v>4470</v>
      </c>
      <c r="E6" s="870" t="s">
        <v>1990</v>
      </c>
      <c r="G6" s="870" t="s">
        <v>3536</v>
      </c>
      <c r="H6" s="870" t="s">
        <v>4471</v>
      </c>
      <c r="I6" s="870" t="s">
        <v>1990</v>
      </c>
      <c r="K6" s="4221"/>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14</v>
      </c>
      <c r="E8" s="874">
        <f>C8*D8</f>
        <v>0</v>
      </c>
      <c r="G8" s="872"/>
      <c r="H8" s="873">
        <f>'Part VI-Revenues &amp; Expenses'!$K$67</f>
        <v>14</v>
      </c>
      <c r="I8" s="874">
        <f>G8*H8</f>
        <v>0</v>
      </c>
      <c r="K8" s="871" t="s">
        <v>3537</v>
      </c>
    </row>
    <row r="9" spans="1:11" s="650" customFormat="1" ht="13.5" customHeight="1">
      <c r="A9" s="650" t="s">
        <v>2712</v>
      </c>
      <c r="C9" s="872"/>
      <c r="D9" s="1576">
        <f>'Part VI-Revenues &amp; Expenses'!$L$63</f>
        <v>30</v>
      </c>
      <c r="E9" s="874">
        <f>C9*D9</f>
        <v>0</v>
      </c>
      <c r="G9" s="872"/>
      <c r="H9" s="873">
        <f>'Part VI-Revenues &amp; Expenses'!$L$67</f>
        <v>30</v>
      </c>
      <c r="I9" s="874">
        <f>G9*H9</f>
        <v>0</v>
      </c>
      <c r="K9" s="1583">
        <f>'Part IV-A-Uses of Funds'!$G$132</f>
        <v>15458102.010000002</v>
      </c>
    </row>
    <row r="10" spans="1:11" s="650" customFormat="1" ht="13.5" customHeight="1">
      <c r="A10" s="650" t="s">
        <v>2715</v>
      </c>
      <c r="C10" s="872"/>
      <c r="D10" s="1576">
        <f>'Part VI-Revenues &amp; Expenses'!$M$63</f>
        <v>32</v>
      </c>
      <c r="E10" s="874">
        <f>C10*D10</f>
        <v>0</v>
      </c>
      <c r="G10" s="872"/>
      <c r="H10" s="873">
        <f>'Part VI-Revenues &amp; Expenses'!$M$67</f>
        <v>32</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2" t="s">
        <v>3542</v>
      </c>
    </row>
    <row r="12" spans="1:11" ht="13.5" customHeight="1" thickBot="1">
      <c r="A12" s="880" t="s">
        <v>3504</v>
      </c>
      <c r="D12" s="911">
        <f>SUM(D7:D11)</f>
        <v>76</v>
      </c>
      <c r="E12" s="881"/>
      <c r="G12" s="880" t="s">
        <v>1793</v>
      </c>
      <c r="H12" s="1582">
        <f>SUM(H7:H11)</f>
        <v>76</v>
      </c>
      <c r="I12" s="881"/>
      <c r="K12" s="4213"/>
    </row>
    <row r="13" spans="1:11" s="650" customFormat="1" ht="13.5" customHeight="1" thickBot="1">
      <c r="A13" s="880" t="s">
        <v>3081</v>
      </c>
      <c r="B13" s="882"/>
      <c r="E13" s="883">
        <f>SUM(E7:E11)</f>
        <v>0</v>
      </c>
      <c r="G13" s="880" t="s">
        <v>3316</v>
      </c>
      <c r="H13" s="882"/>
      <c r="I13" s="884">
        <f>SUM(I7:I11)</f>
        <v>0</v>
      </c>
      <c r="K13" s="1583">
        <f>'Part VIII-Threshold Criteria'!$P$63</f>
        <v>16229310</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4255</v>
      </c>
      <c r="F18" s="1585"/>
      <c r="G18" s="1585"/>
      <c r="H18" s="1585"/>
      <c r="I18" s="1585"/>
      <c r="K18" s="1560">
        <f>Overview!$E$13</f>
        <v>76</v>
      </c>
    </row>
    <row r="19" spans="1:11" s="650" customFormat="1" ht="13.5" customHeight="1">
      <c r="A19" s="650" t="s">
        <v>3082</v>
      </c>
      <c r="E19" s="1579"/>
      <c r="K19" s="739">
        <f>Overview!$C$13</f>
        <v>76</v>
      </c>
    </row>
    <row r="20" spans="1:11" ht="3" customHeight="1">
      <c r="A20" s="886"/>
      <c r="E20" s="1580"/>
    </row>
    <row r="21" spans="1:11" s="650" customFormat="1" ht="13.5" customHeight="1">
      <c r="A21" s="650" t="s">
        <v>3083</v>
      </c>
      <c r="E21" s="1578" t="s">
        <v>3540</v>
      </c>
      <c r="K21" s="887">
        <f>K18/K19</f>
        <v>1</v>
      </c>
    </row>
    <row r="22" spans="1:11" ht="6.75" customHeight="1">
      <c r="E22" s="1580"/>
    </row>
    <row r="23" spans="1:11" s="650" customFormat="1" ht="13.5" customHeight="1">
      <c r="A23" s="650" t="s">
        <v>3503</v>
      </c>
      <c r="C23" s="888"/>
      <c r="E23" s="1578" t="s">
        <v>3086</v>
      </c>
      <c r="K23" s="739">
        <f>K9</f>
        <v>15458102.010000002</v>
      </c>
    </row>
    <row r="24" spans="1:11" s="650" customFormat="1" ht="13.5" customHeight="1">
      <c r="A24" s="889" t="s">
        <v>1760</v>
      </c>
      <c r="E24" s="1579"/>
      <c r="K24" s="875">
        <f>'Part IV-A-Uses of Funds'!$G$122</f>
        <v>410046.81</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15048055.200000001</v>
      </c>
    </row>
    <row r="29" spans="1:11" ht="6.75" customHeight="1">
      <c r="A29" s="886"/>
      <c r="E29" s="1580"/>
      <c r="K29" s="894"/>
    </row>
    <row r="30" spans="1:11" s="650" customFormat="1" ht="15" customHeight="1">
      <c r="A30" s="882" t="s">
        <v>3089</v>
      </c>
      <c r="E30" s="1578" t="s">
        <v>3547</v>
      </c>
      <c r="F30" s="895"/>
      <c r="G30" s="895"/>
      <c r="H30" s="895"/>
      <c r="I30" s="895"/>
      <c r="K30" s="896">
        <f>K21*K28</f>
        <v>15048055.200000001</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8640000</v>
      </c>
    </row>
    <row r="37" spans="1:11" s="650" customFormat="1" ht="9" customHeight="1" thickBot="1">
      <c r="E37" s="901"/>
      <c r="F37" s="901"/>
      <c r="G37" s="901"/>
      <c r="H37" s="901"/>
      <c r="K37" s="902"/>
    </row>
    <row r="38" spans="1:11" s="650" customFormat="1" ht="15.75" customHeight="1">
      <c r="A38" s="4214" t="s">
        <v>3545</v>
      </c>
      <c r="B38" s="4214"/>
      <c r="C38" s="4214"/>
      <c r="D38" s="4215" t="s">
        <v>3084</v>
      </c>
      <c r="E38" s="4215"/>
      <c r="F38" s="4215" t="s">
        <v>3085</v>
      </c>
      <c r="G38" s="4215"/>
      <c r="H38" s="4215"/>
      <c r="I38" s="2187" t="s">
        <v>2829</v>
      </c>
      <c r="K38" s="4216">
        <f>ROUND((D39/F39)*I39,0)</f>
        <v>44</v>
      </c>
    </row>
    <row r="39" spans="1:11" s="650" customFormat="1" ht="15.75" customHeight="1" thickBot="1">
      <c r="A39" s="4214"/>
      <c r="B39" s="4214"/>
      <c r="C39" s="4214"/>
      <c r="D39" s="4218">
        <f>K36</f>
        <v>8640000</v>
      </c>
      <c r="E39" s="4218"/>
      <c r="F39" s="4219">
        <f>K28</f>
        <v>15048055.200000001</v>
      </c>
      <c r="G39" s="4219"/>
      <c r="H39" s="4219"/>
      <c r="I39" s="903">
        <f>K19</f>
        <v>76</v>
      </c>
      <c r="K39" s="4217"/>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3" t="str">
        <f>CONCATENATE(Overview!E8,"  ",Overview!C8)</f>
        <v>2019-5  Enclave at Milledgeville</v>
      </c>
      <c r="B1" s="4223"/>
      <c r="C1" s="4223"/>
      <c r="D1" s="4223"/>
      <c r="E1" s="4223"/>
      <c r="F1" s="4223"/>
      <c r="G1" s="4223"/>
      <c r="H1" s="4223"/>
    </row>
    <row r="3" spans="1:13" ht="12" customHeight="1">
      <c r="A3" s="4224" t="s">
        <v>3506</v>
      </c>
      <c r="B3" s="4224"/>
      <c r="C3" s="4224"/>
      <c r="D3" s="4224"/>
      <c r="E3" s="4224"/>
      <c r="F3" s="4224"/>
      <c r="G3" s="4224"/>
      <c r="H3" s="4224"/>
      <c r="I3" s="2191"/>
      <c r="J3" s="4226" t="s">
        <v>4256</v>
      </c>
      <c r="K3" s="4226"/>
      <c r="L3" s="937"/>
      <c r="M3" s="937"/>
    </row>
    <row r="4" spans="1:13">
      <c r="J4" s="4226"/>
      <c r="K4" s="4226"/>
    </row>
    <row r="5" spans="1:13" ht="12" customHeight="1">
      <c r="A5" s="864">
        <v>1</v>
      </c>
      <c r="C5" s="864" t="s">
        <v>3091</v>
      </c>
      <c r="E5" s="919" t="str">
        <f>Overview!H9</f>
        <v>HDC Milledgeville Manor LP</v>
      </c>
      <c r="J5" s="4226"/>
      <c r="K5" s="4226"/>
    </row>
    <row r="6" spans="1:13" ht="3" customHeight="1">
      <c r="H6" s="881"/>
      <c r="J6" s="4226"/>
      <c r="K6" s="4226"/>
    </row>
    <row r="7" spans="1:13" ht="12" customHeight="1">
      <c r="A7" s="864">
        <v>2</v>
      </c>
      <c r="C7" s="864" t="s">
        <v>3092</v>
      </c>
      <c r="E7" s="919" t="str">
        <f>'Part II-Development Team'!H6</f>
        <v>750 Commerce Dr., Suite 110</v>
      </c>
      <c r="J7" s="4226"/>
      <c r="K7" s="4226"/>
    </row>
    <row r="8" spans="1:13" ht="12" customHeight="1">
      <c r="E8" s="919" t="str">
        <f>+'Part II-Development Team'!H7&amp;","&amp;" "&amp;'Part II-Development Team'!H8&amp;" "&amp;LEFT('Part II-Development Team'!J8,5)</f>
        <v>Decatur, GA 30030</v>
      </c>
      <c r="J8" s="4226"/>
      <c r="K8" s="4226"/>
    </row>
    <row r="9" spans="1:13" ht="12" customHeight="1">
      <c r="C9" s="864" t="s">
        <v>3093</v>
      </c>
      <c r="E9" s="4225" t="str">
        <f>'Part II-Development Team'!L7</f>
        <v>85-0526911</v>
      </c>
      <c r="F9" s="4225"/>
      <c r="J9" s="4226"/>
      <c r="K9" s="4226"/>
    </row>
    <row r="10" spans="1:13" ht="12" customHeight="1">
      <c r="C10" s="864" t="s">
        <v>3094</v>
      </c>
      <c r="E10" s="919" t="str">
        <f>'Part II-Development Team'!Q5</f>
        <v xml:space="preserve">E. P. Walker, Jr. </v>
      </c>
    </row>
    <row r="11" spans="1:13" ht="12" customHeight="1">
      <c r="C11" s="864" t="s">
        <v>4261</v>
      </c>
      <c r="E11" s="919" t="str">
        <f>'Part II-Development Team'!L9</f>
        <v>pete.walker@dekalbhousing.org</v>
      </c>
    </row>
    <row r="12" spans="1:13" ht="12" customHeight="1">
      <c r="C12" s="864" t="s">
        <v>4257</v>
      </c>
      <c r="E12" s="2192">
        <f>'Part II-Development Team'!H9</f>
        <v>4704408610</v>
      </c>
    </row>
    <row r="13" spans="1:13" ht="12" customHeight="1">
      <c r="C13" s="864" t="s">
        <v>4260</v>
      </c>
      <c r="E13" s="2192">
        <f>'Part II-Development Team'!Q7</f>
        <v>4042702503</v>
      </c>
    </row>
    <row r="14" spans="1:13" ht="3" customHeight="1"/>
    <row r="15" spans="1:13" ht="12" customHeight="1">
      <c r="A15" s="864">
        <v>3</v>
      </c>
      <c r="C15" s="864" t="s">
        <v>3095</v>
      </c>
      <c r="E15" s="919" t="str">
        <f>Overview!C8</f>
        <v>Enclave at Milledgeville</v>
      </c>
    </row>
    <row r="16" spans="1:13" ht="12" customHeight="1">
      <c r="C16" s="864" t="s">
        <v>3096</v>
      </c>
      <c r="E16" s="919" t="str">
        <f>'Part I-Project Information'!$F$35</f>
        <v>1498 S. Jefferson St.</v>
      </c>
    </row>
    <row r="17" spans="1:8" ht="12" customHeight="1">
      <c r="E17" s="919" t="str">
        <f>+'Part I-Project Information'!$F$38&amp;","&amp;" GA "&amp;LEFT('Part I-Project Information'!$J$38,5)</f>
        <v>Milledgeville, GA 31061</v>
      </c>
    </row>
    <row r="18" spans="1:8" ht="3" customHeight="1"/>
    <row r="19" spans="1:8" ht="12" customHeight="1">
      <c r="A19" s="864">
        <v>4</v>
      </c>
      <c r="C19" s="864" t="s">
        <v>3097</v>
      </c>
      <c r="E19" s="919" t="str">
        <f>'Part II-Development Team'!H92</f>
        <v>HDC Management</v>
      </c>
    </row>
    <row r="20" spans="1:8" ht="12" customHeight="1">
      <c r="C20" s="864" t="s">
        <v>3098</v>
      </c>
      <c r="E20" s="919" t="str">
        <f>'Part II-Development Team'!H93</f>
        <v>750 Commerce Dr., Suite 110</v>
      </c>
    </row>
    <row r="21" spans="1:8" ht="12" customHeight="1">
      <c r="E21" s="919" t="str">
        <f>+'Part II-Development Team'!H94&amp;","&amp;" "&amp;'Part II-Development Team'!H95&amp;" "&amp;LEFT('Part II-Development Team'!L95,5)</f>
        <v>Decatur, GA 30030</v>
      </c>
    </row>
    <row r="22" spans="1:8" ht="12" customHeight="1">
      <c r="C22" s="864" t="s">
        <v>4257</v>
      </c>
      <c r="E22" s="2192">
        <f>'Part II-Development Team'!H96</f>
        <v>4704408610</v>
      </c>
    </row>
    <row r="23" spans="1:8" ht="12" customHeight="1">
      <c r="C23" s="864" t="s">
        <v>4260</v>
      </c>
      <c r="E23" s="2192">
        <f>'Part II-Development Team'!Q94</f>
        <v>4704408594</v>
      </c>
    </row>
    <row r="24" spans="1:8" ht="12" customHeight="1">
      <c r="C24" s="864" t="s">
        <v>4261</v>
      </c>
      <c r="E24" s="2192" t="str">
        <f>'Part II-Development Team'!L96</f>
        <v>john.corcoran@thehdc.org</v>
      </c>
    </row>
    <row r="25" spans="1:8" ht="3" customHeight="1">
      <c r="E25" s="919"/>
    </row>
    <row r="26" spans="1:8" ht="12" customHeight="1">
      <c r="A26" s="864">
        <v>5</v>
      </c>
      <c r="C26" s="864" t="s">
        <v>3099</v>
      </c>
      <c r="E26" s="919" t="str">
        <f>Overview!$H$7</f>
        <v>Acquisition/Rehabilitation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3100</v>
      </c>
      <c r="E30" s="864" t="s">
        <v>2409</v>
      </c>
      <c r="F30" s="2193">
        <f>'Part III-Sources of Funds'!L20</f>
        <v>12082864</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2409</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2409</v>
      </c>
      <c r="F39" s="909">
        <f>'Part III-Sources of Funds'!L38*12</f>
        <v>420</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2409</v>
      </c>
      <c r="F45" s="919" t="s">
        <v>3113</v>
      </c>
    </row>
    <row r="46" spans="1:7" ht="3" customHeight="1">
      <c r="F46" s="881"/>
    </row>
    <row r="47" spans="1:7" ht="12" customHeight="1">
      <c r="A47" s="864">
        <v>14</v>
      </c>
      <c r="C47" s="864" t="s">
        <v>3114</v>
      </c>
      <c r="E47" s="919" t="str">
        <f>'Part II-Development Team'!H14</f>
        <v>HDC Enclave at Milledgeville GP, LLC</v>
      </c>
    </row>
    <row r="48" spans="1:7" ht="3" customHeight="1">
      <c r="E48" s="919"/>
    </row>
    <row r="49" spans="1:7" ht="12" customHeight="1">
      <c r="A49" s="864">
        <v>15</v>
      </c>
      <c r="C49" s="864" t="s">
        <v>4263</v>
      </c>
      <c r="E49" s="919" t="str">
        <f>'Part II-Development Team'!Q98</f>
        <v>L. Lake Jordan</v>
      </c>
      <c r="G49" s="919" t="str">
        <f>'Part II-Development Team'!H98</f>
        <v>Coleman Talley LLP</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76</v>
      </c>
    </row>
    <row r="53" spans="1:7" ht="3" customHeight="1">
      <c r="F53" s="909"/>
    </row>
    <row r="54" spans="1:7" ht="12" customHeight="1">
      <c r="A54" s="937">
        <v>17</v>
      </c>
      <c r="B54" s="937"/>
      <c r="C54" s="937" t="s">
        <v>3117</v>
      </c>
      <c r="D54" s="937"/>
      <c r="E54" s="937"/>
      <c r="F54" s="2199">
        <f>'HOME Allocation Limit WS'!K18</f>
        <v>76</v>
      </c>
      <c r="G54" s="937"/>
    </row>
    <row r="55" spans="1:7" ht="3" customHeight="1">
      <c r="F55" s="909"/>
    </row>
    <row r="56" spans="1:7" ht="12" customHeight="1">
      <c r="A56" s="864">
        <v>18</v>
      </c>
      <c r="C56" s="864" t="s">
        <v>3118</v>
      </c>
      <c r="F56" s="2199">
        <f>'Part VI-Revenues &amp; Expenses'!O66</f>
        <v>0</v>
      </c>
      <c r="G56" s="864" t="s">
        <v>4262</v>
      </c>
    </row>
    <row r="57" spans="1:7" ht="3" customHeight="1">
      <c r="F57" s="909"/>
    </row>
    <row r="58" spans="1:7" ht="12" customHeight="1">
      <c r="A58" s="864">
        <v>19</v>
      </c>
      <c r="C58" s="864" t="s">
        <v>3119</v>
      </c>
      <c r="F58" s="2200"/>
      <c r="G58" s="864" t="s">
        <v>3507</v>
      </c>
    </row>
    <row r="59" spans="1:7" ht="3" customHeight="1">
      <c r="F59" s="909"/>
    </row>
    <row r="60" spans="1:7" ht="12" customHeight="1">
      <c r="A60" s="864">
        <v>20</v>
      </c>
      <c r="C60" s="864" t="s">
        <v>3120</v>
      </c>
      <c r="F60" s="2201" t="s">
        <v>970</v>
      </c>
      <c r="G60" s="937"/>
    </row>
    <row r="61" spans="1:7" ht="3" customHeight="1"/>
    <row r="62" spans="1:7" ht="12" customHeight="1">
      <c r="A62" s="864">
        <v>21</v>
      </c>
      <c r="C62" s="864" t="s">
        <v>3522</v>
      </c>
      <c r="E62" s="2202" t="s">
        <v>3508</v>
      </c>
      <c r="F62" s="2203" t="s">
        <v>3509</v>
      </c>
      <c r="G62" s="2202" t="s">
        <v>3121</v>
      </c>
    </row>
    <row r="63" spans="1:7" ht="12" customHeight="1">
      <c r="E63" s="2202" t="s">
        <v>3508</v>
      </c>
      <c r="F63" s="2203" t="s">
        <v>3509</v>
      </c>
      <c r="G63" s="2202"/>
    </row>
    <row r="64" spans="1:7" ht="3" customHeight="1"/>
    <row r="65" spans="1:7" ht="12" customHeight="1">
      <c r="A65" s="864">
        <v>22</v>
      </c>
      <c r="C65" s="864" t="s">
        <v>3122</v>
      </c>
      <c r="E65" s="919" t="str">
        <f>Overview!H9</f>
        <v>HDC Milledgeville Manor LP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2409</v>
      </c>
      <c r="F69" s="909">
        <v>20</v>
      </c>
      <c r="G69" s="864" t="s">
        <v>2468</v>
      </c>
    </row>
    <row r="70" spans="1:7" ht="3" customHeight="1"/>
    <row r="71" spans="1:7" ht="12" customHeight="1">
      <c r="A71" s="864">
        <v>25</v>
      </c>
      <c r="C71" s="864" t="s">
        <v>3126</v>
      </c>
      <c r="F71" s="2204">
        <f>'Part IV-A-Uses of Funds'!$G$122</f>
        <v>410046.81</v>
      </c>
    </row>
    <row r="72" spans="1:7" ht="3" customHeight="1">
      <c r="F72" s="2204"/>
    </row>
    <row r="73" spans="1:7" ht="12" customHeight="1">
      <c r="A73" s="864">
        <v>26</v>
      </c>
      <c r="C73" s="864" t="s">
        <v>3127</v>
      </c>
      <c r="F73" s="2204">
        <f>'Part IV-A-Uses of Funds'!$G$123</f>
        <v>0</v>
      </c>
    </row>
    <row r="74" spans="1:7" ht="3" customHeight="1">
      <c r="F74" s="2204"/>
    </row>
    <row r="75" spans="1:7" ht="12" customHeight="1">
      <c r="A75" s="864">
        <v>27</v>
      </c>
      <c r="C75" s="864" t="s">
        <v>3128</v>
      </c>
      <c r="F75" s="2205">
        <f>'Part IV-A-Uses of Funds'!$G$121</f>
        <v>25000</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27" t="s">
        <v>3318</v>
      </c>
      <c r="B1" s="4227"/>
      <c r="C1" s="4227"/>
      <c r="D1" s="4227"/>
      <c r="E1" s="4227"/>
      <c r="F1" s="4227"/>
      <c r="G1" s="4227"/>
      <c r="H1" s="4227"/>
      <c r="I1" s="4227"/>
      <c r="J1" s="4227"/>
    </row>
    <row r="2" spans="1:13" ht="15">
      <c r="A2" s="4227" t="str">
        <f>Overview!E8&amp;"  "&amp;Overview!C8</f>
        <v>2019-5  Enclave at Milledgeville</v>
      </c>
      <c r="B2" s="4227"/>
      <c r="C2" s="4227"/>
      <c r="D2" s="4227"/>
      <c r="E2" s="4227"/>
      <c r="F2" s="4227"/>
      <c r="G2" s="4227"/>
      <c r="H2" s="4227"/>
      <c r="I2" s="4227"/>
      <c r="J2" s="4227"/>
    </row>
    <row r="3" spans="1:13" ht="6" customHeight="1">
      <c r="K3" s="4226" t="s">
        <v>4256</v>
      </c>
      <c r="L3" s="4226"/>
      <c r="M3" s="4226"/>
    </row>
    <row r="4" spans="1:13" ht="12" customHeight="1">
      <c r="A4" s="905" t="s">
        <v>3130</v>
      </c>
      <c r="K4" s="4226"/>
      <c r="L4" s="4226"/>
      <c r="M4" s="4226"/>
    </row>
    <row r="5" spans="1:13" ht="12" customHeight="1">
      <c r="A5" s="864" t="s">
        <v>3131</v>
      </c>
      <c r="C5" s="906" t="str">
        <f>'Subsidy Layering Memo'!D6</f>
        <v>(Underwriter)</v>
      </c>
      <c r="I5" s="906"/>
      <c r="K5" s="4226"/>
      <c r="L5" s="4226"/>
      <c r="M5" s="4226"/>
    </row>
    <row r="6" spans="1:13" ht="6" customHeight="1">
      <c r="C6" s="801"/>
      <c r="D6" s="906"/>
      <c r="I6" s="906"/>
      <c r="K6" s="4226"/>
      <c r="L6" s="4226"/>
      <c r="M6" s="4226"/>
    </row>
    <row r="7" spans="1:13" ht="12" customHeight="1">
      <c r="A7" s="905" t="s">
        <v>3132</v>
      </c>
      <c r="C7" s="801"/>
      <c r="D7" s="906"/>
      <c r="I7" s="906"/>
      <c r="K7" s="4226"/>
      <c r="L7" s="4226"/>
      <c r="M7" s="4226"/>
    </row>
    <row r="8" spans="1:13" ht="12" customHeight="1">
      <c r="A8" s="864" t="s">
        <v>3133</v>
      </c>
      <c r="C8" s="906" t="str">
        <f>Overview!$H$9</f>
        <v>HDC Milledgeville Manor LP</v>
      </c>
      <c r="I8" s="906"/>
      <c r="K8" s="4226"/>
      <c r="L8" s="4226"/>
      <c r="M8" s="4226"/>
    </row>
    <row r="9" spans="1:13" ht="3" customHeight="1">
      <c r="C9" s="801"/>
      <c r="D9" s="906"/>
      <c r="I9" s="906"/>
    </row>
    <row r="10" spans="1:13" ht="12" customHeight="1">
      <c r="A10" s="864" t="s">
        <v>3134</v>
      </c>
      <c r="C10" s="1588" t="s">
        <v>1771</v>
      </c>
      <c r="I10" s="906"/>
    </row>
    <row r="11" spans="1:13" ht="12" customHeight="1">
      <c r="C11" s="1588" t="s">
        <v>1771</v>
      </c>
      <c r="I11" s="906"/>
    </row>
    <row r="12" spans="1:13" ht="12" customHeight="1">
      <c r="C12" s="906" t="s">
        <v>2678</v>
      </c>
      <c r="D12" s="927" t="s">
        <v>1771</v>
      </c>
      <c r="I12" s="906"/>
    </row>
    <row r="13" spans="1:13" ht="12" customHeight="1">
      <c r="C13" s="906" t="s">
        <v>3135</v>
      </c>
      <c r="D13" s="4230"/>
      <c r="E13" s="4230"/>
      <c r="F13" s="4230"/>
      <c r="G13" s="4230"/>
      <c r="H13" s="4230"/>
      <c r="I13" s="4230"/>
      <c r="J13" s="4230"/>
    </row>
    <row r="14" spans="1:13" ht="3" customHeight="1">
      <c r="G14" s="801"/>
      <c r="H14" s="906"/>
      <c r="I14" s="906"/>
    </row>
    <row r="15" spans="1:13" ht="12" customHeight="1">
      <c r="A15" s="864" t="s">
        <v>3136</v>
      </c>
      <c r="C15" s="908" t="str">
        <f>'Preview term'!E10</f>
        <v xml:space="preserve">E. P. Walker, Jr. </v>
      </c>
      <c r="G15" s="801"/>
      <c r="I15" s="906"/>
    </row>
    <row r="16" spans="1:13" ht="12" customHeight="1">
      <c r="A16" s="919" t="s">
        <v>4472</v>
      </c>
      <c r="C16" s="908" t="str">
        <f>'Part II-Development Team'!Q6</f>
        <v>President &amp; CEO</v>
      </c>
      <c r="G16" s="801"/>
      <c r="I16" s="906"/>
    </row>
    <row r="17" spans="1:9" ht="3" customHeight="1">
      <c r="G17" s="801"/>
      <c r="H17" s="906"/>
      <c r="I17" s="906"/>
    </row>
    <row r="18" spans="1:9" ht="12" customHeight="1">
      <c r="A18" s="864" t="s">
        <v>3137</v>
      </c>
      <c r="C18" s="908" t="str">
        <f>'Preview term'!$E$7</f>
        <v>750 Commerce Dr., Suite 110</v>
      </c>
      <c r="G18" s="801"/>
      <c r="I18" s="906"/>
    </row>
    <row r="19" spans="1:9" ht="12" customHeight="1">
      <c r="C19" s="908" t="str">
        <f>'Preview term'!$E$8</f>
        <v>Decatur, GA 30030</v>
      </c>
      <c r="G19" s="801"/>
      <c r="I19" s="906"/>
    </row>
    <row r="20" spans="1:9" ht="3" customHeight="1">
      <c r="G20" s="801"/>
      <c r="H20" s="906"/>
      <c r="I20" s="906"/>
    </row>
    <row r="21" spans="1:9" ht="12" customHeight="1">
      <c r="A21" s="864" t="s">
        <v>3138</v>
      </c>
      <c r="C21" s="908" t="str">
        <f>CONCATENATE('Preview term'!E49," of  ",'Preview term'!G49)</f>
        <v>L. Lake Jordan of  Coleman Talley LLP</v>
      </c>
      <c r="G21" s="801"/>
      <c r="I21" s="906"/>
    </row>
    <row r="22" spans="1:9" ht="3" customHeight="1">
      <c r="C22" s="908"/>
      <c r="G22" s="801"/>
      <c r="I22" s="906"/>
    </row>
    <row r="23" spans="1:9" ht="12" customHeight="1">
      <c r="A23" s="864" t="s">
        <v>3139</v>
      </c>
      <c r="C23" s="908">
        <f>'Preview term'!E12</f>
        <v>4704408610</v>
      </c>
      <c r="G23" s="801"/>
      <c r="I23" s="906"/>
    </row>
    <row r="24" spans="1:9" ht="3" customHeight="1">
      <c r="C24" s="908"/>
      <c r="G24" s="801"/>
      <c r="I24" s="906"/>
    </row>
    <row r="25" spans="1:9" ht="12" customHeight="1">
      <c r="A25" s="864" t="s">
        <v>3140</v>
      </c>
      <c r="C25" s="1590" t="str">
        <f>'Preview term'!E11</f>
        <v>pete.walker@dekalbhousing.org</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Enclave at Milledgeville</v>
      </c>
      <c r="I28" s="906"/>
    </row>
    <row r="29" spans="1:9" ht="3" customHeight="1">
      <c r="C29" s="908"/>
      <c r="I29" s="906"/>
    </row>
    <row r="30" spans="1:9" ht="12" customHeight="1">
      <c r="A30" s="864" t="s">
        <v>3143</v>
      </c>
      <c r="C30" s="908" t="str">
        <f>'Preview term'!E16</f>
        <v>1498 S. Jefferson St.</v>
      </c>
      <c r="I30" s="906"/>
    </row>
    <row r="31" spans="1:9">
      <c r="C31" s="906" t="str">
        <f>'Preview term'!E17</f>
        <v>Milledgeville, GA 31061</v>
      </c>
      <c r="I31" s="906"/>
    </row>
    <row r="32" spans="1:9" ht="3" customHeight="1">
      <c r="C32" s="801"/>
      <c r="D32" s="801"/>
      <c r="I32" s="801"/>
    </row>
    <row r="33" spans="1:10" ht="12" customHeight="1">
      <c r="A33" s="864" t="s">
        <v>3144</v>
      </c>
      <c r="C33" s="801" t="s">
        <v>3145</v>
      </c>
      <c r="D33" s="1589">
        <f>'Preview term'!F54</f>
        <v>76</v>
      </c>
      <c r="I33" s="801"/>
    </row>
    <row r="34" spans="1:10" ht="12" customHeight="1">
      <c r="C34" s="801" t="s">
        <v>3146</v>
      </c>
      <c r="D34" s="910">
        <f>'HOME Allocation Limit WS'!H12-'HOME Allocation Limit WS'!D12</f>
        <v>0</v>
      </c>
      <c r="I34" s="801"/>
    </row>
    <row r="35" spans="1:10" ht="12" customHeight="1">
      <c r="C35" s="801" t="s">
        <v>3147</v>
      </c>
      <c r="D35" s="911">
        <f>SUM(D33:D34)</f>
        <v>76</v>
      </c>
      <c r="I35" s="801"/>
    </row>
    <row r="36" spans="1:10" ht="3" customHeight="1">
      <c r="C36" s="801"/>
      <c r="D36" s="801"/>
      <c r="I36" s="801"/>
    </row>
    <row r="37" spans="1:10" ht="12" customHeight="1">
      <c r="A37" s="864" t="s">
        <v>3148</v>
      </c>
      <c r="C37" s="2202" t="s">
        <v>1771</v>
      </c>
      <c r="D37" s="1587">
        <f>'Preview term'!F56</f>
        <v>0</v>
      </c>
      <c r="E37" s="801" t="s">
        <v>3149</v>
      </c>
      <c r="I37" s="801"/>
    </row>
    <row r="38" spans="1:10" ht="3" customHeight="1">
      <c r="G38" s="912"/>
      <c r="H38" s="801"/>
      <c r="I38" s="801"/>
    </row>
    <row r="39" spans="1:10" ht="25.5" customHeight="1">
      <c r="A39" s="913" t="s">
        <v>3150</v>
      </c>
      <c r="C39" s="4228"/>
      <c r="D39" s="4228"/>
      <c r="E39" s="4228"/>
      <c r="F39" s="4228"/>
      <c r="G39" s="4228"/>
      <c r="H39" s="4228"/>
      <c r="I39" s="4228"/>
      <c r="J39" s="4228"/>
    </row>
    <row r="40" spans="1:10" ht="3" customHeight="1">
      <c r="G40" s="801"/>
      <c r="H40" s="801"/>
      <c r="I40" s="801"/>
    </row>
    <row r="41" spans="1:10" ht="25.5" customHeight="1">
      <c r="A41" s="913" t="s">
        <v>3151</v>
      </c>
      <c r="C41" s="4229" t="s">
        <v>3510</v>
      </c>
      <c r="D41" s="4229"/>
      <c r="E41" s="4229"/>
      <c r="F41" s="4229"/>
      <c r="G41" s="4229"/>
      <c r="H41" s="4229"/>
      <c r="I41" s="4229"/>
      <c r="J41" s="4229"/>
    </row>
    <row r="42" spans="1:10" ht="3" customHeight="1">
      <c r="C42" s="648"/>
      <c r="D42" s="648"/>
      <c r="E42" s="648"/>
      <c r="F42" s="648"/>
      <c r="G42" s="648"/>
      <c r="H42" s="649"/>
      <c r="I42" s="650"/>
      <c r="J42" s="649"/>
    </row>
    <row r="43" spans="1:10" ht="12" customHeight="1">
      <c r="A43" s="864" t="s">
        <v>3152</v>
      </c>
      <c r="C43" s="737" t="str">
        <f>'Part I-Project Information'!J39</f>
        <v>Baldwin</v>
      </c>
      <c r="D43" s="648"/>
      <c r="F43" s="649"/>
      <c r="I43" s="650"/>
      <c r="J43" s="649"/>
    </row>
    <row r="44" spans="1:10" ht="3" customHeight="1">
      <c r="C44" s="648"/>
      <c r="D44" s="648"/>
      <c r="E44" s="648"/>
      <c r="F44" s="649"/>
      <c r="I44" s="650"/>
      <c r="J44" s="649"/>
    </row>
    <row r="45" spans="1:10" ht="12" customHeight="1">
      <c r="A45" s="864" t="s">
        <v>3153</v>
      </c>
      <c r="C45" s="927" t="s">
        <v>1771</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29" t="s">
        <v>575</v>
      </c>
      <c r="D49" s="4229"/>
      <c r="E49" s="4229"/>
      <c r="F49" s="4229"/>
      <c r="G49" s="4229"/>
      <c r="H49" s="4229"/>
      <c r="I49" s="4229"/>
      <c r="J49" s="4229"/>
    </row>
    <row r="50" spans="1:10" ht="12" customHeight="1">
      <c r="C50" s="4234" t="s">
        <v>1808</v>
      </c>
      <c r="D50" s="4234"/>
      <c r="E50" s="4234"/>
      <c r="F50" s="4234"/>
      <c r="G50" s="4234"/>
      <c r="H50" s="4234"/>
      <c r="I50" s="4234"/>
      <c r="J50" s="4234"/>
    </row>
    <row r="51" spans="1:10" ht="3" customHeight="1">
      <c r="D51" s="916"/>
      <c r="E51" s="916"/>
      <c r="F51" s="916"/>
      <c r="G51" s="917"/>
      <c r="H51" s="801"/>
      <c r="I51" s="916"/>
      <c r="J51" s="916"/>
    </row>
    <row r="52" spans="1:10" ht="12" customHeight="1">
      <c r="A52" s="913" t="s">
        <v>3156</v>
      </c>
      <c r="B52" s="913"/>
      <c r="C52" s="918" t="s">
        <v>3157</v>
      </c>
      <c r="D52" s="918" t="s">
        <v>3511</v>
      </c>
      <c r="E52" s="4235"/>
      <c r="F52" s="4235"/>
      <c r="G52" s="4235"/>
      <c r="H52" s="4235"/>
      <c r="I52" s="4235"/>
      <c r="J52" s="4235"/>
    </row>
    <row r="53" spans="1:10" ht="12" customHeight="1">
      <c r="A53" s="913"/>
      <c r="B53" s="913"/>
      <c r="C53" s="913"/>
      <c r="D53" s="918" t="s">
        <v>3512</v>
      </c>
      <c r="E53" s="4236"/>
      <c r="F53" s="4236"/>
      <c r="G53" s="4236"/>
      <c r="H53" s="4236"/>
      <c r="I53" s="4236"/>
      <c r="J53" s="4236"/>
    </row>
    <row r="54" spans="1:10" ht="12" customHeight="1">
      <c r="A54" s="905" t="s">
        <v>3158</v>
      </c>
      <c r="G54" s="801"/>
      <c r="H54" s="801"/>
      <c r="I54" s="801"/>
    </row>
    <row r="55" spans="1:10" ht="18" customHeight="1">
      <c r="A55" s="864" t="s">
        <v>3159</v>
      </c>
      <c r="C55" s="907" t="str">
        <f>Overview!C10</f>
        <v>HDC Enclave at Milledgeville GP, LLC</v>
      </c>
      <c r="G55" s="801"/>
      <c r="I55" s="801"/>
    </row>
    <row r="56" spans="1:10" ht="3" customHeight="1">
      <c r="C56" s="907"/>
      <c r="G56" s="801"/>
      <c r="I56" s="801"/>
    </row>
    <row r="57" spans="1:10" ht="12" customHeight="1">
      <c r="A57" s="864" t="s">
        <v>3160</v>
      </c>
      <c r="C57" s="907" t="str">
        <f>Overview!C11</f>
        <v/>
      </c>
      <c r="E57" s="907" t="str">
        <f>Overview!E11</f>
        <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12082864</v>
      </c>
      <c r="G62" s="801"/>
      <c r="I62" s="801"/>
    </row>
    <row r="63" spans="1:10" ht="3" customHeight="1">
      <c r="D63" s="919"/>
      <c r="G63" s="801"/>
      <c r="H63" s="920"/>
      <c r="I63" s="801"/>
    </row>
    <row r="64" spans="1:10" ht="12" customHeight="1">
      <c r="A64" s="864" t="s">
        <v>3165</v>
      </c>
      <c r="C64" s="864" t="s">
        <v>3167</v>
      </c>
      <c r="D64" s="907" t="s">
        <v>970</v>
      </c>
      <c r="G64" s="801"/>
      <c r="I64" s="801"/>
    </row>
    <row r="65" spans="1:10" ht="3" customHeight="1">
      <c r="D65" s="919"/>
      <c r="G65" s="801"/>
      <c r="H65" s="801"/>
      <c r="I65" s="801"/>
    </row>
    <row r="66" spans="1:10" ht="12" customHeight="1">
      <c r="A66" s="864" t="s">
        <v>3168</v>
      </c>
      <c r="C66" s="1592" t="s">
        <v>1771</v>
      </c>
      <c r="D66" s="933"/>
      <c r="I66" s="801"/>
    </row>
    <row r="67" spans="1:10" ht="12" customHeight="1">
      <c r="C67" s="864" t="s">
        <v>3169</v>
      </c>
      <c r="D67" s="2189" t="s">
        <v>1771</v>
      </c>
      <c r="I67" s="801"/>
    </row>
    <row r="68" spans="1:10" ht="12" customHeight="1">
      <c r="C68" s="864" t="s">
        <v>3135</v>
      </c>
      <c r="D68" s="4230"/>
      <c r="E68" s="4230"/>
      <c r="F68" s="4230"/>
      <c r="G68" s="4230"/>
      <c r="H68" s="4230"/>
      <c r="I68" s="4230"/>
      <c r="J68" s="4230"/>
    </row>
    <row r="69" spans="1:10" ht="3" customHeight="1">
      <c r="D69" s="919"/>
      <c r="E69" s="801"/>
      <c r="F69" s="801"/>
      <c r="I69" s="801"/>
    </row>
    <row r="70" spans="1:10" ht="12" customHeight="1">
      <c r="A70" s="864" t="s">
        <v>3170</v>
      </c>
      <c r="C70" s="864" t="s">
        <v>2409</v>
      </c>
      <c r="D70" s="927" t="s">
        <v>1771</v>
      </c>
      <c r="I70" s="801"/>
    </row>
    <row r="71" spans="1:10" ht="3" customHeight="1">
      <c r="D71" s="801"/>
      <c r="E71" s="801"/>
      <c r="I71" s="801"/>
    </row>
    <row r="72" spans="1:10" ht="12" customHeight="1">
      <c r="A72" s="864" t="s">
        <v>3171</v>
      </c>
      <c r="C72" s="1592" t="s">
        <v>1771</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3561</v>
      </c>
      <c r="D77" s="924">
        <v>24</v>
      </c>
      <c r="I77" s="801"/>
    </row>
    <row r="78" spans="1:10" ht="3" customHeight="1">
      <c r="D78" s="919"/>
      <c r="E78" s="801"/>
      <c r="F78" s="801"/>
      <c r="I78" s="801"/>
    </row>
    <row r="79" spans="1:10" ht="12" customHeight="1">
      <c r="A79" s="864" t="s">
        <v>3175</v>
      </c>
      <c r="C79" s="864" t="s">
        <v>2409</v>
      </c>
      <c r="D79" s="925">
        <f>'Preview term'!F39</f>
        <v>420</v>
      </c>
      <c r="E79" s="801" t="s">
        <v>3515</v>
      </c>
      <c r="I79" s="801"/>
    </row>
    <row r="80" spans="1:10" ht="3" customHeight="1">
      <c r="D80" s="919"/>
      <c r="G80" s="801"/>
      <c r="H80" s="801"/>
      <c r="I80" s="801"/>
    </row>
    <row r="81" spans="1:9" ht="12" customHeight="1">
      <c r="A81" s="864" t="s">
        <v>3176</v>
      </c>
      <c r="D81" s="1593">
        <v>0</v>
      </c>
      <c r="E81" s="926">
        <f>D81*12</f>
        <v>0</v>
      </c>
      <c r="F81" s="801" t="s">
        <v>3562</v>
      </c>
    </row>
    <row r="82" spans="1:9" ht="3" customHeight="1">
      <c r="D82" s="907"/>
      <c r="E82" s="801"/>
      <c r="G82" s="801"/>
    </row>
    <row r="83" spans="1:9" ht="12" customHeight="1">
      <c r="A83" s="864" t="s">
        <v>3177</v>
      </c>
      <c r="D83" s="2189" t="s">
        <v>970</v>
      </c>
      <c r="E83" s="801" t="s">
        <v>3178</v>
      </c>
      <c r="G83" s="801"/>
    </row>
    <row r="84" spans="1:9" ht="3" customHeight="1">
      <c r="G84" s="801"/>
      <c r="H84" s="801"/>
      <c r="I84" s="801"/>
    </row>
    <row r="85" spans="1:9" ht="12" customHeight="1">
      <c r="A85" s="864" t="s">
        <v>3179</v>
      </c>
      <c r="C85" s="1591">
        <f>'Part VII-Pro Forma'!K71</f>
        <v>4944870.0775969625</v>
      </c>
      <c r="D85" s="928" t="s">
        <v>3513</v>
      </c>
      <c r="I85" s="801"/>
    </row>
    <row r="86" spans="1:9" ht="3" customHeight="1">
      <c r="C86" s="801" t="s">
        <v>1771</v>
      </c>
      <c r="D86" s="801"/>
      <c r="E86" s="801"/>
      <c r="I86" s="801"/>
    </row>
    <row r="87" spans="1:9" ht="12" customHeight="1">
      <c r="A87" s="864" t="s">
        <v>3180</v>
      </c>
      <c r="B87" s="929"/>
      <c r="C87" s="1592" t="s">
        <v>1771</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970</v>
      </c>
      <c r="I90" s="801"/>
    </row>
    <row r="91" spans="1:9" ht="3" customHeight="1">
      <c r="G91" s="801"/>
      <c r="H91" s="801"/>
      <c r="I91" s="801"/>
    </row>
    <row r="92" spans="1:9" ht="12" customHeight="1">
      <c r="A92" s="864" t="s">
        <v>3184</v>
      </c>
      <c r="C92" s="919" t="s">
        <v>3173</v>
      </c>
      <c r="D92" s="801" t="s">
        <v>3185</v>
      </c>
      <c r="E92" s="919" t="str">
        <f>'Part III-Sources of Funds'!H20</f>
        <v>Bank OZK</v>
      </c>
      <c r="I92" s="801"/>
    </row>
    <row r="93" spans="1:9" ht="12" customHeight="1">
      <c r="C93" s="933"/>
      <c r="D93" s="801"/>
      <c r="E93" s="919" t="s">
        <v>1797</v>
      </c>
      <c r="F93" s="4237"/>
      <c r="G93" s="4237"/>
      <c r="H93" s="4237"/>
      <c r="I93" s="801"/>
    </row>
    <row r="94" spans="1:9" ht="12" customHeight="1">
      <c r="C94" s="919"/>
      <c r="D94" s="801"/>
      <c r="E94" s="919" t="s">
        <v>1982</v>
      </c>
      <c r="F94" s="4238"/>
      <c r="G94" s="4238"/>
      <c r="H94" s="4238"/>
      <c r="I94" s="801"/>
    </row>
    <row r="95" spans="1:9" ht="12" customHeight="1">
      <c r="C95" s="919"/>
      <c r="D95" s="801"/>
      <c r="E95" s="919" t="s">
        <v>1800</v>
      </c>
      <c r="F95" s="4233"/>
      <c r="G95" s="4233"/>
      <c r="H95" s="4233"/>
      <c r="I95" s="801"/>
    </row>
    <row r="96" spans="1:9" ht="12" customHeight="1">
      <c r="B96" s="909"/>
      <c r="C96" s="922" t="s">
        <v>3330</v>
      </c>
      <c r="D96" s="801" t="s">
        <v>3185</v>
      </c>
      <c r="E96" s="919" t="str">
        <f>'Part III-Sources of Funds'!E38</f>
        <v>JLL/Freddie Mac</v>
      </c>
      <c r="I96" s="801"/>
    </row>
    <row r="97" spans="1:10" ht="12" customHeight="1">
      <c r="C97" s="919"/>
      <c r="D97" s="801"/>
      <c r="E97" s="919" t="s">
        <v>1797</v>
      </c>
      <c r="F97" s="4237"/>
      <c r="G97" s="4237"/>
      <c r="H97" s="4237"/>
      <c r="I97" s="801"/>
    </row>
    <row r="98" spans="1:10" ht="12" customHeight="1">
      <c r="C98" s="919"/>
      <c r="D98" s="801"/>
      <c r="E98" s="919" t="s">
        <v>1982</v>
      </c>
      <c r="F98" s="4238"/>
      <c r="G98" s="4238"/>
      <c r="H98" s="4238"/>
      <c r="I98" s="801"/>
    </row>
    <row r="99" spans="1:10" ht="12" customHeight="1">
      <c r="C99" s="919"/>
      <c r="D99" s="801"/>
      <c r="E99" s="919" t="s">
        <v>1800</v>
      </c>
      <c r="F99" s="4233"/>
      <c r="G99" s="4233"/>
      <c r="H99" s="4233"/>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3514</v>
      </c>
      <c r="I101" s="801"/>
    </row>
    <row r="102" spans="1:10" ht="3" customHeight="1">
      <c r="E102" s="801"/>
      <c r="F102" s="801"/>
      <c r="I102" s="801"/>
    </row>
    <row r="103" spans="1:10" ht="12" customHeight="1">
      <c r="A103" s="801" t="s">
        <v>3331</v>
      </c>
      <c r="D103" s="864" t="s">
        <v>970</v>
      </c>
      <c r="E103" s="801"/>
      <c r="I103" s="801"/>
    </row>
    <row r="104" spans="1:10" ht="6" customHeight="1">
      <c r="G104" s="801"/>
      <c r="H104" s="801"/>
      <c r="I104" s="801"/>
    </row>
    <row r="105" spans="1:10" ht="12" customHeight="1">
      <c r="A105" s="905" t="s">
        <v>3332</v>
      </c>
      <c r="I105" s="801"/>
    </row>
    <row r="106" spans="1:10" ht="12" customHeight="1">
      <c r="A106" s="864" t="s">
        <v>3187</v>
      </c>
      <c r="C106" s="1596" t="s">
        <v>1771</v>
      </c>
      <c r="D106" s="4240"/>
      <c r="E106" s="4240"/>
      <c r="F106" s="4240"/>
      <c r="G106" s="4240"/>
      <c r="H106" s="4240"/>
      <c r="I106" s="4240"/>
      <c r="J106" s="4241"/>
    </row>
    <row r="107" spans="1:10" ht="3" customHeight="1">
      <c r="C107" s="919"/>
      <c r="D107" s="801"/>
      <c r="I107" s="801"/>
    </row>
    <row r="108" spans="1:10" ht="12" customHeight="1">
      <c r="A108" s="864" t="s">
        <v>3188</v>
      </c>
      <c r="C108" s="2189" t="s">
        <v>1771</v>
      </c>
    </row>
    <row r="109" spans="1:10" ht="3" customHeight="1">
      <c r="C109" s="919"/>
      <c r="E109" s="801"/>
      <c r="F109" s="801"/>
      <c r="I109" s="801"/>
    </row>
    <row r="110" spans="1:10" ht="12" customHeight="1">
      <c r="A110" s="864" t="s">
        <v>3189</v>
      </c>
      <c r="C110" s="2189" t="s">
        <v>1771</v>
      </c>
      <c r="I110" s="801"/>
    </row>
    <row r="111" spans="1:10" ht="3" customHeight="1">
      <c r="D111" s="912"/>
      <c r="I111" s="801"/>
    </row>
    <row r="112" spans="1:10" ht="12" customHeight="1">
      <c r="A112" s="864" t="s">
        <v>3190</v>
      </c>
      <c r="D112" s="925">
        <v>24</v>
      </c>
      <c r="E112" s="801" t="s">
        <v>3191</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1771</v>
      </c>
      <c r="D118" s="933"/>
      <c r="I118" s="801"/>
    </row>
    <row r="119" spans="1:10" ht="12" customHeight="1">
      <c r="C119" s="801" t="s">
        <v>3195</v>
      </c>
      <c r="D119" s="923"/>
      <c r="E119" s="4243" t="s">
        <v>4266</v>
      </c>
      <c r="F119" s="4243"/>
      <c r="G119" s="4243"/>
      <c r="H119" s="4243"/>
      <c r="I119" s="4243"/>
      <c r="J119" s="4243"/>
    </row>
    <row r="120" spans="1:10" ht="12" customHeight="1">
      <c r="C120" s="801" t="s">
        <v>3196</v>
      </c>
      <c r="D120" s="1598"/>
      <c r="E120" s="4243"/>
      <c r="F120" s="4243"/>
      <c r="G120" s="4243"/>
      <c r="H120" s="4243"/>
      <c r="I120" s="4243"/>
      <c r="J120" s="4243"/>
    </row>
    <row r="121" spans="1:10" ht="12" customHeight="1">
      <c r="C121" s="801" t="s">
        <v>3197</v>
      </c>
      <c r="D121" s="1598"/>
      <c r="E121" s="4243"/>
      <c r="F121" s="4243"/>
      <c r="G121" s="4243"/>
      <c r="H121" s="4243"/>
      <c r="I121" s="4243"/>
      <c r="J121" s="4243"/>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HDC Residential,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949600</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HDC Management</v>
      </c>
      <c r="G137" s="801"/>
      <c r="I137" s="801"/>
      <c r="J137" s="936"/>
    </row>
    <row r="138" spans="1:10" ht="3" customHeight="1">
      <c r="C138" s="907"/>
      <c r="G138" s="801"/>
      <c r="I138" s="801"/>
    </row>
    <row r="139" spans="1:10" ht="12" customHeight="1">
      <c r="A139" s="864" t="s">
        <v>3208</v>
      </c>
      <c r="C139" s="908" t="str">
        <f>C8</f>
        <v>HDC Milledgeville Manor LP</v>
      </c>
      <c r="G139" s="801"/>
      <c r="I139" s="906"/>
      <c r="J139" s="937"/>
    </row>
    <row r="140" spans="1:10" ht="3" customHeight="1">
      <c r="C140" s="908"/>
      <c r="G140" s="801"/>
      <c r="I140" s="906"/>
      <c r="J140" s="937"/>
    </row>
    <row r="141" spans="1:10" ht="12" customHeight="1">
      <c r="A141" s="864" t="s">
        <v>3209</v>
      </c>
      <c r="C141" s="908" t="str">
        <f>C18</f>
        <v>750 Commerce Dr., Suite 110</v>
      </c>
      <c r="G141" s="801"/>
      <c r="I141" s="906"/>
      <c r="J141" s="937"/>
    </row>
    <row r="142" spans="1:10">
      <c r="C142" s="908" t="str">
        <f>C19</f>
        <v>Decatur, GA 30030</v>
      </c>
      <c r="G142" s="801"/>
      <c r="I142" s="906"/>
      <c r="J142" s="937"/>
    </row>
    <row r="143" spans="1:10" ht="3" customHeight="1">
      <c r="C143" s="938"/>
      <c r="G143" s="801"/>
      <c r="I143" s="906"/>
      <c r="J143" s="937"/>
    </row>
    <row r="144" spans="1:10" ht="12" customHeight="1">
      <c r="A144" s="864" t="s">
        <v>3210</v>
      </c>
      <c r="C144" s="908" t="str">
        <f>Overview!H10</f>
        <v>RBC Capital Markets</v>
      </c>
      <c r="G144" s="801"/>
      <c r="I144" s="906"/>
      <c r="J144" s="936"/>
    </row>
    <row r="145" spans="1:10" ht="3" customHeight="1">
      <c r="C145" s="908"/>
      <c r="G145" s="801"/>
      <c r="I145" s="906"/>
      <c r="J145" s="937"/>
    </row>
    <row r="146" spans="1:10" ht="12" customHeight="1">
      <c r="A146" s="864" t="s">
        <v>3211</v>
      </c>
      <c r="C146" s="908" t="str">
        <f>Overview!K10</f>
        <v>RBC Capital Markets</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3516</v>
      </c>
      <c r="D154" s="801"/>
      <c r="G154" s="801"/>
      <c r="H154" s="801"/>
      <c r="I154" s="801"/>
    </row>
    <row r="155" spans="1:10" ht="3" customHeight="1">
      <c r="D155" s="801"/>
      <c r="E155" s="801"/>
      <c r="G155" s="801"/>
    </row>
    <row r="156" spans="1:10" ht="12" customHeight="1">
      <c r="A156" s="864" t="s">
        <v>3216</v>
      </c>
      <c r="D156" s="2189">
        <v>20</v>
      </c>
      <c r="E156" s="801" t="s">
        <v>2409</v>
      </c>
    </row>
    <row r="157" spans="1:10" ht="3" customHeight="1">
      <c r="D157" s="801"/>
      <c r="E157" s="801"/>
      <c r="G157" s="801"/>
    </row>
    <row r="158" spans="1:10" ht="12" customHeight="1">
      <c r="A158" s="864" t="s">
        <v>3217</v>
      </c>
      <c r="C158" s="1592" t="s">
        <v>1771</v>
      </c>
      <c r="D158" s="801" t="s">
        <v>3563</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3517</v>
      </c>
      <c r="E164" s="4230"/>
      <c r="F164" s="4230"/>
      <c r="G164" s="4230"/>
      <c r="I164" s="801"/>
    </row>
    <row r="165" spans="1:13" ht="3" customHeight="1">
      <c r="E165" s="801"/>
      <c r="G165" s="801"/>
      <c r="I165" s="801"/>
    </row>
    <row r="166" spans="1:13" ht="12" customHeight="1">
      <c r="A166" s="864" t="s">
        <v>3220</v>
      </c>
      <c r="C166" s="864" t="s">
        <v>3221</v>
      </c>
      <c r="E166" s="940">
        <f>'Preview term'!F71</f>
        <v>410046.81</v>
      </c>
      <c r="G166" s="801"/>
      <c r="I166" s="801"/>
    </row>
    <row r="167" spans="1:13" ht="12" customHeight="1">
      <c r="C167" s="864" t="s">
        <v>3517</v>
      </c>
      <c r="E167" s="4230"/>
      <c r="F167" s="4230"/>
      <c r="G167" s="4230"/>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0</v>
      </c>
      <c r="G170" s="801"/>
      <c r="I170" s="801"/>
    </row>
    <row r="171" spans="1:13" ht="12" customHeight="1">
      <c r="C171" s="864" t="s">
        <v>3223</v>
      </c>
      <c r="E171" s="940">
        <f>'Preview term'!F73</f>
        <v>0</v>
      </c>
      <c r="G171" s="801"/>
      <c r="I171" s="906"/>
      <c r="J171" s="937"/>
      <c r="K171" s="937"/>
      <c r="L171" s="937"/>
      <c r="M171" s="937"/>
    </row>
    <row r="172" spans="1:13" ht="12" customHeight="1">
      <c r="C172" s="864" t="s">
        <v>3224</v>
      </c>
      <c r="E172" s="935">
        <f>'Part VI-Revenues &amp; Expenses'!P230</f>
        <v>26600</v>
      </c>
      <c r="F172" s="906" t="s">
        <v>3225</v>
      </c>
      <c r="J172" s="937"/>
      <c r="K172" s="937"/>
      <c r="L172" s="937"/>
      <c r="M172" s="937"/>
    </row>
    <row r="173" spans="1:13">
      <c r="E173" s="940">
        <f>E172/12</f>
        <v>2216.6666666666665</v>
      </c>
      <c r="F173" s="801" t="s">
        <v>3077</v>
      </c>
    </row>
    <row r="174" spans="1:13" ht="12" customHeight="1">
      <c r="C174" s="864" t="s">
        <v>3518</v>
      </c>
      <c r="E174" s="4230"/>
      <c r="F174" s="4230"/>
      <c r="G174" s="4230"/>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1771</v>
      </c>
      <c r="F178" s="941"/>
      <c r="I178" s="801"/>
    </row>
    <row r="179" spans="1:10" ht="12" customHeight="1">
      <c r="C179" s="864" t="s">
        <v>3228</v>
      </c>
      <c r="E179" s="927" t="s">
        <v>1771</v>
      </c>
      <c r="F179" s="4230"/>
      <c r="G179" s="4230"/>
      <c r="H179" s="4230"/>
      <c r="I179" s="4230"/>
      <c r="J179" s="4230"/>
    </row>
    <row r="180" spans="1:10" ht="12" customHeight="1">
      <c r="C180" s="864" t="s">
        <v>3519</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25000</v>
      </c>
      <c r="G183" s="801"/>
      <c r="I183" s="801"/>
    </row>
    <row r="184" spans="1:10" ht="12" customHeight="1">
      <c r="C184" s="864" t="s">
        <v>3517</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3517</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1771</v>
      </c>
      <c r="E195" s="801"/>
      <c r="F195" s="801"/>
      <c r="I195" s="801"/>
    </row>
    <row r="196" spans="1:10" ht="3" customHeight="1">
      <c r="G196" s="801"/>
      <c r="H196" s="801"/>
      <c r="I196" s="801"/>
    </row>
    <row r="197" spans="1:10">
      <c r="A197" s="913" t="s">
        <v>3521</v>
      </c>
      <c r="B197" s="913"/>
      <c r="C197" s="913"/>
      <c r="D197" s="913"/>
      <c r="E197" s="918" t="s">
        <v>3520</v>
      </c>
      <c r="F197" s="4242">
        <f>'Part VIII-Threshold Criteria'!E400</f>
        <v>0</v>
      </c>
      <c r="G197" s="4242"/>
      <c r="H197" s="4242"/>
      <c r="I197" s="4242"/>
      <c r="J197" s="4242"/>
    </row>
    <row r="198" spans="1:10" ht="9" customHeight="1">
      <c r="G198" s="801"/>
      <c r="H198" s="801"/>
      <c r="I198" s="801"/>
    </row>
    <row r="199" spans="1:10" ht="12" customHeight="1">
      <c r="A199" s="942" t="s">
        <v>3319</v>
      </c>
      <c r="G199" s="801"/>
      <c r="H199" s="801"/>
      <c r="I199" s="926"/>
    </row>
    <row r="200" spans="1:10" ht="25.5" hidden="1" customHeight="1">
      <c r="A200" s="4231" t="str">
        <f>'Subsidy Layering Memo'!A98</f>
        <v>Include any reserve requirements; explain any reserves far in excess of 6 month ODR, 3 mo lease up, 1 year RR, 6 mo T&amp;I standards.</v>
      </c>
      <c r="B200" s="4231"/>
      <c r="C200" s="4231"/>
      <c r="D200" s="4231"/>
      <c r="E200" s="4231"/>
      <c r="F200" s="4231"/>
      <c r="G200" s="4231"/>
      <c r="H200" s="4231"/>
      <c r="I200" s="4231"/>
      <c r="J200" s="4231"/>
    </row>
    <row r="201" spans="1:10">
      <c r="A201" s="801"/>
      <c r="G201" s="801"/>
      <c r="H201" s="801"/>
      <c r="I201" s="801"/>
    </row>
    <row r="202" spans="1:10">
      <c r="A202" s="905" t="s">
        <v>3235</v>
      </c>
      <c r="G202" s="801"/>
      <c r="H202" s="801"/>
      <c r="I202" s="801"/>
    </row>
    <row r="203" spans="1:10" ht="3" customHeight="1">
      <c r="G203" s="801"/>
      <c r="H203" s="801"/>
      <c r="I203" s="801"/>
    </row>
    <row r="204" spans="1:10" ht="76.5" customHeight="1">
      <c r="A204" s="4232" t="s">
        <v>2942</v>
      </c>
      <c r="B204" s="4232"/>
      <c r="C204" s="4232"/>
      <c r="D204" s="4232"/>
      <c r="E204" s="4232"/>
      <c r="F204" s="4232"/>
      <c r="G204" s="4232"/>
      <c r="H204" s="4232"/>
      <c r="I204" s="4232"/>
      <c r="J204" s="4232"/>
    </row>
    <row r="205" spans="1:10">
      <c r="A205" s="801" t="s">
        <v>2943</v>
      </c>
      <c r="G205" s="801"/>
      <c r="H205" s="801"/>
      <c r="I205" s="801"/>
    </row>
    <row r="206" spans="1:10" ht="38.25" customHeight="1">
      <c r="A206" s="4232" t="str">
        <f>'Subsidy Layering Memo'!A37&amp;".  "&amp;'Subsidy Layering Memo'!A38</f>
        <v xml:space="preserve">.  </v>
      </c>
      <c r="B206" s="4239"/>
      <c r="C206" s="4239"/>
      <c r="D206" s="4239"/>
      <c r="E206" s="4239"/>
      <c r="F206" s="4239"/>
      <c r="G206" s="4239"/>
      <c r="H206" s="4239"/>
      <c r="I206" s="4239"/>
      <c r="J206" s="4239"/>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3236</v>
      </c>
      <c r="H1" s="909" t="str">
        <f>Overview!C8</f>
        <v>Enclave at Milledgeville</v>
      </c>
    </row>
    <row r="2" spans="1:11">
      <c r="A2" s="801" t="s">
        <v>3237</v>
      </c>
      <c r="H2" s="864" t="str">
        <f>Overview!E8</f>
        <v>2019-5</v>
      </c>
    </row>
    <row r="3" spans="1:11" ht="3" customHeight="1"/>
    <row r="4" spans="1:11" ht="51.75" customHeight="1">
      <c r="A4" s="4239" t="s">
        <v>3336</v>
      </c>
      <c r="B4" s="4239"/>
      <c r="C4" s="4239"/>
      <c r="D4" s="4239"/>
      <c r="E4" s="4239"/>
      <c r="F4" s="4239"/>
      <c r="G4" s="4239"/>
      <c r="H4" s="4239"/>
      <c r="J4" s="1616">
        <f>SUM('Part VII-Pro Forma'!B14:B16)/12</f>
        <v>76402.141199999998</v>
      </c>
      <c r="K4" s="1615" t="s">
        <v>4473</v>
      </c>
    </row>
    <row r="5" spans="1:11" ht="1.5" customHeight="1">
      <c r="C5" s="943"/>
      <c r="D5" s="943"/>
      <c r="E5" s="943"/>
      <c r="F5" s="943"/>
      <c r="G5" s="943"/>
      <c r="H5" s="943"/>
    </row>
    <row r="6" spans="1:11" ht="12.75" customHeight="1">
      <c r="B6" s="944" t="s">
        <v>2434</v>
      </c>
      <c r="C6" s="4239" t="s">
        <v>3238</v>
      </c>
      <c r="D6" s="4239"/>
      <c r="E6" s="4239"/>
      <c r="F6" s="4239"/>
      <c r="G6" s="4239"/>
      <c r="H6" s="4239"/>
    </row>
    <row r="7" spans="1:11" ht="12.75" customHeight="1">
      <c r="B7" s="944" t="s">
        <v>2435</v>
      </c>
      <c r="C7" s="4239" t="s">
        <v>3239</v>
      </c>
      <c r="D7" s="4239"/>
      <c r="E7" s="4239"/>
      <c r="F7" s="4239"/>
      <c r="G7" s="4239"/>
      <c r="H7" s="4239"/>
    </row>
    <row r="8" spans="1:11" ht="3" customHeight="1"/>
    <row r="9" spans="1:11">
      <c r="A9" s="864" t="s">
        <v>3240</v>
      </c>
    </row>
    <row r="10" spans="1:11" ht="1.5" customHeight="1"/>
    <row r="11" spans="1:11" ht="26.25" customHeight="1">
      <c r="A11" s="945" t="s">
        <v>1983</v>
      </c>
      <c r="B11" s="4245" t="s">
        <v>3333</v>
      </c>
      <c r="C11" s="4245"/>
      <c r="D11" s="4245"/>
      <c r="E11" s="4245"/>
      <c r="F11" s="4245"/>
      <c r="G11" s="4246">
        <f>'Part III-Sources of Funds'!I49+'Part III-Sources of Funds'!I50</f>
        <v>6817234</v>
      </c>
      <c r="H11" s="4246"/>
    </row>
    <row r="12" spans="1:11" ht="1.5" customHeight="1">
      <c r="G12" s="913"/>
      <c r="H12" s="913"/>
    </row>
    <row r="13" spans="1:11" ht="26.25" customHeight="1">
      <c r="A13" s="945" t="s">
        <v>1985</v>
      </c>
      <c r="B13" s="4245" t="s">
        <v>3334</v>
      </c>
      <c r="C13" s="4245"/>
      <c r="D13" s="4245"/>
      <c r="E13" s="4245"/>
      <c r="F13" s="4245"/>
      <c r="G13" s="4247" t="s">
        <v>3166</v>
      </c>
      <c r="H13" s="4247"/>
    </row>
    <row r="14" spans="1:11" ht="12" hidden="1" customHeight="1">
      <c r="A14" s="945"/>
      <c r="B14" s="4228"/>
      <c r="C14" s="4228"/>
      <c r="D14" s="4228"/>
      <c r="E14" s="4228"/>
      <c r="F14" s="4228"/>
      <c r="G14" s="4228"/>
      <c r="H14" s="4228"/>
    </row>
    <row r="15" spans="1:11" ht="1.5" customHeight="1"/>
    <row r="16" spans="1:11" ht="12" customHeight="1">
      <c r="A16" s="945" t="s">
        <v>749</v>
      </c>
      <c r="B16" s="864" t="s">
        <v>3338</v>
      </c>
      <c r="F16" s="937"/>
      <c r="G16" s="4225" t="s">
        <v>2992</v>
      </c>
      <c r="H16" s="4225"/>
    </row>
    <row r="17" spans="1:8" ht="1.5" customHeight="1">
      <c r="G17" s="919"/>
    </row>
    <row r="18" spans="1:8" ht="12" customHeight="1">
      <c r="A18" s="945" t="s">
        <v>2115</v>
      </c>
      <c r="B18" s="913" t="s">
        <v>3335</v>
      </c>
      <c r="C18" s="945"/>
      <c r="D18" s="945"/>
      <c r="E18" s="945"/>
      <c r="G18" s="4228" t="s">
        <v>2823</v>
      </c>
      <c r="H18" s="4228"/>
    </row>
    <row r="19" spans="1:8" ht="12" hidden="1" customHeight="1">
      <c r="B19" s="4228"/>
      <c r="C19" s="4228"/>
      <c r="D19" s="4228"/>
      <c r="E19" s="4228"/>
      <c r="F19" s="4228"/>
      <c r="G19" s="4228"/>
      <c r="H19" s="4228"/>
    </row>
    <row r="20" spans="1:8" ht="13.5" customHeight="1"/>
    <row r="21" spans="1:8" ht="12" customHeight="1">
      <c r="A21" s="801" t="s">
        <v>3241</v>
      </c>
    </row>
    <row r="22" spans="1:8" ht="3" customHeight="1"/>
    <row r="23" spans="1:8" ht="26.25" customHeight="1">
      <c r="A23" s="4248" t="s">
        <v>3337</v>
      </c>
      <c r="B23" s="4248"/>
      <c r="C23" s="4248"/>
      <c r="D23" s="4248"/>
      <c r="E23" s="4248"/>
      <c r="F23" s="4248"/>
      <c r="G23" s="4248"/>
      <c r="H23" s="4248"/>
    </row>
    <row r="24" spans="1:8" ht="26.25" customHeight="1">
      <c r="A24" s="4244" t="s">
        <v>3242</v>
      </c>
      <c r="B24" s="4244"/>
      <c r="C24" s="4244"/>
      <c r="D24" s="4244"/>
      <c r="E24" s="4244"/>
      <c r="F24" s="4244"/>
      <c r="G24" s="4244"/>
      <c r="H24" s="4244"/>
    </row>
    <row r="25" spans="1:8" ht="9" customHeight="1">
      <c r="A25" s="886"/>
    </row>
    <row r="26" spans="1:8">
      <c r="A26" s="919" t="s">
        <v>3339</v>
      </c>
      <c r="B26" s="946"/>
      <c r="C26" s="919" t="s">
        <v>3340</v>
      </c>
      <c r="D26" s="947" t="s">
        <v>3527</v>
      </c>
    </row>
    <row r="27" spans="1:8" ht="6" customHeight="1"/>
    <row r="28" spans="1:8" ht="12.75" customHeight="1">
      <c r="C28" s="913" t="s">
        <v>3243</v>
      </c>
      <c r="D28" s="948" t="s">
        <v>1986</v>
      </c>
      <c r="E28" s="949"/>
      <c r="F28" s="4239" t="s">
        <v>3244</v>
      </c>
      <c r="G28" s="4239"/>
      <c r="H28" s="4239"/>
    </row>
    <row r="29" spans="1:8" ht="12.75" customHeight="1">
      <c r="C29" s="950" t="s">
        <v>1353</v>
      </c>
      <c r="D29" s="948" t="s">
        <v>1988</v>
      </c>
      <c r="E29" s="4239" t="s">
        <v>3344</v>
      </c>
      <c r="F29" s="4239"/>
      <c r="G29" s="4239"/>
      <c r="H29" s="4239"/>
    </row>
    <row r="30" spans="1:8" ht="12.75" customHeight="1">
      <c r="E30" s="4239" t="s">
        <v>3523</v>
      </c>
      <c r="F30" s="4239"/>
      <c r="G30" s="4239"/>
      <c r="H30" s="4239"/>
    </row>
    <row r="31" spans="1:8" ht="12.75" customHeight="1">
      <c r="D31" s="951" t="s">
        <v>3343</v>
      </c>
      <c r="E31" s="4239" t="s">
        <v>3524</v>
      </c>
      <c r="F31" s="4239"/>
      <c r="G31" s="4239"/>
      <c r="H31" s="4239"/>
    </row>
    <row r="32" spans="1:8" ht="3" customHeight="1">
      <c r="D32" s="948"/>
      <c r="E32" s="2188"/>
      <c r="F32" s="2188"/>
      <c r="G32" s="2188"/>
      <c r="H32" s="2188"/>
    </row>
    <row r="33" spans="1:11">
      <c r="A33" s="919" t="s">
        <v>3339</v>
      </c>
      <c r="B33" s="946"/>
      <c r="C33" s="919" t="s">
        <v>3341</v>
      </c>
      <c r="D33" s="947" t="s">
        <v>3528</v>
      </c>
    </row>
    <row r="34" spans="1:11" ht="4.5" customHeight="1"/>
    <row r="35" spans="1:11" ht="12.75" customHeight="1">
      <c r="C35" s="913" t="s">
        <v>3243</v>
      </c>
      <c r="D35" s="948" t="s">
        <v>1986</v>
      </c>
      <c r="E35" s="949"/>
      <c r="F35" s="4239" t="s">
        <v>3244</v>
      </c>
      <c r="G35" s="4239"/>
      <c r="H35" s="4239"/>
    </row>
    <row r="36" spans="1:11" ht="12.75" customHeight="1">
      <c r="C36" s="950" t="s">
        <v>1353</v>
      </c>
      <c r="D36" s="948" t="s">
        <v>1988</v>
      </c>
      <c r="E36" s="4239" t="s">
        <v>3345</v>
      </c>
      <c r="F36" s="4239"/>
      <c r="G36" s="4239"/>
      <c r="H36" s="4239"/>
    </row>
    <row r="37" spans="1:11" ht="12.75" customHeight="1">
      <c r="E37" s="4239" t="s">
        <v>3523</v>
      </c>
      <c r="F37" s="4239"/>
      <c r="G37" s="4239"/>
      <c r="H37" s="4239"/>
    </row>
    <row r="38" spans="1:11" ht="12.75" customHeight="1">
      <c r="D38" s="951" t="s">
        <v>3343</v>
      </c>
      <c r="E38" s="4239" t="s">
        <v>3524</v>
      </c>
      <c r="F38" s="4239"/>
      <c r="G38" s="4239"/>
      <c r="H38" s="4239"/>
    </row>
    <row r="39" spans="1:11" ht="3" customHeight="1">
      <c r="D39" s="948"/>
      <c r="E39" s="2188"/>
      <c r="F39" s="2188"/>
      <c r="G39" s="2188"/>
      <c r="H39" s="2188"/>
    </row>
    <row r="40" spans="1:11">
      <c r="A40" s="919" t="s">
        <v>3339</v>
      </c>
      <c r="B40" s="946"/>
      <c r="C40" s="919" t="s">
        <v>3342</v>
      </c>
      <c r="D40" s="947" t="s">
        <v>3529</v>
      </c>
    </row>
    <row r="41" spans="1:11" ht="4.5" customHeight="1"/>
    <row r="42" spans="1:11" ht="12.75" customHeight="1">
      <c r="C42" s="913" t="s">
        <v>3243</v>
      </c>
      <c r="D42" s="948" t="s">
        <v>1986</v>
      </c>
      <c r="E42" s="949"/>
      <c r="F42" s="4239" t="s">
        <v>3244</v>
      </c>
      <c r="G42" s="4239"/>
      <c r="H42" s="4239"/>
      <c r="K42" s="864" t="s">
        <v>243</v>
      </c>
    </row>
    <row r="43" spans="1:11" ht="12.75" customHeight="1">
      <c r="C43" s="950" t="s">
        <v>1353</v>
      </c>
      <c r="D43" s="948" t="s">
        <v>1988</v>
      </c>
      <c r="E43" s="4239" t="s">
        <v>3345</v>
      </c>
      <c r="F43" s="4239"/>
      <c r="G43" s="4239"/>
      <c r="H43" s="4239"/>
    </row>
    <row r="44" spans="1:11" ht="12.75" customHeight="1">
      <c r="E44" s="4239" t="s">
        <v>3523</v>
      </c>
      <c r="F44" s="4239"/>
      <c r="G44" s="4239"/>
      <c r="H44" s="4239"/>
    </row>
    <row r="45" spans="1:11" ht="12.75" customHeight="1">
      <c r="D45" s="951" t="s">
        <v>3343</v>
      </c>
      <c r="E45" s="4239" t="s">
        <v>3524</v>
      </c>
      <c r="F45" s="4239"/>
      <c r="G45" s="4239"/>
      <c r="H45" s="4239"/>
    </row>
    <row r="46" spans="1:11" ht="9" customHeight="1"/>
    <row r="47" spans="1:11" ht="7.5" customHeight="1">
      <c r="E47" s="4239"/>
      <c r="F47" s="4239"/>
      <c r="G47" s="4239"/>
      <c r="H47" s="4239"/>
    </row>
    <row r="48" spans="1:11" ht="24.75" customHeight="1">
      <c r="A48" s="4249" t="s">
        <v>4241</v>
      </c>
      <c r="B48" s="4249"/>
      <c r="C48" s="4249"/>
      <c r="D48" s="4249"/>
      <c r="E48" s="4249"/>
      <c r="F48" s="4249"/>
      <c r="G48" s="4249"/>
      <c r="H48" s="4249"/>
    </row>
    <row r="49" spans="1:11" ht="9" customHeight="1"/>
    <row r="50" spans="1:11" ht="26.25" customHeight="1">
      <c r="A50" s="4248" t="s">
        <v>3525</v>
      </c>
      <c r="B50" s="4248"/>
      <c r="C50" s="4248"/>
      <c r="D50" s="4248"/>
      <c r="E50" s="4248"/>
      <c r="F50" s="4248"/>
      <c r="G50" s="4248"/>
      <c r="H50" s="4248"/>
    </row>
    <row r="51" spans="1:11" ht="9" customHeight="1">
      <c r="A51" s="886"/>
    </row>
    <row r="52" spans="1:11">
      <c r="A52" s="919" t="s">
        <v>3339</v>
      </c>
      <c r="B52" s="946"/>
      <c r="C52" s="919" t="s">
        <v>3340</v>
      </c>
      <c r="D52" s="947" t="s">
        <v>3526</v>
      </c>
    </row>
    <row r="53" spans="1:11" ht="4.5" customHeight="1"/>
    <row r="54" spans="1:11" ht="12.75" customHeight="1">
      <c r="C54" s="913" t="s">
        <v>3243</v>
      </c>
      <c r="D54" s="948" t="s">
        <v>1986</v>
      </c>
      <c r="E54" s="949"/>
      <c r="F54" s="4239" t="s">
        <v>3244</v>
      </c>
      <c r="G54" s="4239"/>
      <c r="H54" s="4239"/>
    </row>
    <row r="55" spans="1:11" ht="12.75" customHeight="1">
      <c r="C55" s="950" t="s">
        <v>1353</v>
      </c>
      <c r="D55" s="948" t="s">
        <v>1988</v>
      </c>
      <c r="E55" s="4239" t="s">
        <v>3532</v>
      </c>
      <c r="F55" s="4239"/>
      <c r="G55" s="4239"/>
      <c r="H55" s="4239"/>
    </row>
    <row r="56" spans="1:11" ht="3" customHeight="1">
      <c r="D56" s="948"/>
      <c r="E56" s="2188"/>
      <c r="F56" s="2188"/>
      <c r="G56" s="2188"/>
      <c r="H56" s="2188"/>
    </row>
    <row r="57" spans="1:11">
      <c r="A57" s="919" t="s">
        <v>3339</v>
      </c>
      <c r="B57" s="946"/>
      <c r="C57" s="919" t="s">
        <v>3341</v>
      </c>
      <c r="D57" s="947" t="s">
        <v>3530</v>
      </c>
    </row>
    <row r="58" spans="1:11" ht="4.5" customHeight="1"/>
    <row r="59" spans="1:11">
      <c r="C59" s="913" t="s">
        <v>3243</v>
      </c>
      <c r="D59" s="948" t="s">
        <v>1986</v>
      </c>
      <c r="E59" s="949"/>
      <c r="F59" s="4239" t="s">
        <v>3244</v>
      </c>
      <c r="G59" s="4239"/>
      <c r="H59" s="4239"/>
    </row>
    <row r="60" spans="1:11" ht="12.75" customHeight="1">
      <c r="C60" s="950" t="s">
        <v>1353</v>
      </c>
      <c r="D60" s="948" t="s">
        <v>1988</v>
      </c>
      <c r="E60" s="4239" t="s">
        <v>3532</v>
      </c>
      <c r="F60" s="4239"/>
      <c r="G60" s="4239"/>
      <c r="H60" s="4239"/>
    </row>
    <row r="61" spans="1:11" ht="3" customHeight="1">
      <c r="D61" s="948"/>
      <c r="E61" s="2188"/>
      <c r="F61" s="2188"/>
      <c r="G61" s="2188"/>
      <c r="H61" s="2188"/>
    </row>
    <row r="62" spans="1:11">
      <c r="A62" s="919" t="s">
        <v>3339</v>
      </c>
      <c r="B62" s="946"/>
      <c r="C62" s="919" t="s">
        <v>3342</v>
      </c>
      <c r="D62" s="947" t="s">
        <v>3531</v>
      </c>
    </row>
    <row r="63" spans="1:11" ht="4.5" customHeight="1"/>
    <row r="64" spans="1:11">
      <c r="C64" s="913" t="s">
        <v>3243</v>
      </c>
      <c r="D64" s="948" t="s">
        <v>1986</v>
      </c>
      <c r="E64" s="949"/>
      <c r="F64" s="4239" t="s">
        <v>3244</v>
      </c>
      <c r="G64" s="4239"/>
      <c r="H64" s="4239"/>
      <c r="K64" s="864" t="s">
        <v>243</v>
      </c>
    </row>
    <row r="65" spans="3:8" ht="12.75" customHeight="1">
      <c r="C65" s="950" t="s">
        <v>1353</v>
      </c>
      <c r="D65" s="948" t="s">
        <v>1988</v>
      </c>
      <c r="E65" s="4239" t="s">
        <v>3532</v>
      </c>
      <c r="F65" s="4239"/>
      <c r="G65" s="4239"/>
      <c r="H65" s="4239"/>
    </row>
    <row r="66" spans="3:8" ht="7.5" customHeight="1">
      <c r="E66" s="4239"/>
      <c r="F66" s="4239"/>
      <c r="G66" s="4239"/>
      <c r="H66" s="423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1" t="s">
        <v>4280</v>
      </c>
      <c r="C1" s="4261"/>
      <c r="D1" s="4261"/>
      <c r="E1" s="4261"/>
      <c r="F1" s="4261"/>
      <c r="G1" s="4261"/>
      <c r="H1" s="4261"/>
      <c r="I1" s="4261"/>
    </row>
    <row r="2" spans="2:13" ht="15">
      <c r="B2" s="2208" t="s">
        <v>4268</v>
      </c>
      <c r="C2" s="912"/>
      <c r="D2" s="912"/>
      <c r="E2" s="912"/>
      <c r="F2" s="912"/>
      <c r="G2" s="912"/>
      <c r="H2" s="912"/>
      <c r="I2" s="912"/>
    </row>
    <row r="3" spans="2:13" ht="14.25">
      <c r="B3" s="2209" t="s">
        <v>4275</v>
      </c>
      <c r="C3" s="912"/>
      <c r="D3" s="912"/>
      <c r="E3" s="912"/>
      <c r="F3" s="912"/>
      <c r="G3" s="912"/>
      <c r="H3" s="912"/>
      <c r="I3" s="912"/>
    </row>
    <row r="4" spans="2:13">
      <c r="B4" s="4262" t="s">
        <v>3245</v>
      </c>
      <c r="C4" s="4262"/>
      <c r="D4" s="4262"/>
      <c r="E4" s="4267" t="s">
        <v>3246</v>
      </c>
      <c r="F4" s="4269"/>
      <c r="G4" s="4267" t="s">
        <v>617</v>
      </c>
      <c r="H4" s="4268"/>
      <c r="I4" s="4269"/>
      <c r="J4" s="2202" t="s">
        <v>3090</v>
      </c>
      <c r="K4" s="2202"/>
      <c r="L4" s="2210"/>
      <c r="M4" s="2210"/>
    </row>
    <row r="5" spans="2:13">
      <c r="B5" s="4263" t="str">
        <f>'Closing term sheet'!C8</f>
        <v>HDC Milledgeville Manor LP</v>
      </c>
      <c r="C5" s="4264"/>
      <c r="D5" s="4264"/>
      <c r="E5" s="4273"/>
      <c r="F5" s="4274"/>
      <c r="G5" s="4270" t="str">
        <f>'Closing term sheet'!C28</f>
        <v>Enclave at Milledgeville</v>
      </c>
      <c r="H5" s="4271"/>
      <c r="I5" s="4272"/>
      <c r="K5" s="864"/>
    </row>
    <row r="6" spans="2:13" ht="4.5" customHeight="1">
      <c r="D6" s="2211"/>
      <c r="E6" s="2211"/>
      <c r="F6" s="2211"/>
      <c r="G6" s="2211"/>
      <c r="H6" s="2211"/>
      <c r="I6" s="2211"/>
      <c r="K6" s="864"/>
    </row>
    <row r="7" spans="2:13">
      <c r="B7" s="4256" t="s">
        <v>3247</v>
      </c>
      <c r="C7" s="4256"/>
      <c r="D7" s="2212"/>
      <c r="E7" s="2212"/>
      <c r="F7" s="2212"/>
      <c r="G7" s="2212"/>
      <c r="H7" s="4265" t="str">
        <f>'Preview term'!E9</f>
        <v>85-0526911</v>
      </c>
      <c r="I7" s="4266"/>
    </row>
    <row r="8" spans="2:13" ht="4.5" customHeight="1">
      <c r="B8" s="2212"/>
      <c r="C8" s="2212"/>
      <c r="D8" s="2212"/>
      <c r="E8" s="2212"/>
      <c r="F8" s="2212"/>
      <c r="G8" s="2212"/>
      <c r="H8" s="2212"/>
      <c r="I8" s="2212"/>
      <c r="J8" s="2212"/>
    </row>
    <row r="9" spans="2:13">
      <c r="B9" s="2213" t="s">
        <v>3248</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4267</v>
      </c>
      <c r="C11" s="2212"/>
      <c r="D11" s="2216"/>
      <c r="E11" s="2212"/>
      <c r="F11" s="2212"/>
      <c r="G11" s="2212"/>
      <c r="H11" s="2212"/>
      <c r="I11" s="2212"/>
    </row>
    <row r="12" spans="2:13">
      <c r="B12" s="2217" t="s">
        <v>3249</v>
      </c>
      <c r="C12" s="2218"/>
      <c r="D12" s="2218"/>
      <c r="E12" s="2218"/>
      <c r="F12" s="2218"/>
      <c r="G12" s="2218"/>
      <c r="H12" s="2218"/>
      <c r="I12" s="2219" t="s">
        <v>1771</v>
      </c>
    </row>
    <row r="13" spans="2:13">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4271</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c r="B35" s="2223" t="s">
        <v>4279</v>
      </c>
      <c r="C35" s="2212"/>
      <c r="D35" s="2212"/>
      <c r="F35" s="2238"/>
      <c r="H35" s="4275" t="s">
        <v>4288</v>
      </c>
      <c r="I35" s="4276"/>
    </row>
    <row r="36" spans="2:9">
      <c r="B36" s="2239" t="s">
        <v>4287</v>
      </c>
      <c r="C36" s="2237"/>
      <c r="D36" s="2237"/>
      <c r="E36" s="2212"/>
      <c r="F36" s="2668"/>
      <c r="G36" s="2240"/>
      <c r="H36" s="4275"/>
      <c r="I36" s="4276"/>
    </row>
    <row r="37" spans="2:9">
      <c r="B37" s="2239" t="s">
        <v>4285</v>
      </c>
      <c r="D37" s="2237"/>
      <c r="E37" s="2212"/>
      <c r="F37" s="2669"/>
      <c r="G37" s="2240"/>
      <c r="H37" s="4275"/>
      <c r="I37" s="4276"/>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Acquisition/Rehabilitation</v>
      </c>
      <c r="F47" s="888" t="s">
        <v>4289</v>
      </c>
      <c r="H47" s="2212"/>
      <c r="I47" s="2222"/>
    </row>
    <row r="48" spans="2:9">
      <c r="B48" s="2228" t="s">
        <v>3260</v>
      </c>
      <c r="C48" s="2237"/>
      <c r="D48" s="2237" t="s">
        <v>3261</v>
      </c>
      <c r="E48" s="2212"/>
      <c r="F48" s="4284" t="str">
        <f>'Closing term sheet'!$C$30</f>
        <v>1498 S. Jefferson St.</v>
      </c>
      <c r="G48" s="4285"/>
      <c r="H48" s="4285"/>
      <c r="I48" s="4286"/>
    </row>
    <row r="49" spans="2:9">
      <c r="B49" s="2228" t="s">
        <v>3262</v>
      </c>
      <c r="D49" s="2237" t="s">
        <v>3263</v>
      </c>
      <c r="E49" s="2212"/>
      <c r="F49" s="4287"/>
      <c r="G49" s="4288"/>
      <c r="H49" s="4288"/>
      <c r="I49" s="4289"/>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4290</v>
      </c>
      <c r="C52" s="4252" t="str">
        <f>'Part I-Project Information'!F38</f>
        <v>Milledgeville</v>
      </c>
      <c r="D52" s="4253"/>
      <c r="E52" s="2254" t="s">
        <v>4291</v>
      </c>
      <c r="F52" s="2214" t="s">
        <v>848</v>
      </c>
      <c r="G52" s="2254" t="s">
        <v>4292</v>
      </c>
      <c r="H52" s="2255">
        <f>'Part I-Project Information'!J38</f>
        <v>310614053</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c r="B55" s="2246" t="s">
        <v>4456</v>
      </c>
      <c r="D55" s="2257">
        <f>'Closing term sheet'!$D$33</f>
        <v>76</v>
      </c>
      <c r="E55" s="2258"/>
      <c r="F55" s="921" t="s">
        <v>3265</v>
      </c>
      <c r="G55" s="2212"/>
      <c r="H55" s="2212"/>
      <c r="I55" s="2222"/>
    </row>
    <row r="56" spans="2:9">
      <c r="B56" s="2246" t="s">
        <v>4458</v>
      </c>
      <c r="D56" s="2259">
        <f>'Closing term sheet'!$D$62</f>
        <v>12082864</v>
      </c>
      <c r="E56" s="2260"/>
      <c r="F56" s="921" t="s">
        <v>3266</v>
      </c>
      <c r="G56" s="2212"/>
      <c r="H56" s="2212"/>
      <c r="I56" s="2222"/>
    </row>
    <row r="57" spans="2:9">
      <c r="B57" s="2239" t="s">
        <v>4457</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58" t="s">
        <v>3268</v>
      </c>
      <c r="C61" s="4259"/>
      <c r="D61" s="4259"/>
      <c r="E61" s="4259"/>
      <c r="F61" s="4259"/>
      <c r="G61" s="4259"/>
      <c r="H61" s="4259"/>
      <c r="I61" s="4260"/>
    </row>
    <row r="62" spans="2:9" ht="7.5" customHeight="1">
      <c r="B62" s="4254"/>
      <c r="C62" s="4255"/>
      <c r="D62" s="4255"/>
      <c r="E62" s="2212"/>
      <c r="F62" s="2212"/>
      <c r="G62" s="2262"/>
      <c r="H62" s="2212"/>
      <c r="I62" s="2222"/>
    </row>
    <row r="63" spans="2:9">
      <c r="B63" s="2263" t="s">
        <v>3270</v>
      </c>
      <c r="C63" s="2212"/>
      <c r="D63" s="2257">
        <v>4</v>
      </c>
      <c r="F63" s="2212"/>
      <c r="G63" s="4256" t="s">
        <v>3269</v>
      </c>
      <c r="H63" s="4256"/>
      <c r="I63" s="4257"/>
    </row>
    <row r="64" spans="2:9">
      <c r="B64" s="2220"/>
      <c r="C64" s="2237" t="s">
        <v>3273</v>
      </c>
      <c r="D64" s="2237" t="s">
        <v>3274</v>
      </c>
      <c r="F64" s="2212"/>
      <c r="G64" s="933" t="s">
        <v>3271</v>
      </c>
      <c r="H64" s="2212"/>
      <c r="I64" s="2264">
        <f>'Closing term sheet'!$D$35</f>
        <v>76</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58" t="s">
        <v>3281</v>
      </c>
      <c r="C81" s="4259"/>
      <c r="D81" s="4259"/>
      <c r="E81" s="4259"/>
      <c r="F81" s="4259"/>
      <c r="G81" s="4259"/>
      <c r="H81" s="4259"/>
      <c r="I81" s="4260"/>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80">
        <f>'Closing term sheet'!D62</f>
        <v>12082864</v>
      </c>
      <c r="G84" s="4280"/>
      <c r="H84" s="2212"/>
      <c r="I84" s="2222"/>
    </row>
    <row r="85" spans="2:9">
      <c r="B85" s="2220"/>
      <c r="C85" s="941" t="s">
        <v>3284</v>
      </c>
      <c r="D85" s="2212"/>
      <c r="E85" s="2212"/>
      <c r="F85" s="4251" t="e">
        <f>'Part III-Sources of Funds'!I45+'Part III-Sources of Funds'!L45</f>
        <v>#VALUE!</v>
      </c>
      <c r="G85" s="4251"/>
      <c r="H85" s="2212"/>
      <c r="I85" s="2222"/>
    </row>
    <row r="86" spans="2:9">
      <c r="B86" s="2220"/>
      <c r="C86" s="941" t="s">
        <v>3285</v>
      </c>
      <c r="D86" s="2212"/>
      <c r="E86" s="2212"/>
      <c r="F86" s="4250"/>
      <c r="G86" s="4250"/>
      <c r="H86" s="2212"/>
      <c r="I86" s="2222"/>
    </row>
    <row r="87" spans="2:9">
      <c r="B87" s="2220"/>
      <c r="C87" s="2237" t="s">
        <v>3286</v>
      </c>
      <c r="D87" s="2212"/>
      <c r="E87" s="2212"/>
      <c r="F87" s="4251">
        <v>11000</v>
      </c>
      <c r="G87" s="4251"/>
      <c r="H87" s="2212"/>
      <c r="I87" s="2222"/>
    </row>
    <row r="88" spans="2:9">
      <c r="B88" s="2220"/>
      <c r="C88" s="941" t="s">
        <v>3287</v>
      </c>
      <c r="D88" s="2212"/>
      <c r="E88" s="2212"/>
      <c r="F88" s="4283"/>
      <c r="G88" s="4283"/>
      <c r="H88" s="2212"/>
      <c r="I88" s="2222"/>
    </row>
    <row r="89" spans="2:9">
      <c r="B89" s="2220"/>
      <c r="C89" s="921" t="s">
        <v>3288</v>
      </c>
      <c r="D89" s="2212"/>
      <c r="E89" s="2212"/>
      <c r="F89" s="4278" t="e">
        <f>SUM(F84:G88)</f>
        <v>#VALUE!</v>
      </c>
      <c r="G89" s="4278"/>
      <c r="H89" s="2212"/>
      <c r="I89" s="2222"/>
    </row>
    <row r="90" spans="2:9">
      <c r="B90" s="2220"/>
      <c r="C90" s="2212"/>
      <c r="D90" s="2212"/>
      <c r="E90" s="2212"/>
      <c r="F90" s="4279"/>
      <c r="G90" s="4279"/>
      <c r="H90" s="2212"/>
      <c r="I90" s="2222"/>
    </row>
    <row r="91" spans="2:9">
      <c r="B91" s="2223" t="s">
        <v>3289</v>
      </c>
      <c r="C91" s="2212"/>
      <c r="D91" s="2212"/>
      <c r="E91" s="2212"/>
      <c r="F91" s="2212"/>
      <c r="G91" s="2212"/>
      <c r="H91" s="2212"/>
      <c r="I91" s="2222"/>
    </row>
    <row r="92" spans="2:9">
      <c r="B92" s="2220"/>
      <c r="C92" s="941" t="s">
        <v>3290</v>
      </c>
      <c r="D92" s="2212"/>
      <c r="E92" s="2212"/>
      <c r="F92" s="4280"/>
      <c r="G92" s="4280"/>
      <c r="H92" s="2212"/>
      <c r="I92" s="2222"/>
    </row>
    <row r="93" spans="2:9">
      <c r="B93" s="2220"/>
      <c r="C93" s="941" t="s">
        <v>3291</v>
      </c>
      <c r="D93" s="2212"/>
      <c r="E93" s="2212"/>
      <c r="F93" s="4281"/>
      <c r="G93" s="4281"/>
      <c r="H93" s="2212"/>
      <c r="I93" s="2222"/>
    </row>
    <row r="94" spans="2:9">
      <c r="B94" s="2220"/>
      <c r="C94" s="941" t="s">
        <v>3292</v>
      </c>
      <c r="D94" s="2212"/>
      <c r="E94" s="2212"/>
      <c r="F94" s="4282" t="s">
        <v>3166</v>
      </c>
      <c r="G94" s="4277"/>
      <c r="H94" s="2212"/>
      <c r="I94" s="2222"/>
    </row>
    <row r="95" spans="2:9">
      <c r="B95" s="2220"/>
      <c r="C95" s="921" t="s">
        <v>3293</v>
      </c>
      <c r="D95" s="2212"/>
      <c r="E95" s="2212"/>
      <c r="F95" s="4278">
        <f>+SUM(F92:G94)</f>
        <v>0</v>
      </c>
      <c r="G95" s="4278"/>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80"/>
      <c r="G98" s="4280"/>
      <c r="H98" s="2212"/>
      <c r="I98" s="2222"/>
    </row>
    <row r="99" spans="2:9">
      <c r="B99" s="2220"/>
      <c r="C99" s="941" t="s">
        <v>3296</v>
      </c>
      <c r="D99" s="2212"/>
      <c r="E99" s="2212"/>
      <c r="F99" s="4281"/>
      <c r="G99" s="4281"/>
      <c r="H99" s="2212"/>
      <c r="I99" s="2222"/>
    </row>
    <row r="100" spans="2:9">
      <c r="B100" s="2220"/>
      <c r="C100" s="941" t="s">
        <v>3297</v>
      </c>
      <c r="D100" s="2212"/>
      <c r="E100" s="2212"/>
      <c r="F100" s="4283"/>
      <c r="G100" s="4283"/>
      <c r="H100" s="2212"/>
      <c r="I100" s="2222"/>
    </row>
    <row r="101" spans="2:9">
      <c r="B101" s="2220"/>
      <c r="C101" s="921" t="s">
        <v>3298</v>
      </c>
      <c r="D101" s="2212"/>
      <c r="E101" s="2212"/>
      <c r="F101" s="4278">
        <f>+SUM(F98:G100)</f>
        <v>0</v>
      </c>
      <c r="G101" s="4278"/>
      <c r="H101" s="2212"/>
      <c r="I101" s="2222"/>
    </row>
    <row r="102" spans="2:9">
      <c r="B102" s="2220"/>
      <c r="C102" s="2212"/>
      <c r="D102" s="2212"/>
      <c r="E102" s="2212"/>
      <c r="F102" s="2212"/>
      <c r="G102" s="2212"/>
      <c r="H102" s="2212"/>
      <c r="I102" s="2222"/>
    </row>
    <row r="103" spans="2:9">
      <c r="B103" s="2263" t="s">
        <v>3299</v>
      </c>
      <c r="C103" s="941"/>
      <c r="D103" s="2212"/>
      <c r="E103" s="2212"/>
      <c r="F103" s="4277">
        <f>'Part III-Sources of Funds'!I46+'Part III-Sources of Funds'!I47</f>
        <v>0</v>
      </c>
      <c r="G103" s="4277"/>
      <c r="H103" s="2212"/>
      <c r="I103" s="2222"/>
    </row>
    <row r="104" spans="2:9">
      <c r="B104" s="2220"/>
      <c r="C104" s="2212"/>
      <c r="D104" s="2212"/>
      <c r="E104" s="2212"/>
      <c r="F104" s="2212"/>
      <c r="G104" s="2212"/>
      <c r="H104" s="2212"/>
      <c r="I104" s="2268" t="s">
        <v>3300</v>
      </c>
    </row>
    <row r="105" spans="2:9">
      <c r="B105" s="2223" t="s">
        <v>3301</v>
      </c>
      <c r="C105" s="2212"/>
      <c r="D105" s="2212"/>
      <c r="E105" s="2212"/>
      <c r="F105" s="4277" t="e">
        <f>+F103+F101+F95+F89</f>
        <v>#VALUE!</v>
      </c>
      <c r="G105" s="4277"/>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5" sqref="A5:M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1" t="s">
        <v>2749</v>
      </c>
      <c r="B5" s="4291"/>
      <c r="C5" s="4291"/>
      <c r="D5" s="4291"/>
      <c r="E5" s="4291"/>
      <c r="F5" s="4291"/>
      <c r="G5" s="4291"/>
      <c r="H5" s="4291"/>
      <c r="I5" s="4291"/>
      <c r="J5" s="4291"/>
      <c r="K5" s="4291"/>
      <c r="L5" s="4291"/>
      <c r="M5" s="4291"/>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2" t="s">
        <v>1906</v>
      </c>
      <c r="B9" s="4292"/>
      <c r="C9" s="4292"/>
      <c r="D9" s="4292"/>
      <c r="E9" s="4292"/>
      <c r="F9" s="4292"/>
      <c r="G9" s="4292"/>
      <c r="H9" s="4292"/>
      <c r="I9" s="4292"/>
      <c r="J9" s="4292"/>
      <c r="K9" s="4292"/>
      <c r="L9" s="4292"/>
      <c r="M9" s="4292"/>
    </row>
    <row r="10" spans="1:26" ht="6.75" customHeight="1">
      <c r="A10" s="4292"/>
      <c r="B10" s="4292"/>
      <c r="C10" s="4292"/>
      <c r="D10" s="4292"/>
      <c r="E10" s="4292"/>
      <c r="F10" s="4292"/>
      <c r="G10" s="4292"/>
      <c r="H10" s="4292"/>
      <c r="I10" s="4292"/>
      <c r="J10" s="4292"/>
      <c r="K10" s="4292"/>
      <c r="L10" s="4292"/>
      <c r="M10" s="4292"/>
    </row>
    <row r="11" spans="1:26" ht="44.25" customHeight="1">
      <c r="A11" s="4293" t="s">
        <v>4940</v>
      </c>
      <c r="B11" s="4293"/>
      <c r="C11" s="4293"/>
      <c r="D11" s="4293"/>
      <c r="E11" s="4293"/>
      <c r="F11" s="4293"/>
      <c r="G11" s="4293"/>
      <c r="H11" s="4293"/>
      <c r="I11" s="4293"/>
      <c r="J11" s="4293"/>
      <c r="K11" s="4293"/>
      <c r="L11" s="4293"/>
      <c r="M11" s="4293"/>
    </row>
    <row r="12" spans="1:26" ht="3" customHeight="1">
      <c r="A12" s="4292"/>
      <c r="B12" s="4292"/>
      <c r="C12" s="4292"/>
      <c r="D12" s="4292"/>
      <c r="E12" s="4292"/>
      <c r="F12" s="4292"/>
      <c r="G12" s="4292"/>
      <c r="H12" s="4292"/>
      <c r="I12" s="4292"/>
      <c r="J12" s="4292"/>
      <c r="K12" s="4292"/>
      <c r="L12" s="4292"/>
      <c r="M12" s="4292"/>
    </row>
    <row r="13" spans="1:26" ht="96" customHeight="1">
      <c r="A13" s="1225" t="s">
        <v>1737</v>
      </c>
      <c r="B13" s="4294" t="s">
        <v>3676</v>
      </c>
      <c r="C13" s="4294"/>
      <c r="D13" s="4294"/>
      <c r="E13" s="4294"/>
      <c r="F13" s="4294"/>
      <c r="G13" s="4294"/>
      <c r="H13" s="4294"/>
      <c r="I13" s="4294"/>
      <c r="J13" s="4294"/>
      <c r="K13" s="4294"/>
      <c r="L13" s="4294"/>
      <c r="M13" s="4294"/>
    </row>
    <row r="14" spans="1:26" ht="47.25" customHeight="1">
      <c r="A14" s="1225" t="s">
        <v>1738</v>
      </c>
      <c r="B14" s="4294" t="s">
        <v>3677</v>
      </c>
      <c r="C14" s="4294"/>
      <c r="D14" s="4294"/>
      <c r="E14" s="4294"/>
      <c r="F14" s="4294"/>
      <c r="G14" s="4294"/>
      <c r="H14" s="4294"/>
      <c r="I14" s="4294"/>
      <c r="J14" s="4294"/>
      <c r="K14" s="4294"/>
      <c r="L14" s="4294"/>
      <c r="M14" s="4294"/>
    </row>
    <row r="15" spans="1:26" ht="117" customHeight="1">
      <c r="A15" s="1225" t="s">
        <v>1739</v>
      </c>
      <c r="B15" s="4294" t="s">
        <v>3678</v>
      </c>
      <c r="C15" s="4294"/>
      <c r="D15" s="4294"/>
      <c r="E15" s="4294"/>
      <c r="F15" s="4294"/>
      <c r="G15" s="4294"/>
      <c r="H15" s="4294"/>
      <c r="I15" s="4294"/>
      <c r="J15" s="4294"/>
      <c r="K15" s="4294"/>
      <c r="L15" s="4294"/>
      <c r="M15" s="4294"/>
    </row>
    <row r="16" spans="1:26" ht="147" customHeight="1">
      <c r="A16" s="1225" t="s">
        <v>2365</v>
      </c>
      <c r="B16" s="4294" t="s">
        <v>3456</v>
      </c>
      <c r="C16" s="4294"/>
      <c r="D16" s="4294"/>
      <c r="E16" s="4294"/>
      <c r="F16" s="4294"/>
      <c r="G16" s="4294"/>
      <c r="H16" s="4294"/>
      <c r="I16" s="4294"/>
      <c r="J16" s="4294"/>
      <c r="K16" s="4294"/>
      <c r="L16" s="4294"/>
      <c r="M16" s="4294"/>
    </row>
    <row r="17" spans="1:13" ht="48.75" customHeight="1">
      <c r="A17" s="1225" t="s">
        <v>1549</v>
      </c>
      <c r="B17" s="4294" t="s">
        <v>683</v>
      </c>
      <c r="C17" s="4294"/>
      <c r="D17" s="4294"/>
      <c r="E17" s="4294"/>
      <c r="F17" s="4294"/>
      <c r="G17" s="4294"/>
      <c r="H17" s="4294"/>
      <c r="I17" s="4294"/>
      <c r="J17" s="4294"/>
      <c r="K17" s="4294"/>
      <c r="L17" s="4294"/>
      <c r="M17" s="4294"/>
    </row>
    <row r="18" spans="1:13" ht="165" customHeight="1">
      <c r="A18" s="1225" t="s">
        <v>1550</v>
      </c>
      <c r="B18" s="4294" t="s">
        <v>3455</v>
      </c>
      <c r="C18" s="4294"/>
      <c r="D18" s="4294"/>
      <c r="E18" s="4294"/>
      <c r="F18" s="4294"/>
      <c r="G18" s="4294"/>
      <c r="H18" s="4294"/>
      <c r="I18" s="4294"/>
      <c r="J18" s="4294"/>
      <c r="K18" s="4294"/>
      <c r="L18" s="4294"/>
      <c r="M18" s="4294"/>
    </row>
    <row r="19" spans="1:13" ht="48.75" customHeight="1">
      <c r="A19" s="1225" t="s">
        <v>98</v>
      </c>
      <c r="B19" s="4290" t="s">
        <v>3679</v>
      </c>
      <c r="C19" s="4290"/>
      <c r="D19" s="4290"/>
      <c r="E19" s="4290"/>
      <c r="F19" s="4290"/>
      <c r="G19" s="4290"/>
      <c r="H19" s="4290"/>
      <c r="I19" s="4290"/>
      <c r="J19" s="4290"/>
      <c r="K19" s="4290"/>
      <c r="L19" s="4290"/>
      <c r="M19" s="4290"/>
    </row>
    <row r="20" spans="1:13" ht="50.25" customHeight="1">
      <c r="A20" s="1225" t="s">
        <v>511</v>
      </c>
      <c r="B20" s="4294" t="s">
        <v>3458</v>
      </c>
      <c r="C20" s="4294"/>
      <c r="D20" s="4294"/>
      <c r="E20" s="4294"/>
      <c r="F20" s="4294"/>
      <c r="G20" s="4294"/>
      <c r="H20" s="4294"/>
      <c r="I20" s="4294"/>
      <c r="J20" s="4294"/>
      <c r="K20" s="4294"/>
      <c r="L20" s="4294"/>
      <c r="M20" s="4294"/>
    </row>
    <row r="21" spans="1:13" ht="31.5" customHeight="1">
      <c r="A21" s="1225" t="s">
        <v>512</v>
      </c>
      <c r="B21" s="4294" t="s">
        <v>3486</v>
      </c>
      <c r="C21" s="4294"/>
      <c r="D21" s="4294"/>
      <c r="E21" s="4294"/>
      <c r="F21" s="4294"/>
      <c r="G21" s="4294"/>
      <c r="H21" s="4294"/>
      <c r="I21" s="4294"/>
      <c r="J21" s="4294"/>
      <c r="K21" s="4294"/>
      <c r="L21" s="4294"/>
      <c r="M21" s="4294"/>
    </row>
    <row r="22" spans="1:13" ht="1.5" customHeight="1">
      <c r="A22" s="4292"/>
      <c r="B22" s="4292"/>
      <c r="C22" s="4292"/>
      <c r="D22" s="4292"/>
      <c r="E22" s="4292"/>
      <c r="F22" s="4292"/>
      <c r="G22" s="4292"/>
      <c r="H22" s="4292"/>
      <c r="I22" s="4292"/>
      <c r="J22" s="4292"/>
      <c r="K22" s="4292"/>
      <c r="L22" s="4292"/>
      <c r="M22" s="4292"/>
    </row>
    <row r="23" spans="1:13" ht="3" customHeight="1">
      <c r="A23" s="4292"/>
      <c r="B23" s="4292"/>
      <c r="C23" s="4292"/>
      <c r="D23" s="4292"/>
      <c r="E23" s="4292"/>
      <c r="F23" s="4292"/>
      <c r="G23" s="4292"/>
      <c r="H23" s="4292"/>
      <c r="I23" s="4292"/>
      <c r="J23" s="4292"/>
      <c r="K23" s="4292"/>
      <c r="L23" s="4292"/>
      <c r="M23" s="4292"/>
    </row>
    <row r="24" spans="1:13" ht="13.5" customHeight="1">
      <c r="A24" s="4292" t="s">
        <v>1465</v>
      </c>
      <c r="B24" s="4292"/>
      <c r="C24" s="4292"/>
      <c r="D24" s="4292"/>
      <c r="E24" s="4292"/>
      <c r="F24" s="4292"/>
      <c r="G24" s="4292"/>
      <c r="H24" s="4292"/>
      <c r="I24" s="4292"/>
      <c r="J24" s="4292"/>
      <c r="K24" s="4292"/>
      <c r="L24" s="4292"/>
      <c r="M24" s="4292"/>
    </row>
    <row r="25" spans="1:13" ht="32.25" customHeight="1">
      <c r="A25" s="1225" t="s">
        <v>1466</v>
      </c>
      <c r="B25" s="4294" t="s">
        <v>3487</v>
      </c>
      <c r="C25" s="4294"/>
      <c r="D25" s="4294"/>
      <c r="E25" s="4294"/>
      <c r="F25" s="4294"/>
      <c r="G25" s="4294"/>
      <c r="H25" s="4294"/>
      <c r="I25" s="4294"/>
      <c r="J25" s="4294"/>
      <c r="K25" s="4294"/>
      <c r="L25" s="4294"/>
      <c r="M25" s="4294"/>
    </row>
    <row r="26" spans="1:13" ht="31.5" customHeight="1">
      <c r="A26" s="1225" t="s">
        <v>1466</v>
      </c>
      <c r="B26" s="4294" t="s">
        <v>3488</v>
      </c>
      <c r="C26" s="4294"/>
      <c r="D26" s="4294"/>
      <c r="E26" s="4294"/>
      <c r="F26" s="4294"/>
      <c r="G26" s="4294"/>
      <c r="H26" s="4294"/>
      <c r="I26" s="4294"/>
      <c r="J26" s="4294"/>
      <c r="K26" s="4294"/>
      <c r="L26" s="4294"/>
      <c r="M26" s="4294"/>
    </row>
    <row r="27" spans="1:13" ht="78.75" customHeight="1">
      <c r="A27" s="1225" t="s">
        <v>1466</v>
      </c>
      <c r="B27" s="4294" t="s">
        <v>2750</v>
      </c>
      <c r="C27" s="4294"/>
      <c r="D27" s="4294"/>
      <c r="E27" s="4294"/>
      <c r="F27" s="4294"/>
      <c r="G27" s="4294"/>
      <c r="H27" s="4294"/>
      <c r="I27" s="4294"/>
      <c r="J27" s="4294"/>
      <c r="K27" s="4294"/>
      <c r="L27" s="4294"/>
      <c r="M27" s="4294"/>
    </row>
    <row r="28" spans="1:13" ht="7.5" customHeight="1">
      <c r="A28" s="4292"/>
      <c r="B28" s="4292"/>
      <c r="C28" s="4292"/>
      <c r="D28" s="4292"/>
      <c r="E28" s="4292"/>
      <c r="F28" s="4292"/>
      <c r="G28" s="4292"/>
      <c r="H28" s="4292"/>
      <c r="I28" s="4292"/>
      <c r="J28" s="4292"/>
      <c r="K28" s="4292"/>
      <c r="L28" s="4292"/>
      <c r="M28" s="4292"/>
    </row>
    <row r="29" spans="1:13" ht="43.5" customHeight="1">
      <c r="A29" s="4294" t="s">
        <v>946</v>
      </c>
      <c r="B29" s="4294"/>
      <c r="C29" s="4294"/>
      <c r="D29" s="4294"/>
      <c r="E29" s="4294"/>
      <c r="F29" s="4294"/>
      <c r="G29" s="4294"/>
      <c r="H29" s="4294"/>
      <c r="I29" s="4294"/>
      <c r="J29" s="4294"/>
      <c r="K29" s="4294"/>
      <c r="L29" s="4294"/>
      <c r="M29" s="4294"/>
    </row>
    <row r="30" spans="1:13" ht="3" customHeight="1">
      <c r="A30" s="4292"/>
      <c r="B30" s="4292"/>
      <c r="C30" s="4292"/>
      <c r="D30" s="4292"/>
      <c r="E30" s="4292"/>
      <c r="F30" s="4292"/>
      <c r="G30" s="4292"/>
      <c r="H30" s="4292"/>
      <c r="I30" s="4292"/>
      <c r="J30" s="4292"/>
      <c r="K30" s="4292"/>
      <c r="L30" s="4292"/>
      <c r="M30" s="4292"/>
    </row>
    <row r="31" spans="1:13" ht="32.25" customHeight="1">
      <c r="A31" s="4294" t="s">
        <v>2751</v>
      </c>
      <c r="B31" s="4294"/>
      <c r="C31" s="4294"/>
      <c r="D31" s="4294"/>
      <c r="E31" s="4294"/>
      <c r="F31" s="4294"/>
      <c r="G31" s="4294"/>
      <c r="H31" s="4294"/>
      <c r="I31" s="4294"/>
      <c r="J31" s="4294"/>
      <c r="K31" s="4294"/>
      <c r="L31" s="4294"/>
      <c r="M31" s="4294"/>
    </row>
    <row r="32" spans="1:13" ht="4.5" customHeight="1">
      <c r="A32" s="4292"/>
      <c r="B32" s="4292"/>
      <c r="C32" s="4292"/>
      <c r="D32" s="4292"/>
      <c r="E32" s="4292"/>
      <c r="F32" s="4292"/>
      <c r="G32" s="4292"/>
      <c r="H32" s="4292"/>
      <c r="I32" s="4292"/>
      <c r="J32" s="4292"/>
      <c r="K32" s="4292"/>
      <c r="L32" s="4292"/>
      <c r="M32" s="4292"/>
    </row>
    <row r="33" spans="1:13" ht="16.5">
      <c r="A33" s="4292" t="s">
        <v>922</v>
      </c>
      <c r="B33" s="4292"/>
      <c r="C33" s="4292"/>
      <c r="D33" s="4292"/>
      <c r="E33" s="4292"/>
      <c r="F33" s="4292"/>
      <c r="G33" s="4292"/>
      <c r="H33" s="4292"/>
      <c r="I33" s="4292"/>
      <c r="J33" s="4292"/>
      <c r="K33" s="4292"/>
      <c r="L33" s="4292"/>
      <c r="M33" s="4292"/>
    </row>
    <row r="34" spans="1:13" ht="6" customHeight="1">
      <c r="A34" s="1262"/>
      <c r="B34" s="1262"/>
      <c r="C34" s="1262"/>
      <c r="D34" s="1262"/>
      <c r="E34" s="1262"/>
      <c r="F34" s="1262"/>
      <c r="G34" s="1262"/>
      <c r="H34" s="1262"/>
      <c r="I34" s="1262"/>
      <c r="J34" s="1262"/>
      <c r="K34" s="1262"/>
      <c r="L34" s="1262"/>
      <c r="M34" s="1262"/>
    </row>
    <row r="35" spans="1:13" ht="16.5">
      <c r="A35" s="4295"/>
      <c r="B35" s="4295"/>
      <c r="C35" s="4295"/>
      <c r="D35" s="4295"/>
      <c r="E35" s="4295"/>
      <c r="F35" s="4295"/>
      <c r="G35" s="1226"/>
      <c r="H35" s="4295"/>
      <c r="I35" s="4295"/>
      <c r="J35" s="4295"/>
      <c r="K35" s="4295"/>
      <c r="L35" s="4295"/>
      <c r="M35" s="4295"/>
    </row>
    <row r="36" spans="1:13" ht="12" customHeight="1">
      <c r="A36" s="4296" t="s">
        <v>923</v>
      </c>
      <c r="B36" s="4296"/>
      <c r="C36" s="4296"/>
      <c r="D36" s="4296"/>
      <c r="E36" s="4296"/>
      <c r="F36" s="4296"/>
      <c r="G36" s="1226"/>
      <c r="H36" s="4296" t="s">
        <v>1980</v>
      </c>
      <c r="I36" s="4296"/>
      <c r="J36" s="4296"/>
      <c r="K36" s="4296"/>
      <c r="L36" s="4296"/>
      <c r="M36" s="4296"/>
    </row>
    <row r="37" spans="1:13" ht="6" customHeight="1">
      <c r="A37" s="1226"/>
      <c r="B37" s="1226"/>
      <c r="C37" s="1226"/>
      <c r="D37" s="1226"/>
      <c r="E37" s="1226"/>
      <c r="F37" s="1226"/>
      <c r="G37" s="1226"/>
      <c r="H37" s="1226"/>
      <c r="I37" s="1226"/>
      <c r="J37" s="1226"/>
      <c r="K37" s="1226"/>
      <c r="L37" s="1226"/>
      <c r="M37" s="1226"/>
    </row>
    <row r="38" spans="1:13" ht="16.5">
      <c r="A38" s="4297"/>
      <c r="B38" s="4297"/>
      <c r="C38" s="4297"/>
      <c r="D38" s="4297"/>
      <c r="E38" s="4297"/>
      <c r="F38" s="4297"/>
      <c r="G38" s="1226"/>
      <c r="H38" s="4298"/>
      <c r="I38" s="4298"/>
      <c r="J38" s="4298"/>
      <c r="K38" s="4298"/>
      <c r="L38" s="4298"/>
      <c r="M38" s="4298"/>
    </row>
    <row r="39" spans="1:13" ht="12" customHeight="1">
      <c r="A39" s="4296" t="s">
        <v>924</v>
      </c>
      <c r="B39" s="4296"/>
      <c r="C39" s="4296"/>
      <c r="D39" s="4296"/>
      <c r="E39" s="4296"/>
      <c r="F39" s="4296"/>
      <c r="G39" s="1226"/>
      <c r="H39" s="4296" t="s">
        <v>925</v>
      </c>
      <c r="I39" s="4296"/>
      <c r="J39" s="4296"/>
      <c r="K39" s="4296"/>
      <c r="L39" s="4296"/>
      <c r="M39" s="4296"/>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9" t="s">
        <v>926</v>
      </c>
      <c r="I41" s="4299"/>
      <c r="J41" s="4299"/>
      <c r="K41" s="4299"/>
      <c r="L41" s="4299"/>
      <c r="M41" s="4299"/>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3" t="s">
        <v>721</v>
      </c>
      <c r="B2" s="4304"/>
      <c r="C2" s="4304"/>
      <c r="D2" s="4304"/>
      <c r="E2" s="4304"/>
      <c r="F2" s="4304"/>
      <c r="G2" s="4304"/>
      <c r="H2" s="4304"/>
      <c r="I2" s="4304"/>
      <c r="J2" s="4304"/>
      <c r="K2" s="4304"/>
      <c r="L2" s="4304"/>
      <c r="M2" s="4304"/>
      <c r="N2" s="4304"/>
      <c r="O2" s="4304"/>
      <c r="P2" s="4304"/>
      <c r="Q2" s="4304"/>
      <c r="R2" s="4305"/>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06" t="s">
        <v>3358</v>
      </c>
      <c r="G13" s="4307"/>
      <c r="H13" s="4307"/>
      <c r="I13" s="4307"/>
      <c r="J13" s="4308"/>
      <c r="K13" s="312"/>
      <c r="L13" s="654" t="s">
        <v>3579</v>
      </c>
      <c r="M13" s="312"/>
      <c r="N13" s="4306" t="s">
        <v>3358</v>
      </c>
      <c r="O13" s="4307"/>
      <c r="P13" s="4307"/>
      <c r="Q13" s="4307"/>
      <c r="R13" s="4308"/>
      <c r="S13" s="323"/>
      <c r="T13" s="187"/>
      <c r="U13" s="187"/>
      <c r="V13" s="1144"/>
      <c r="W13" s="1144"/>
      <c r="X13" s="1144"/>
      <c r="AA13" s="585"/>
      <c r="AB13" s="585"/>
    </row>
    <row r="14" spans="1:28" s="302" customFormat="1" ht="11.45" customHeight="1">
      <c r="A14" s="190"/>
      <c r="D14" s="655" t="s">
        <v>2612</v>
      </c>
      <c r="E14" s="655" t="s">
        <v>1296</v>
      </c>
      <c r="F14" s="656">
        <v>0</v>
      </c>
      <c r="G14" s="657">
        <v>1</v>
      </c>
      <c r="H14" s="1261">
        <v>2</v>
      </c>
      <c r="I14" s="1261">
        <v>3</v>
      </c>
      <c r="J14" s="658" t="s">
        <v>3355</v>
      </c>
      <c r="L14" s="655" t="s">
        <v>2612</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4"/>
      <c r="W53" s="1144"/>
      <c r="X53" s="1144"/>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3867</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3848</v>
      </c>
      <c r="C77" s="190"/>
      <c r="D77" s="190"/>
      <c r="E77" s="187"/>
      <c r="F77" s="192" t="s">
        <v>3478</v>
      </c>
      <c r="G77" s="190"/>
      <c r="H77" s="187"/>
      <c r="I77" s="187"/>
      <c r="J77" s="190" t="s">
        <v>1200</v>
      </c>
      <c r="K77" s="190"/>
      <c r="L77" s="190"/>
      <c r="M77" s="190"/>
      <c r="N77" s="190"/>
      <c r="O77" s="190"/>
      <c r="P77" s="187"/>
      <c r="Q77" s="4309">
        <v>1000</v>
      </c>
      <c r="R77" s="4310"/>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9">
        <v>500</v>
      </c>
      <c r="R78" s="4310"/>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09">
        <v>1500</v>
      </c>
      <c r="R79" s="4310"/>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09">
        <v>1500</v>
      </c>
      <c r="R80" s="4310"/>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09">
        <v>1500</v>
      </c>
      <c r="R81" s="4310"/>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09">
        <v>1500</v>
      </c>
      <c r="R82" s="4310"/>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09">
        <v>6500</v>
      </c>
      <c r="R83" s="4310"/>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09">
        <v>5500</v>
      </c>
      <c r="R84" s="4310"/>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09">
        <v>5000</v>
      </c>
      <c r="R85" s="4310"/>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09">
        <v>500</v>
      </c>
      <c r="R86" s="4310"/>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09">
        <v>1500</v>
      </c>
      <c r="R87" s="4310"/>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2">
        <v>0.08</v>
      </c>
      <c r="R88" s="4302"/>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2">
        <v>0.08</v>
      </c>
      <c r="R89" s="4302"/>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09">
        <v>3000</v>
      </c>
      <c r="R90" s="4310"/>
      <c r="S90" s="314"/>
      <c r="T90" s="314"/>
      <c r="U90" s="314"/>
      <c r="AA90" s="585"/>
      <c r="AB90" s="585"/>
    </row>
    <row r="91" spans="1:28" s="302" customFormat="1" ht="11.45" customHeight="1">
      <c r="A91" s="190"/>
      <c r="C91" s="190"/>
      <c r="D91" s="187"/>
      <c r="E91" s="187"/>
      <c r="F91" s="192" t="s">
        <v>3866</v>
      </c>
      <c r="H91" s="190"/>
      <c r="I91" s="187"/>
      <c r="J91" s="190"/>
      <c r="K91" s="190"/>
      <c r="L91" s="190"/>
      <c r="M91" s="190"/>
      <c r="N91" s="190"/>
      <c r="O91" s="190"/>
      <c r="P91" s="187"/>
      <c r="Q91" s="4309">
        <v>1500</v>
      </c>
      <c r="R91" s="4310"/>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9">
        <v>800</v>
      </c>
      <c r="R92" s="4310"/>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09">
        <v>1000</v>
      </c>
      <c r="R93" s="4310"/>
      <c r="S93" s="314"/>
      <c r="T93" s="314"/>
      <c r="U93" s="314"/>
      <c r="AA93" s="585"/>
      <c r="AB93" s="585"/>
    </row>
    <row r="94" spans="1:28" s="302" customFormat="1" ht="11.45" customHeight="1">
      <c r="A94" s="190"/>
      <c r="B94" s="190"/>
      <c r="C94" s="190"/>
      <c r="D94" s="187"/>
      <c r="E94" s="187"/>
      <c r="H94" s="192" t="s">
        <v>2681</v>
      </c>
      <c r="I94" s="325"/>
      <c r="J94" s="192" t="s">
        <v>1530</v>
      </c>
      <c r="K94" s="192" t="s">
        <v>3884</v>
      </c>
      <c r="L94" s="192"/>
      <c r="M94" s="192"/>
      <c r="N94" s="192"/>
      <c r="O94" s="192"/>
      <c r="P94" s="325"/>
      <c r="Q94" s="4309">
        <v>800</v>
      </c>
      <c r="R94" s="4310"/>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09">
        <v>1500</v>
      </c>
      <c r="R95" s="4310"/>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09">
        <v>3000</v>
      </c>
      <c r="R97" s="4310"/>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09">
        <v>75</v>
      </c>
      <c r="R98" s="4310"/>
      <c r="S98" s="314"/>
      <c r="T98" s="314"/>
      <c r="U98" s="314"/>
      <c r="AA98" s="585"/>
      <c r="AB98" s="585"/>
    </row>
    <row r="99" spans="1:28" s="302" customFormat="1" ht="13.5">
      <c r="A99" s="190"/>
      <c r="B99" s="190" t="s">
        <v>1862</v>
      </c>
      <c r="C99" s="190"/>
      <c r="D99" s="1351" t="s">
        <v>3950</v>
      </c>
      <c r="E99" s="187"/>
      <c r="F99" s="190"/>
      <c r="G99" s="190"/>
      <c r="H99" s="190"/>
      <c r="I99" s="187"/>
      <c r="J99" s="190" t="s">
        <v>1730</v>
      </c>
      <c r="K99" s="190"/>
      <c r="L99" s="190"/>
      <c r="M99" s="190"/>
      <c r="N99" s="190"/>
      <c r="O99" s="190"/>
      <c r="P99" s="187"/>
      <c r="Q99" s="4313">
        <v>1800000</v>
      </c>
      <c r="R99" s="4314"/>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13">
        <v>3500000</v>
      </c>
      <c r="R100" s="4314"/>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1">
        <v>0.15</v>
      </c>
      <c r="R101" s="4312"/>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11">
        <v>0.15</v>
      </c>
      <c r="R102" s="4312"/>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1">
        <v>0.15</v>
      </c>
      <c r="R103" s="4312"/>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1">
        <v>0.15</v>
      </c>
      <c r="R104" s="4312"/>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1">
        <v>0.15</v>
      </c>
      <c r="R105" s="4312"/>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1">
        <v>0.15</v>
      </c>
      <c r="R106" s="4312"/>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1" t="s">
        <v>2373</v>
      </c>
      <c r="R107" s="4312"/>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09">
        <v>3000</v>
      </c>
      <c r="R113" s="4310"/>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2">
        <v>0.02</v>
      </c>
      <c r="R121" s="4302"/>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2">
        <v>7.0000000000000007E-2</v>
      </c>
      <c r="R122" s="4302"/>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2">
        <v>7.0000000000000007E-2</v>
      </c>
      <c r="R123" s="4302"/>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2">
        <v>0.03</v>
      </c>
      <c r="R124" s="4302"/>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2">
        <v>0.03</v>
      </c>
      <c r="R125" s="4302"/>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2">
        <v>0</v>
      </c>
      <c r="R126" s="4302"/>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02">
        <v>0.1</v>
      </c>
      <c r="R128" s="4302"/>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01">
        <v>1000000</v>
      </c>
      <c r="R129" s="4301"/>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01">
        <v>1500000</v>
      </c>
      <c r="R130" s="4301"/>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01">
        <v>375000</v>
      </c>
      <c r="R131" s="4301"/>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01"/>
      <c r="R132" s="4301"/>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2678</v>
      </c>
      <c r="I133" s="187"/>
      <c r="J133" s="190" t="s">
        <v>3946</v>
      </c>
      <c r="K133" s="190"/>
      <c r="L133" s="190"/>
      <c r="M133" s="190"/>
      <c r="N133" s="190"/>
      <c r="O133" s="190"/>
      <c r="P133" s="187"/>
      <c r="Q133" s="4301">
        <v>4000000</v>
      </c>
      <c r="R133" s="4301"/>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2817</v>
      </c>
      <c r="F136" s="190" t="s">
        <v>2598</v>
      </c>
      <c r="G136" s="190"/>
      <c r="H136" s="187"/>
      <c r="I136" s="187"/>
      <c r="J136" s="190" t="s">
        <v>4735</v>
      </c>
      <c r="K136" s="190"/>
      <c r="L136" s="190"/>
      <c r="M136" s="190"/>
      <c r="N136" s="190"/>
      <c r="O136" s="190"/>
      <c r="P136" s="187"/>
      <c r="Q136" s="4302">
        <v>0.35</v>
      </c>
      <c r="R136" s="4302"/>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02" t="s">
        <v>2819</v>
      </c>
      <c r="R137" s="4302"/>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2">
        <v>0.05</v>
      </c>
      <c r="R139" s="4302"/>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2">
        <v>0.4</v>
      </c>
      <c r="R140" s="4302"/>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2">
        <v>0.02</v>
      </c>
      <c r="R141" s="4302"/>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0" t="s">
        <v>4181</v>
      </c>
      <c r="E154" s="314"/>
      <c r="F154" s="314"/>
    </row>
    <row r="155" spans="2:30" ht="10.5" customHeight="1">
      <c r="C155" s="4300"/>
      <c r="E155" s="314"/>
      <c r="F155" s="314"/>
    </row>
    <row r="156" spans="2:30" ht="10.5" customHeight="1">
      <c r="C156" s="4300"/>
      <c r="D156" s="1524"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3892</v>
      </c>
      <c r="O157" s="639" t="s">
        <v>4293</v>
      </c>
      <c r="P157" s="637" t="s">
        <v>2402</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2611</v>
      </c>
      <c r="K158" s="1168" t="s">
        <v>1158</v>
      </c>
      <c r="L158" s="1169" t="s">
        <v>423</v>
      </c>
      <c r="M158" s="1339" t="s">
        <v>2598</v>
      </c>
      <c r="N158" s="1339" t="s">
        <v>1326</v>
      </c>
      <c r="O158" s="1600" t="s">
        <v>4294</v>
      </c>
      <c r="P158" s="642" t="s">
        <v>1522</v>
      </c>
      <c r="Q158" s="323"/>
      <c r="R158" s="190"/>
      <c r="S158" s="448"/>
      <c r="T158" s="572" t="s">
        <v>2403</v>
      </c>
      <c r="U158" s="572" t="s">
        <v>1951</v>
      </c>
      <c r="W158" s="495" t="s">
        <v>2403</v>
      </c>
      <c r="X158" s="495" t="s">
        <v>3388</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2611</v>
      </c>
      <c r="K159" s="1168" t="s">
        <v>1159</v>
      </c>
      <c r="L159" s="1169" t="s">
        <v>423</v>
      </c>
      <c r="M159" s="1339" t="s">
        <v>2598</v>
      </c>
      <c r="N159" s="1339" t="s">
        <v>1696</v>
      </c>
      <c r="O159" s="1600" t="s">
        <v>4295</v>
      </c>
      <c r="P159" s="642" t="s">
        <v>1524</v>
      </c>
      <c r="Q159" s="323"/>
      <c r="R159" s="190"/>
      <c r="S159" s="448"/>
      <c r="T159" s="572" t="s">
        <v>1523</v>
      </c>
      <c r="U159" s="572" t="s">
        <v>2485</v>
      </c>
      <c r="W159" s="495" t="s">
        <v>1523</v>
      </c>
      <c r="X159" s="495" t="s">
        <v>3388</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2611</v>
      </c>
      <c r="K160" s="1168" t="s">
        <v>1160</v>
      </c>
      <c r="L160" s="1169" t="s">
        <v>423</v>
      </c>
      <c r="M160" s="1339" t="s">
        <v>2598</v>
      </c>
      <c r="N160" s="1339" t="s">
        <v>1696</v>
      </c>
      <c r="O160" s="1600" t="s">
        <v>4296</v>
      </c>
      <c r="P160" s="642" t="s">
        <v>462</v>
      </c>
      <c r="Q160" s="323"/>
      <c r="R160" s="190"/>
      <c r="S160" s="448"/>
      <c r="T160" s="572" t="s">
        <v>945</v>
      </c>
      <c r="U160" s="572" t="s">
        <v>1314</v>
      </c>
      <c r="W160" s="495" t="s">
        <v>945</v>
      </c>
      <c r="X160" s="495" t="s">
        <v>3388</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2612</v>
      </c>
      <c r="K161" s="1168" t="s">
        <v>1161</v>
      </c>
      <c r="L161" s="1169" t="s">
        <v>424</v>
      </c>
      <c r="M161" s="1339" t="s">
        <v>1196</v>
      </c>
      <c r="N161" s="1339" t="s">
        <v>1782</v>
      </c>
      <c r="O161" s="1600" t="s">
        <v>4297</v>
      </c>
      <c r="P161" s="642" t="s">
        <v>2080</v>
      </c>
      <c r="Q161" s="323"/>
      <c r="R161" s="190"/>
      <c r="S161" s="448"/>
      <c r="T161" s="572" t="s">
        <v>463</v>
      </c>
      <c r="U161" s="572" t="s">
        <v>2528</v>
      </c>
      <c r="W161" s="495" t="s">
        <v>2081</v>
      </c>
      <c r="X161" s="495" t="s">
        <v>3388</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2611</v>
      </c>
      <c r="K162" s="1168" t="s">
        <v>1162</v>
      </c>
      <c r="L162" s="1169" t="s">
        <v>423</v>
      </c>
      <c r="M162" s="1339" t="s">
        <v>2598</v>
      </c>
      <c r="N162" s="1339" t="s">
        <v>1320</v>
      </c>
      <c r="O162" s="1600" t="s">
        <v>4298</v>
      </c>
      <c r="P162" s="642" t="s">
        <v>2082</v>
      </c>
      <c r="Q162" s="323"/>
      <c r="R162" s="190"/>
      <c r="S162" s="448"/>
      <c r="T162" s="572" t="s">
        <v>2081</v>
      </c>
      <c r="U162" s="572" t="s">
        <v>332</v>
      </c>
      <c r="W162" s="495" t="s">
        <v>2085</v>
      </c>
      <c r="X162" s="495" t="s">
        <v>3388</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2611</v>
      </c>
      <c r="K163" s="1168" t="s">
        <v>1823</v>
      </c>
      <c r="L163" s="1169" t="s">
        <v>423</v>
      </c>
      <c r="M163" s="1339" t="s">
        <v>2598</v>
      </c>
      <c r="N163" s="1339" t="s">
        <v>166</v>
      </c>
      <c r="O163" s="1600" t="s">
        <v>4299</v>
      </c>
      <c r="P163" s="642" t="s">
        <v>2084</v>
      </c>
      <c r="Q163" s="323"/>
      <c r="R163" s="190"/>
      <c r="S163" s="448"/>
      <c r="T163" s="572" t="s">
        <v>2083</v>
      </c>
      <c r="U163" s="572" t="s">
        <v>184</v>
      </c>
      <c r="W163" s="495" t="s">
        <v>1782</v>
      </c>
      <c r="X163" s="495" t="s">
        <v>3388</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2612</v>
      </c>
      <c r="K164" s="1168" t="s">
        <v>2575</v>
      </c>
      <c r="L164" s="1169" t="s">
        <v>424</v>
      </c>
      <c r="M164" s="1339" t="s">
        <v>1196</v>
      </c>
      <c r="N164" s="1339" t="s">
        <v>1205</v>
      </c>
      <c r="O164" s="1600" t="s">
        <v>4300</v>
      </c>
      <c r="P164" s="642" t="s">
        <v>2086</v>
      </c>
      <c r="Q164" s="323"/>
      <c r="R164" s="190"/>
      <c r="S164" s="448"/>
      <c r="T164" s="572" t="s">
        <v>2085</v>
      </c>
      <c r="U164" s="572" t="s">
        <v>112</v>
      </c>
      <c r="W164" s="495" t="s">
        <v>444</v>
      </c>
      <c r="X164" s="495" t="s">
        <v>3388</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2612</v>
      </c>
      <c r="K165" s="1168" t="s">
        <v>2575</v>
      </c>
      <c r="L165" s="1169" t="s">
        <v>424</v>
      </c>
      <c r="M165" s="1339" t="s">
        <v>1196</v>
      </c>
      <c r="N165" s="1339" t="s">
        <v>1205</v>
      </c>
      <c r="O165" s="1600" t="s">
        <v>4301</v>
      </c>
      <c r="P165" s="642" t="s">
        <v>2088</v>
      </c>
      <c r="Q165" s="323"/>
      <c r="R165" s="190"/>
      <c r="S165" s="448"/>
      <c r="T165" s="572" t="s">
        <v>2087</v>
      </c>
      <c r="U165" s="572" t="s">
        <v>1317</v>
      </c>
      <c r="W165" s="495" t="s">
        <v>446</v>
      </c>
      <c r="X165" s="495" t="s">
        <v>3388</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2611</v>
      </c>
      <c r="K166" s="1168" t="s">
        <v>2576</v>
      </c>
      <c r="L166" s="1169" t="s">
        <v>423</v>
      </c>
      <c r="M166" s="1339" t="s">
        <v>2598</v>
      </c>
      <c r="N166" s="1339" t="s">
        <v>1782</v>
      </c>
      <c r="O166" s="1600" t="s">
        <v>4302</v>
      </c>
      <c r="P166" s="642" t="s">
        <v>1962</v>
      </c>
      <c r="Q166" s="601"/>
      <c r="R166" s="190"/>
      <c r="S166" s="448"/>
      <c r="T166" s="572" t="s">
        <v>1782</v>
      </c>
      <c r="U166" s="572" t="s">
        <v>955</v>
      </c>
      <c r="W166" s="495" t="s">
        <v>1848</v>
      </c>
      <c r="X166" s="495" t="s">
        <v>3388</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2611</v>
      </c>
      <c r="K167" s="1168" t="s">
        <v>2577</v>
      </c>
      <c r="L167" s="1169" t="s">
        <v>423</v>
      </c>
      <c r="M167" s="1339" t="s">
        <v>2598</v>
      </c>
      <c r="N167" s="1339" t="s">
        <v>1696</v>
      </c>
      <c r="O167" s="1600" t="s">
        <v>4303</v>
      </c>
      <c r="P167" s="642" t="s">
        <v>180</v>
      </c>
      <c r="Q167" s="601"/>
      <c r="R167" s="314"/>
      <c r="S167" s="448"/>
      <c r="T167" s="572" t="s">
        <v>1963</v>
      </c>
      <c r="U167" s="572" t="s">
        <v>429</v>
      </c>
      <c r="W167" s="495" t="s">
        <v>2547</v>
      </c>
      <c r="X167" s="495" t="s">
        <v>3388</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2612</v>
      </c>
      <c r="K168" s="1168" t="s">
        <v>2578</v>
      </c>
      <c r="L168" s="1169" t="s">
        <v>424</v>
      </c>
      <c r="M168" s="1339" t="s">
        <v>1196</v>
      </c>
      <c r="N168" s="1339" t="s">
        <v>1320</v>
      </c>
      <c r="O168" s="1600" t="s">
        <v>4304</v>
      </c>
      <c r="P168" s="642" t="s">
        <v>182</v>
      </c>
      <c r="Q168" s="601"/>
      <c r="R168" s="190"/>
      <c r="S168" s="448"/>
      <c r="T168" s="572" t="s">
        <v>181</v>
      </c>
      <c r="U168" s="572" t="s">
        <v>1456</v>
      </c>
      <c r="W168" s="495" t="s">
        <v>2553</v>
      </c>
      <c r="X168" s="495" t="s">
        <v>3388</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2611</v>
      </c>
      <c r="K169" s="1168" t="s">
        <v>2579</v>
      </c>
      <c r="L169" s="1169" t="s">
        <v>423</v>
      </c>
      <c r="M169" s="1339" t="s">
        <v>2598</v>
      </c>
      <c r="N169" s="1339" t="s">
        <v>1320</v>
      </c>
      <c r="O169" s="1600" t="s">
        <v>4305</v>
      </c>
      <c r="P169" s="642" t="s">
        <v>443</v>
      </c>
      <c r="Q169" s="323"/>
      <c r="R169" s="190"/>
      <c r="S169" s="448"/>
      <c r="T169" s="572" t="s">
        <v>183</v>
      </c>
      <c r="U169" s="572" t="s">
        <v>2399</v>
      </c>
      <c r="W169" s="495" t="s">
        <v>2558</v>
      </c>
      <c r="X169" s="495" t="s">
        <v>3388</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2612</v>
      </c>
      <c r="K170" s="1168" t="s">
        <v>2580</v>
      </c>
      <c r="L170" s="1169" t="s">
        <v>424</v>
      </c>
      <c r="M170" s="1339" t="s">
        <v>1196</v>
      </c>
      <c r="N170" s="1339" t="s">
        <v>1696</v>
      </c>
      <c r="O170" s="1600" t="s">
        <v>4306</v>
      </c>
      <c r="P170" s="642" t="s">
        <v>445</v>
      </c>
      <c r="Q170" s="323"/>
      <c r="R170" s="190"/>
      <c r="S170" s="448"/>
      <c r="T170" s="572" t="s">
        <v>444</v>
      </c>
      <c r="U170" s="572" t="s">
        <v>1779</v>
      </c>
      <c r="W170" s="495" t="s">
        <v>166</v>
      </c>
      <c r="X170" s="495" t="s">
        <v>3388</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2612</v>
      </c>
      <c r="K171" s="1168" t="s">
        <v>2581</v>
      </c>
      <c r="L171" s="1169" t="s">
        <v>424</v>
      </c>
      <c r="M171" s="1339" t="s">
        <v>1196</v>
      </c>
      <c r="N171" s="1339" t="s">
        <v>1696</v>
      </c>
      <c r="O171" s="1600" t="s">
        <v>4307</v>
      </c>
      <c r="P171" s="642" t="s">
        <v>447</v>
      </c>
      <c r="Q171" s="323"/>
      <c r="R171" s="190"/>
      <c r="S171" s="448"/>
      <c r="T171" s="572" t="s">
        <v>446</v>
      </c>
      <c r="U171" s="572" t="s">
        <v>1206</v>
      </c>
      <c r="W171" s="495" t="s">
        <v>1205</v>
      </c>
      <c r="X171" s="495" t="s">
        <v>3388</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2612</v>
      </c>
      <c r="K172" s="1168" t="s">
        <v>1463</v>
      </c>
      <c r="L172" s="1169" t="s">
        <v>424</v>
      </c>
      <c r="M172" s="1339" t="s">
        <v>1196</v>
      </c>
      <c r="N172" s="1339" t="s">
        <v>1326</v>
      </c>
      <c r="O172" s="1600" t="s">
        <v>4308</v>
      </c>
      <c r="P172" s="642" t="s">
        <v>449</v>
      </c>
      <c r="Q172" s="323"/>
      <c r="R172" s="190"/>
      <c r="S172" s="448"/>
      <c r="T172" s="572" t="s">
        <v>448</v>
      </c>
      <c r="U172" s="572" t="s">
        <v>184</v>
      </c>
      <c r="W172" s="495" t="s">
        <v>2071</v>
      </c>
      <c r="X172" s="495" t="s">
        <v>3388</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2611</v>
      </c>
      <c r="K173" s="1168" t="s">
        <v>2596</v>
      </c>
      <c r="L173" s="1169" t="s">
        <v>423</v>
      </c>
      <c r="M173" s="1339" t="s">
        <v>2598</v>
      </c>
      <c r="N173" s="1339" t="s">
        <v>1326</v>
      </c>
      <c r="O173" s="1600" t="s">
        <v>4309</v>
      </c>
      <c r="P173" s="642" t="s">
        <v>2262</v>
      </c>
      <c r="Q173" s="323"/>
      <c r="R173" s="190"/>
      <c r="S173" s="448"/>
      <c r="T173" s="572" t="s">
        <v>450</v>
      </c>
      <c r="U173" s="572" t="s">
        <v>122</v>
      </c>
      <c r="W173" s="495" t="s">
        <v>1330</v>
      </c>
      <c r="X173" s="495" t="s">
        <v>3388</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2612</v>
      </c>
      <c r="K174" s="1168" t="s">
        <v>2597</v>
      </c>
      <c r="L174" s="1169" t="s">
        <v>424</v>
      </c>
      <c r="M174" s="1339" t="s">
        <v>2598</v>
      </c>
      <c r="N174" s="1339" t="s">
        <v>1330</v>
      </c>
      <c r="O174" s="1600" t="s">
        <v>4310</v>
      </c>
      <c r="P174" s="642" t="s">
        <v>2264</v>
      </c>
      <c r="Q174" s="323"/>
      <c r="R174" s="190"/>
      <c r="S174" s="448"/>
      <c r="T174" s="572" t="s">
        <v>2263</v>
      </c>
      <c r="U174" s="572" t="s">
        <v>2486</v>
      </c>
      <c r="W174" s="495" t="s">
        <v>2074</v>
      </c>
      <c r="X174" s="495" t="s">
        <v>3388</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2612</v>
      </c>
      <c r="K175" s="1168" t="s">
        <v>1257</v>
      </c>
      <c r="L175" s="1169" t="s">
        <v>424</v>
      </c>
      <c r="M175" s="1339" t="s">
        <v>2598</v>
      </c>
      <c r="N175" s="1339" t="s">
        <v>1205</v>
      </c>
      <c r="O175" s="1600" t="s">
        <v>4311</v>
      </c>
      <c r="P175" s="642" t="s">
        <v>368</v>
      </c>
      <c r="Q175" s="323"/>
      <c r="R175" s="190"/>
      <c r="S175" s="448"/>
      <c r="T175" s="572" t="s">
        <v>1848</v>
      </c>
      <c r="U175" s="572" t="s">
        <v>2177</v>
      </c>
      <c r="W175" s="495" t="s">
        <v>2107</v>
      </c>
      <c r="X175" s="495" t="s">
        <v>3388</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2611</v>
      </c>
      <c r="K176" s="1168" t="s">
        <v>1258</v>
      </c>
      <c r="L176" s="1169" t="s">
        <v>423</v>
      </c>
      <c r="M176" s="1339" t="s">
        <v>2598</v>
      </c>
      <c r="N176" s="1339" t="s">
        <v>1782</v>
      </c>
      <c r="O176" s="1600" t="s">
        <v>4312</v>
      </c>
      <c r="P176" s="642" t="s">
        <v>370</v>
      </c>
      <c r="Q176" s="323"/>
      <c r="R176" s="190"/>
      <c r="S176" s="448"/>
      <c r="T176" s="572" t="s">
        <v>369</v>
      </c>
      <c r="U176" s="572" t="s">
        <v>2177</v>
      </c>
      <c r="W176" s="495" t="s">
        <v>2111</v>
      </c>
      <c r="X176" s="495" t="s">
        <v>3388</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2611</v>
      </c>
      <c r="K177" s="1168" t="s">
        <v>1259</v>
      </c>
      <c r="L177" s="1169" t="s">
        <v>423</v>
      </c>
      <c r="M177" s="1339" t="s">
        <v>2598</v>
      </c>
      <c r="N177" s="1339" t="s">
        <v>1696</v>
      </c>
      <c r="O177" s="1600" t="s">
        <v>4313</v>
      </c>
      <c r="P177" s="642" t="s">
        <v>2544</v>
      </c>
      <c r="Q177" s="323"/>
      <c r="R177" s="190"/>
      <c r="S177" s="448"/>
      <c r="T177" s="572" t="s">
        <v>1210</v>
      </c>
      <c r="U177" s="572" t="s">
        <v>2527</v>
      </c>
      <c r="W177" s="495" t="s">
        <v>1783</v>
      </c>
      <c r="X177" s="495" t="s">
        <v>3388</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2611</v>
      </c>
      <c r="K178" s="1168" t="s">
        <v>1711</v>
      </c>
      <c r="L178" s="1169" t="s">
        <v>423</v>
      </c>
      <c r="M178" s="1339" t="s">
        <v>2598</v>
      </c>
      <c r="N178" s="1339" t="s">
        <v>1326</v>
      </c>
      <c r="O178" s="1600" t="s">
        <v>4314</v>
      </c>
      <c r="P178" s="642" t="s">
        <v>2546</v>
      </c>
      <c r="Q178" s="323"/>
      <c r="R178" s="190"/>
      <c r="S178" s="448"/>
      <c r="T178" s="572" t="s">
        <v>2545</v>
      </c>
      <c r="U178" s="572" t="s">
        <v>2532</v>
      </c>
      <c r="W178" s="495" t="s">
        <v>1007</v>
      </c>
      <c r="X178" s="495" t="s">
        <v>3388</v>
      </c>
      <c r="Z178" s="495"/>
      <c r="AA178" s="27"/>
      <c r="AB178" s="27"/>
      <c r="AC178" s="1072"/>
      <c r="AD178" s="585"/>
    </row>
    <row r="179" spans="2:30" ht="10.5" customHeight="1">
      <c r="B179" s="314"/>
      <c r="C179" s="436" t="s">
        <v>2481</v>
      </c>
      <c r="D179" s="508">
        <v>30600</v>
      </c>
      <c r="E179" s="314"/>
      <c r="F179" s="314" t="s">
        <v>857</v>
      </c>
      <c r="G179" s="1166" t="s">
        <v>733</v>
      </c>
      <c r="H179" s="1166" t="s">
        <v>1311</v>
      </c>
      <c r="I179" s="1170" t="s">
        <v>764</v>
      </c>
      <c r="J179" s="1170" t="s">
        <v>2612</v>
      </c>
      <c r="K179" s="1168" t="s">
        <v>2575</v>
      </c>
      <c r="L179" s="1169" t="s">
        <v>424</v>
      </c>
      <c r="M179" s="1339" t="s">
        <v>1196</v>
      </c>
      <c r="N179" s="1339" t="s">
        <v>1205</v>
      </c>
      <c r="O179" s="1600" t="s">
        <v>4315</v>
      </c>
      <c r="P179" s="642" t="s">
        <v>2548</v>
      </c>
      <c r="Q179" s="323"/>
      <c r="R179" s="190"/>
      <c r="S179" s="448"/>
      <c r="T179" s="572" t="s">
        <v>2547</v>
      </c>
      <c r="U179" s="572" t="s">
        <v>1097</v>
      </c>
      <c r="W179" s="495" t="s">
        <v>2444</v>
      </c>
      <c r="X179" s="495" t="s">
        <v>3388</v>
      </c>
      <c r="Z179" s="495"/>
      <c r="AA179" s="27"/>
      <c r="AB179" s="27"/>
      <c r="AC179" s="1072"/>
      <c r="AD179" s="585"/>
    </row>
    <row r="180" spans="2:30" ht="10.5" customHeight="1">
      <c r="B180" s="314"/>
      <c r="C180" s="437" t="s">
        <v>2484</v>
      </c>
      <c r="D180" s="508">
        <v>43100</v>
      </c>
      <c r="E180" s="314"/>
      <c r="F180" s="314" t="s">
        <v>860</v>
      </c>
      <c r="G180" s="1166" t="s">
        <v>1520</v>
      </c>
      <c r="H180" s="1166" t="s">
        <v>1311</v>
      </c>
      <c r="I180" s="1170" t="s">
        <v>1521</v>
      </c>
      <c r="J180" s="1170" t="s">
        <v>2612</v>
      </c>
      <c r="K180" s="1168" t="s">
        <v>1680</v>
      </c>
      <c r="L180" s="1169" t="s">
        <v>424</v>
      </c>
      <c r="M180" s="1339" t="s">
        <v>2598</v>
      </c>
      <c r="N180" s="1339" t="s">
        <v>1521</v>
      </c>
      <c r="O180" s="1600" t="s">
        <v>4316</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861</v>
      </c>
      <c r="G181" s="1166" t="s">
        <v>157</v>
      </c>
      <c r="H181" s="1166" t="s">
        <v>1211</v>
      </c>
      <c r="I181" s="1167" t="s">
        <v>158</v>
      </c>
      <c r="J181" s="1167" t="s">
        <v>2611</v>
      </c>
      <c r="K181" s="1168" t="s">
        <v>1681</v>
      </c>
      <c r="L181" s="1169" t="s">
        <v>423</v>
      </c>
      <c r="M181" s="1339" t="s">
        <v>2598</v>
      </c>
      <c r="N181" s="1339" t="s">
        <v>1696</v>
      </c>
      <c r="O181" s="1600" t="s">
        <v>4317</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1341</v>
      </c>
      <c r="G182" s="1166" t="s">
        <v>159</v>
      </c>
      <c r="H182" s="1166" t="s">
        <v>1796</v>
      </c>
      <c r="I182" s="1170" t="s">
        <v>1326</v>
      </c>
      <c r="J182" s="1170" t="s">
        <v>2612</v>
      </c>
      <c r="K182" s="1168" t="s">
        <v>1463</v>
      </c>
      <c r="L182" s="1169" t="s">
        <v>424</v>
      </c>
      <c r="M182" s="1339" t="s">
        <v>1196</v>
      </c>
      <c r="N182" s="1339" t="s">
        <v>1326</v>
      </c>
      <c r="O182" s="1600" t="s">
        <v>4318</v>
      </c>
      <c r="P182" s="642" t="s">
        <v>2554</v>
      </c>
      <c r="Q182" s="323"/>
      <c r="R182" s="190"/>
      <c r="S182" s="448"/>
      <c r="T182" s="572" t="s">
        <v>2553</v>
      </c>
      <c r="U182" s="572" t="s">
        <v>1332</v>
      </c>
      <c r="W182" s="495" t="s">
        <v>2451</v>
      </c>
      <c r="X182" s="495" t="s">
        <v>3388</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2612</v>
      </c>
      <c r="K183" s="1168" t="s">
        <v>1682</v>
      </c>
      <c r="L183" s="1169" t="s">
        <v>424</v>
      </c>
      <c r="M183" s="1339" t="s">
        <v>2598</v>
      </c>
      <c r="N183" s="1339" t="s">
        <v>161</v>
      </c>
      <c r="O183" s="1600" t="s">
        <v>4319</v>
      </c>
      <c r="P183" s="642" t="s">
        <v>2555</v>
      </c>
      <c r="Q183" s="323"/>
      <c r="R183" s="190"/>
      <c r="S183" s="448"/>
      <c r="T183" s="572" t="s">
        <v>2556</v>
      </c>
      <c r="U183" s="572" t="s">
        <v>2590</v>
      </c>
      <c r="W183" s="495" t="s">
        <v>2231</v>
      </c>
      <c r="X183" s="495" t="s">
        <v>3388</v>
      </c>
      <c r="Z183" s="495"/>
      <c r="AA183" s="27"/>
      <c r="AB183" s="27"/>
      <c r="AC183" s="1072"/>
      <c r="AD183" s="585"/>
    </row>
    <row r="184" spans="2:30" ht="10.5" customHeight="1">
      <c r="B184" s="314"/>
      <c r="C184" s="437" t="s">
        <v>2529</v>
      </c>
      <c r="D184" s="508">
        <v>43800</v>
      </c>
      <c r="E184" s="314"/>
      <c r="F184" s="314" t="s">
        <v>1342</v>
      </c>
      <c r="G184" s="1166" t="s">
        <v>162</v>
      </c>
      <c r="H184" s="1166" t="s">
        <v>1311</v>
      </c>
      <c r="I184" s="1167" t="s">
        <v>163</v>
      </c>
      <c r="J184" s="1167" t="s">
        <v>2611</v>
      </c>
      <c r="K184" s="1168" t="s">
        <v>1683</v>
      </c>
      <c r="L184" s="1169" t="s">
        <v>423</v>
      </c>
      <c r="M184" s="1339" t="s">
        <v>2598</v>
      </c>
      <c r="N184" s="1339" t="s">
        <v>1521</v>
      </c>
      <c r="O184" s="1600" t="s">
        <v>4320</v>
      </c>
      <c r="P184" s="642" t="s">
        <v>2557</v>
      </c>
      <c r="Q184" s="323"/>
      <c r="R184" s="190"/>
      <c r="S184" s="448"/>
      <c r="T184" s="572" t="s">
        <v>2558</v>
      </c>
      <c r="U184" s="572" t="s">
        <v>1917</v>
      </c>
      <c r="W184" s="495" t="s">
        <v>2331</v>
      </c>
      <c r="X184" s="495" t="s">
        <v>3388</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2612</v>
      </c>
      <c r="K185" s="1168" t="s">
        <v>2575</v>
      </c>
      <c r="L185" s="1169" t="s">
        <v>424</v>
      </c>
      <c r="M185" s="1339" t="s">
        <v>1196</v>
      </c>
      <c r="N185" s="1339" t="s">
        <v>1205</v>
      </c>
      <c r="O185" s="1600" t="s">
        <v>4321</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2612</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3388</v>
      </c>
      <c r="Z186" s="495"/>
      <c r="AA186" s="27"/>
      <c r="AB186" s="27"/>
      <c r="AC186" s="1072"/>
      <c r="AD186" s="585"/>
    </row>
    <row r="187" spans="2:30" ht="10.5" customHeight="1">
      <c r="B187" s="314"/>
      <c r="C187" s="436" t="s">
        <v>197</v>
      </c>
      <c r="D187" s="508">
        <v>44000</v>
      </c>
      <c r="E187" s="314"/>
      <c r="F187" s="314" t="s">
        <v>1343</v>
      </c>
      <c r="G187" s="1166" t="s">
        <v>2480</v>
      </c>
      <c r="H187" s="1166" t="s">
        <v>1211</v>
      </c>
      <c r="I187" s="1167" t="s">
        <v>2481</v>
      </c>
      <c r="J187" s="1167" t="s">
        <v>2611</v>
      </c>
      <c r="K187" s="1168" t="s">
        <v>621</v>
      </c>
      <c r="L187" s="1169" t="s">
        <v>423</v>
      </c>
      <c r="M187" s="1340" t="s">
        <v>2598</v>
      </c>
      <c r="N187" s="1340" t="s">
        <v>1782</v>
      </c>
      <c r="O187" s="1600" t="s">
        <v>4323</v>
      </c>
      <c r="P187" s="642" t="s">
        <v>778</v>
      </c>
      <c r="Q187" s="601"/>
      <c r="R187" s="190"/>
      <c r="S187" s="448"/>
      <c r="T187" s="572" t="s">
        <v>779</v>
      </c>
      <c r="U187" s="572" t="s">
        <v>196</v>
      </c>
      <c r="W187" s="495" t="s">
        <v>13</v>
      </c>
      <c r="X187" s="495" t="s">
        <v>3388</v>
      </c>
      <c r="Z187" s="495"/>
      <c r="AA187" s="27"/>
      <c r="AB187" s="27"/>
      <c r="AC187" s="1072"/>
      <c r="AD187" s="585"/>
    </row>
    <row r="188" spans="2:30" ht="10.5" customHeight="1">
      <c r="B188" s="314"/>
      <c r="C188" s="436" t="s">
        <v>952</v>
      </c>
      <c r="D188" s="508">
        <v>46300</v>
      </c>
      <c r="E188" s="314"/>
      <c r="F188" s="314" t="s">
        <v>1345</v>
      </c>
      <c r="G188" s="1166" t="s">
        <v>2482</v>
      </c>
      <c r="H188" s="1166" t="s">
        <v>1796</v>
      </c>
      <c r="I188" s="1170" t="s">
        <v>764</v>
      </c>
      <c r="J188" s="1170" t="s">
        <v>2612</v>
      </c>
      <c r="K188" s="1168" t="s">
        <v>2575</v>
      </c>
      <c r="L188" s="1169" t="s">
        <v>424</v>
      </c>
      <c r="M188" s="1339" t="s">
        <v>1196</v>
      </c>
      <c r="N188" s="1339" t="s">
        <v>1205</v>
      </c>
      <c r="O188" s="1600" t="s">
        <v>4324</v>
      </c>
      <c r="P188" s="642" t="s">
        <v>780</v>
      </c>
      <c r="Q188" s="601"/>
      <c r="R188" s="190"/>
      <c r="S188" s="448"/>
      <c r="T188" s="572" t="s">
        <v>2071</v>
      </c>
      <c r="U188" s="572" t="s">
        <v>1313</v>
      </c>
      <c r="W188" s="495" t="s">
        <v>59</v>
      </c>
      <c r="X188" s="495" t="s">
        <v>3388</v>
      </c>
      <c r="Z188" s="495"/>
      <c r="AA188" s="27"/>
      <c r="AB188" s="27"/>
      <c r="AC188" s="1072"/>
      <c r="AD188" s="585"/>
    </row>
    <row r="189" spans="2:30" ht="10.5" customHeight="1">
      <c r="B189" s="314"/>
      <c r="C189" s="437" t="s">
        <v>954</v>
      </c>
      <c r="D189" s="508">
        <v>38800</v>
      </c>
      <c r="E189" s="314"/>
      <c r="F189" s="314" t="s">
        <v>1346</v>
      </c>
      <c r="G189" s="1166" t="s">
        <v>2483</v>
      </c>
      <c r="H189" s="1166" t="s">
        <v>1211</v>
      </c>
      <c r="I189" s="1167" t="s">
        <v>2484</v>
      </c>
      <c r="J189" s="1167" t="s">
        <v>2611</v>
      </c>
      <c r="K189" s="1168" t="s">
        <v>622</v>
      </c>
      <c r="L189" s="1169" t="s">
        <v>423</v>
      </c>
      <c r="M189" s="1340" t="s">
        <v>2598</v>
      </c>
      <c r="N189" s="1340" t="s">
        <v>1696</v>
      </c>
      <c r="O189" s="1600" t="s">
        <v>4325</v>
      </c>
      <c r="P189" s="642" t="s">
        <v>2072</v>
      </c>
      <c r="Q189" s="601"/>
      <c r="R189" s="190"/>
      <c r="S189" s="448"/>
      <c r="T189" s="572" t="s">
        <v>1330</v>
      </c>
      <c r="U189" s="572" t="s">
        <v>1109</v>
      </c>
      <c r="W189" s="495" t="s">
        <v>61</v>
      </c>
      <c r="X189" s="495" t="s">
        <v>3388</v>
      </c>
      <c r="Z189" s="495"/>
      <c r="AA189" s="27"/>
      <c r="AB189" s="27"/>
      <c r="AC189" s="1072"/>
      <c r="AD189" s="585"/>
    </row>
    <row r="190" spans="2:30" ht="10.5" customHeight="1">
      <c r="B190" s="314"/>
      <c r="C190" s="436" t="s">
        <v>875</v>
      </c>
      <c r="D190" s="508">
        <v>42400</v>
      </c>
      <c r="E190" s="314"/>
      <c r="F190" s="314" t="s">
        <v>1347</v>
      </c>
      <c r="G190" s="1166" t="s">
        <v>2485</v>
      </c>
      <c r="H190" s="1166" t="s">
        <v>1796</v>
      </c>
      <c r="I190" s="1170" t="s">
        <v>764</v>
      </c>
      <c r="J190" s="1170" t="s">
        <v>2612</v>
      </c>
      <c r="K190" s="1168" t="s">
        <v>2575</v>
      </c>
      <c r="L190" s="1169" t="s">
        <v>424</v>
      </c>
      <c r="M190" s="1339" t="s">
        <v>1196</v>
      </c>
      <c r="N190" s="1339" t="s">
        <v>1205</v>
      </c>
      <c r="O190" s="1600" t="s">
        <v>4326</v>
      </c>
      <c r="P190" s="642" t="s">
        <v>2073</v>
      </c>
      <c r="Q190" s="601"/>
      <c r="R190" s="190"/>
      <c r="S190" s="448"/>
      <c r="T190" s="572" t="s">
        <v>2074</v>
      </c>
      <c r="U190" s="572" t="s">
        <v>2485</v>
      </c>
      <c r="W190" s="495" t="s">
        <v>352</v>
      </c>
      <c r="X190" s="495" t="s">
        <v>3388</v>
      </c>
      <c r="Z190" s="495"/>
      <c r="AA190" s="27"/>
      <c r="AB190" s="27"/>
      <c r="AC190" s="1072"/>
      <c r="AD190" s="585"/>
    </row>
    <row r="191" spans="2:30" ht="10.5" customHeight="1">
      <c r="B191" s="314"/>
      <c r="C191" s="437" t="s">
        <v>879</v>
      </c>
      <c r="D191" s="508">
        <v>43800</v>
      </c>
      <c r="E191" s="314"/>
      <c r="F191" s="314" t="s">
        <v>1344</v>
      </c>
      <c r="G191" s="1166" t="s">
        <v>2486</v>
      </c>
      <c r="H191" s="1166" t="s">
        <v>1211</v>
      </c>
      <c r="I191" s="1167" t="s">
        <v>2487</v>
      </c>
      <c r="J191" s="1167" t="s">
        <v>2611</v>
      </c>
      <c r="K191" s="1168" t="s">
        <v>623</v>
      </c>
      <c r="L191" s="1169" t="s">
        <v>423</v>
      </c>
      <c r="M191" s="1340" t="s">
        <v>2598</v>
      </c>
      <c r="N191" s="1340" t="s">
        <v>1696</v>
      </c>
      <c r="O191" s="1600" t="s">
        <v>4327</v>
      </c>
      <c r="P191" s="642" t="s">
        <v>2075</v>
      </c>
      <c r="Q191" s="601"/>
      <c r="R191" s="190"/>
      <c r="S191" s="448"/>
      <c r="T191" s="572" t="s">
        <v>1999</v>
      </c>
      <c r="U191" s="572" t="s">
        <v>2173</v>
      </c>
      <c r="W191" s="495" t="s">
        <v>356</v>
      </c>
      <c r="X191" s="495" t="s">
        <v>3388</v>
      </c>
      <c r="Z191" s="495"/>
      <c r="AA191" s="27"/>
      <c r="AB191" s="27"/>
      <c r="AC191" s="1072"/>
      <c r="AD191" s="585"/>
    </row>
    <row r="192" spans="2:30" ht="10.5" customHeight="1">
      <c r="B192" s="314"/>
      <c r="C192" s="437" t="s">
        <v>2243</v>
      </c>
      <c r="D192" s="508">
        <v>41900</v>
      </c>
      <c r="E192" s="314"/>
      <c r="F192" s="314" t="s">
        <v>1348</v>
      </c>
      <c r="G192" s="1166" t="s">
        <v>2488</v>
      </c>
      <c r="H192" s="1166" t="s">
        <v>1211</v>
      </c>
      <c r="I192" s="1167" t="s">
        <v>2526</v>
      </c>
      <c r="J192" s="1167" t="s">
        <v>2611</v>
      </c>
      <c r="K192" s="1168" t="s">
        <v>624</v>
      </c>
      <c r="L192" s="1169" t="s">
        <v>423</v>
      </c>
      <c r="M192" s="1340" t="s">
        <v>2598</v>
      </c>
      <c r="N192" s="1340" t="s">
        <v>1782</v>
      </c>
      <c r="O192" s="1600" t="s">
        <v>4328</v>
      </c>
      <c r="P192" s="642" t="s">
        <v>2106</v>
      </c>
      <c r="Q192" s="601"/>
      <c r="R192" s="190"/>
      <c r="S192" s="448"/>
      <c r="T192" s="572" t="s">
        <v>2076</v>
      </c>
      <c r="U192" s="572" t="s">
        <v>328</v>
      </c>
      <c r="W192" s="495" t="s">
        <v>2290</v>
      </c>
      <c r="X192" s="495" t="s">
        <v>3388</v>
      </c>
      <c r="Z192" s="495"/>
      <c r="AA192" s="27"/>
      <c r="AB192" s="27"/>
      <c r="AC192" s="1072"/>
      <c r="AD192" s="585"/>
    </row>
    <row r="193" spans="2:30" ht="10.5" customHeight="1">
      <c r="B193" s="314"/>
      <c r="C193" s="437" t="s">
        <v>654</v>
      </c>
      <c r="D193" s="508">
        <v>44700</v>
      </c>
      <c r="E193" s="314"/>
      <c r="F193" s="314" t="s">
        <v>1351</v>
      </c>
      <c r="G193" s="1166" t="s">
        <v>2527</v>
      </c>
      <c r="H193" s="1166" t="s">
        <v>1311</v>
      </c>
      <c r="I193" s="1170" t="s">
        <v>765</v>
      </c>
      <c r="J193" s="1170" t="s">
        <v>2612</v>
      </c>
      <c r="K193" s="1168" t="s">
        <v>2597</v>
      </c>
      <c r="L193" s="1169" t="s">
        <v>424</v>
      </c>
      <c r="M193" s="1339" t="s">
        <v>2598</v>
      </c>
      <c r="N193" s="1339" t="s">
        <v>1330</v>
      </c>
      <c r="O193" s="1600" t="s">
        <v>4329</v>
      </c>
      <c r="P193" s="642" t="s">
        <v>2108</v>
      </c>
      <c r="Q193" s="601"/>
      <c r="R193" s="190"/>
      <c r="S193" s="448"/>
      <c r="T193" s="572" t="s">
        <v>2107</v>
      </c>
      <c r="U193" s="572" t="s">
        <v>628</v>
      </c>
      <c r="W193" s="495" t="s">
        <v>1332</v>
      </c>
      <c r="X193" s="495" t="s">
        <v>3388</v>
      </c>
      <c r="Z193" s="495"/>
      <c r="AA193" s="27"/>
      <c r="AB193" s="27"/>
      <c r="AC193" s="1072"/>
      <c r="AD193" s="585"/>
    </row>
    <row r="194" spans="2:30" ht="10.5" customHeight="1">
      <c r="B194" s="314"/>
      <c r="C194" s="437" t="s">
        <v>656</v>
      </c>
      <c r="D194" s="508">
        <v>48400</v>
      </c>
      <c r="E194" s="314"/>
      <c r="F194" s="314" t="s">
        <v>1352</v>
      </c>
      <c r="G194" s="1166" t="s">
        <v>2528</v>
      </c>
      <c r="H194" s="1166" t="s">
        <v>1211</v>
      </c>
      <c r="I194" s="1167" t="s">
        <v>2529</v>
      </c>
      <c r="J194" s="1167" t="s">
        <v>2611</v>
      </c>
      <c r="K194" s="1168" t="s">
        <v>625</v>
      </c>
      <c r="L194" s="1169" t="s">
        <v>423</v>
      </c>
      <c r="M194" s="1340" t="s">
        <v>2598</v>
      </c>
      <c r="N194" s="1340" t="s">
        <v>1696</v>
      </c>
      <c r="O194" s="1600" t="s">
        <v>4330</v>
      </c>
      <c r="P194" s="642" t="s">
        <v>2110</v>
      </c>
      <c r="Q194" s="601"/>
      <c r="R194" s="190"/>
      <c r="S194" s="448"/>
      <c r="T194" s="572" t="s">
        <v>2109</v>
      </c>
      <c r="U194" s="572" t="s">
        <v>1633</v>
      </c>
      <c r="W194" s="495" t="s">
        <v>1560</v>
      </c>
      <c r="X194" s="495" t="s">
        <v>3388</v>
      </c>
      <c r="Z194" s="495"/>
      <c r="AA194" s="27"/>
      <c r="AB194" s="27"/>
      <c r="AC194" s="1072"/>
      <c r="AD194" s="585"/>
    </row>
    <row r="195" spans="2:30" ht="10.5" customHeight="1">
      <c r="B195" s="314"/>
      <c r="C195" s="437" t="s">
        <v>661</v>
      </c>
      <c r="D195" s="508">
        <v>44700</v>
      </c>
      <c r="E195" s="314"/>
      <c r="F195" s="314" t="s">
        <v>1353</v>
      </c>
      <c r="G195" s="1166" t="s">
        <v>2530</v>
      </c>
      <c r="H195" s="1166" t="s">
        <v>1211</v>
      </c>
      <c r="I195" s="1170" t="s">
        <v>764</v>
      </c>
      <c r="J195" s="1170" t="s">
        <v>2612</v>
      </c>
      <c r="K195" s="1168" t="s">
        <v>2575</v>
      </c>
      <c r="L195" s="1169" t="s">
        <v>424</v>
      </c>
      <c r="M195" s="1339" t="s">
        <v>1196</v>
      </c>
      <c r="N195" s="1339" t="s">
        <v>1205</v>
      </c>
      <c r="O195" s="1600" t="s">
        <v>4331</v>
      </c>
      <c r="P195" s="642" t="s">
        <v>2112</v>
      </c>
      <c r="Q195" s="601"/>
      <c r="R195" s="190"/>
      <c r="S195" s="448"/>
      <c r="T195" s="572" t="s">
        <v>2111</v>
      </c>
      <c r="U195" s="572" t="s">
        <v>196</v>
      </c>
      <c r="W195" s="495" t="s">
        <v>1564</v>
      </c>
      <c r="X195" s="495" t="s">
        <v>3388</v>
      </c>
      <c r="Z195" s="495"/>
      <c r="AA195" s="27"/>
      <c r="AB195" s="27"/>
      <c r="AC195" s="1072"/>
      <c r="AD195" s="585"/>
    </row>
    <row r="196" spans="2:30" ht="10.5" customHeight="1">
      <c r="B196" s="314"/>
      <c r="C196" s="437" t="s">
        <v>1221</v>
      </c>
      <c r="D196" s="508">
        <v>64200</v>
      </c>
      <c r="E196" s="314"/>
      <c r="F196" s="314" t="s">
        <v>1354</v>
      </c>
      <c r="G196" s="1166" t="s">
        <v>2531</v>
      </c>
      <c r="H196" s="1166" t="s">
        <v>1311</v>
      </c>
      <c r="I196" s="1170" t="s">
        <v>1320</v>
      </c>
      <c r="J196" s="1170" t="s">
        <v>2612</v>
      </c>
      <c r="K196" s="1168" t="s">
        <v>2578</v>
      </c>
      <c r="L196" s="1169" t="s">
        <v>424</v>
      </c>
      <c r="M196" s="1339" t="s">
        <v>2598</v>
      </c>
      <c r="N196" s="1339" t="s">
        <v>1320</v>
      </c>
      <c r="O196" s="1600" t="s">
        <v>4332</v>
      </c>
      <c r="P196" s="642" t="s">
        <v>2538</v>
      </c>
      <c r="Q196" s="601"/>
      <c r="R196" s="190"/>
      <c r="S196" s="448"/>
      <c r="T196" s="572" t="s">
        <v>1783</v>
      </c>
      <c r="U196" s="572" t="s">
        <v>122</v>
      </c>
      <c r="W196" s="495" t="s">
        <v>1745</v>
      </c>
      <c r="X196" s="495" t="s">
        <v>3388</v>
      </c>
      <c r="Z196" s="495"/>
      <c r="AA196" s="27"/>
      <c r="AB196" s="27"/>
      <c r="AC196" s="1072"/>
      <c r="AD196" s="585"/>
    </row>
    <row r="197" spans="2:30" ht="10.5" customHeight="1">
      <c r="B197" s="314"/>
      <c r="C197" s="437" t="s">
        <v>663</v>
      </c>
      <c r="D197" s="508">
        <v>51500</v>
      </c>
      <c r="E197" s="314"/>
      <c r="F197" s="314" t="s">
        <v>1355</v>
      </c>
      <c r="G197" s="1166" t="s">
        <v>2532</v>
      </c>
      <c r="H197" s="1166" t="s">
        <v>1211</v>
      </c>
      <c r="I197" s="1167" t="s">
        <v>193</v>
      </c>
      <c r="J197" s="1167" t="s">
        <v>2611</v>
      </c>
      <c r="K197" s="1168" t="s">
        <v>626</v>
      </c>
      <c r="L197" s="1169" t="s">
        <v>423</v>
      </c>
      <c r="M197" s="1340" t="s">
        <v>2598</v>
      </c>
      <c r="N197" s="1340" t="s">
        <v>1782</v>
      </c>
      <c r="O197" s="1600" t="s">
        <v>4333</v>
      </c>
      <c r="P197" s="642" t="s">
        <v>1006</v>
      </c>
      <c r="Q197" s="601"/>
      <c r="R197" s="190"/>
      <c r="S197" s="448"/>
      <c r="T197" s="572" t="s">
        <v>2539</v>
      </c>
      <c r="U197" s="572" t="s">
        <v>164</v>
      </c>
      <c r="W197" s="495" t="s">
        <v>1022</v>
      </c>
      <c r="X197" s="495" t="s">
        <v>3388</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2612</v>
      </c>
      <c r="K198" s="1168" t="s">
        <v>1680</v>
      </c>
      <c r="L198" s="1169" t="s">
        <v>424</v>
      </c>
      <c r="M198" s="1339" t="s">
        <v>2598</v>
      </c>
      <c r="N198" s="1339" t="s">
        <v>1521</v>
      </c>
      <c r="O198" s="1600" t="s">
        <v>4334</v>
      </c>
      <c r="P198" s="642" t="s">
        <v>2002</v>
      </c>
      <c r="Q198" s="601"/>
      <c r="R198" s="190"/>
      <c r="S198" s="448"/>
      <c r="T198" s="572" t="s">
        <v>1007</v>
      </c>
      <c r="U198" s="572" t="s">
        <v>429</v>
      </c>
      <c r="W198" s="495" t="s">
        <v>1025</v>
      </c>
      <c r="X198" s="495" t="s">
        <v>3388</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2612</v>
      </c>
      <c r="K199" s="1168" t="s">
        <v>2575</v>
      </c>
      <c r="L199" s="1169" t="s">
        <v>424</v>
      </c>
      <c r="M199" s="1339" t="s">
        <v>1196</v>
      </c>
      <c r="N199" s="1339" t="s">
        <v>1205</v>
      </c>
      <c r="O199" s="1600" t="s">
        <v>4335</v>
      </c>
      <c r="P199" s="642" t="s">
        <v>15</v>
      </c>
      <c r="Q199" s="601"/>
      <c r="R199" s="190"/>
      <c r="S199" s="448"/>
      <c r="T199" s="572" t="s">
        <v>1314</v>
      </c>
      <c r="U199" s="572" t="s">
        <v>328</v>
      </c>
      <c r="W199" s="495" t="s">
        <v>1758</v>
      </c>
      <c r="X199" s="495" t="s">
        <v>3388</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2611</v>
      </c>
      <c r="K200" s="1168" t="s">
        <v>627</v>
      </c>
      <c r="L200" s="1169" t="s">
        <v>423</v>
      </c>
      <c r="M200" s="1340" t="s">
        <v>2598</v>
      </c>
      <c r="N200" s="1340" t="s">
        <v>1782</v>
      </c>
      <c r="O200" s="1600" t="s">
        <v>4336</v>
      </c>
      <c r="P200" s="642" t="s">
        <v>2235</v>
      </c>
      <c r="Q200" s="601"/>
      <c r="R200" s="190"/>
      <c r="S200" s="448"/>
      <c r="T200" s="572" t="s">
        <v>16</v>
      </c>
      <c r="U200" s="572" t="s">
        <v>1666</v>
      </c>
      <c r="W200" s="495" t="s">
        <v>2064</v>
      </c>
      <c r="X200" s="495" t="s">
        <v>3388</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2612</v>
      </c>
      <c r="K201" s="1168" t="s">
        <v>2575</v>
      </c>
      <c r="L201" s="1169" t="s">
        <v>424</v>
      </c>
      <c r="M201" s="1339" t="s">
        <v>1196</v>
      </c>
      <c r="N201" s="1339" t="s">
        <v>1205</v>
      </c>
      <c r="O201" s="1600" t="s">
        <v>4337</v>
      </c>
      <c r="P201" s="642" t="s">
        <v>2237</v>
      </c>
      <c r="Q201" s="601"/>
      <c r="R201" s="190"/>
      <c r="S201" s="448"/>
      <c r="T201" s="572" t="s">
        <v>2236</v>
      </c>
      <c r="U201" s="572" t="s">
        <v>1210</v>
      </c>
      <c r="W201" s="495" t="s">
        <v>2066</v>
      </c>
      <c r="X201" s="495" t="s">
        <v>3388</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2611</v>
      </c>
      <c r="K202" s="1168" t="s">
        <v>1958</v>
      </c>
      <c r="L202" s="1169" t="s">
        <v>423</v>
      </c>
      <c r="M202" s="1340" t="s">
        <v>2598</v>
      </c>
      <c r="N202" s="1340" t="s">
        <v>1320</v>
      </c>
      <c r="O202" s="1600" t="s">
        <v>4338</v>
      </c>
      <c r="P202" s="642" t="s">
        <v>2239</v>
      </c>
      <c r="Q202" s="601"/>
      <c r="R202" s="190"/>
      <c r="S202" s="448"/>
      <c r="T202" s="643" t="s">
        <v>2238</v>
      </c>
      <c r="U202" s="643" t="s">
        <v>2244</v>
      </c>
      <c r="W202" s="495" t="s">
        <v>676</v>
      </c>
      <c r="X202" s="495" t="s">
        <v>3388</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2611</v>
      </c>
      <c r="K203" s="1168" t="s">
        <v>1959</v>
      </c>
      <c r="L203" s="1169" t="s">
        <v>423</v>
      </c>
      <c r="M203" s="1340" t="s">
        <v>2598</v>
      </c>
      <c r="N203" s="1340" t="s">
        <v>1782</v>
      </c>
      <c r="O203" s="1600" t="s">
        <v>4339</v>
      </c>
      <c r="P203" s="642" t="s">
        <v>2269</v>
      </c>
      <c r="Q203" s="601"/>
      <c r="R203" s="190"/>
      <c r="S203" s="448"/>
      <c r="T203" s="572" t="s">
        <v>2560</v>
      </c>
      <c r="U203" s="572" t="s">
        <v>628</v>
      </c>
      <c r="W203" s="495" t="s">
        <v>1247</v>
      </c>
      <c r="X203" s="495" t="s">
        <v>3388</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2612</v>
      </c>
      <c r="K204" s="1168" t="s">
        <v>1161</v>
      </c>
      <c r="L204" s="1169" t="s">
        <v>424</v>
      </c>
      <c r="M204" s="1340" t="s">
        <v>1196</v>
      </c>
      <c r="N204" s="1340" t="s">
        <v>1782</v>
      </c>
      <c r="O204" s="1600" t="s">
        <v>4340</v>
      </c>
      <c r="P204" s="642" t="s">
        <v>1773</v>
      </c>
      <c r="Q204" s="601"/>
      <c r="R204" s="190"/>
      <c r="S204" s="448"/>
      <c r="T204" s="572" t="s">
        <v>2240</v>
      </c>
      <c r="U204" s="572" t="s">
        <v>121</v>
      </c>
      <c r="W204" s="495" t="s">
        <v>1249</v>
      </c>
      <c r="X204" s="495" t="s">
        <v>3388</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2612</v>
      </c>
      <c r="K205" s="1168" t="s">
        <v>2575</v>
      </c>
      <c r="L205" s="1169" t="s">
        <v>424</v>
      </c>
      <c r="M205" s="1339" t="s">
        <v>1196</v>
      </c>
      <c r="N205" s="1339" t="s">
        <v>1205</v>
      </c>
      <c r="O205" s="1600" t="s">
        <v>4341</v>
      </c>
      <c r="P205" s="642" t="s">
        <v>1775</v>
      </c>
      <c r="Q205" s="601"/>
      <c r="R205" s="190"/>
      <c r="S205" s="448"/>
      <c r="T205" s="572" t="s">
        <v>1749</v>
      </c>
      <c r="U205" s="572" t="s">
        <v>2488</v>
      </c>
      <c r="W205" s="495" t="s">
        <v>2482</v>
      </c>
      <c r="X205" s="495" t="s">
        <v>3388</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2611</v>
      </c>
      <c r="K206" s="1168" t="s">
        <v>1960</v>
      </c>
      <c r="L206" s="1169" t="s">
        <v>423</v>
      </c>
      <c r="M206" s="1340" t="s">
        <v>2598</v>
      </c>
      <c r="N206" s="1340" t="s">
        <v>1782</v>
      </c>
      <c r="O206" s="1600" t="s">
        <v>4342</v>
      </c>
      <c r="P206" s="642" t="s">
        <v>2158</v>
      </c>
      <c r="Q206" s="601"/>
      <c r="R206" s="190"/>
      <c r="S206" s="448"/>
      <c r="T206" s="572" t="s">
        <v>1774</v>
      </c>
      <c r="U206" s="572" t="s">
        <v>1313</v>
      </c>
      <c r="W206" s="495" t="s">
        <v>2492</v>
      </c>
      <c r="X206" s="495" t="s">
        <v>3388</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2612</v>
      </c>
      <c r="K207" s="1168" t="s">
        <v>2581</v>
      </c>
      <c r="L207" s="1169" t="s">
        <v>424</v>
      </c>
      <c r="M207" s="1339" t="s">
        <v>2598</v>
      </c>
      <c r="N207" s="1339" t="s">
        <v>1696</v>
      </c>
      <c r="O207" s="1600" t="s">
        <v>4343</v>
      </c>
      <c r="P207" s="642" t="s">
        <v>2159</v>
      </c>
      <c r="Q207" s="601"/>
      <c r="R207" s="190"/>
      <c r="S207" s="448"/>
      <c r="T207" s="572" t="s">
        <v>1776</v>
      </c>
      <c r="U207" s="572" t="s">
        <v>2008</v>
      </c>
      <c r="W207" s="495" t="s">
        <v>87</v>
      </c>
      <c r="X207" s="495" t="s">
        <v>3388</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2612</v>
      </c>
      <c r="K208" s="1168" t="s">
        <v>1463</v>
      </c>
      <c r="L208" s="1169" t="s">
        <v>424</v>
      </c>
      <c r="M208" s="1339" t="s">
        <v>2598</v>
      </c>
      <c r="N208" s="1339" t="s">
        <v>1326</v>
      </c>
      <c r="O208" s="1600" t="s">
        <v>4344</v>
      </c>
      <c r="P208" s="642" t="s">
        <v>2443</v>
      </c>
      <c r="Q208" s="323"/>
      <c r="R208" s="190"/>
      <c r="S208" s="448"/>
      <c r="T208" s="572" t="s">
        <v>825</v>
      </c>
      <c r="U208" s="572" t="s">
        <v>2587</v>
      </c>
      <c r="W208" s="495" t="s">
        <v>1234</v>
      </c>
      <c r="X208" s="495" t="s">
        <v>3388</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2611</v>
      </c>
      <c r="K209" s="1168" t="s">
        <v>1335</v>
      </c>
      <c r="L209" s="1169" t="s">
        <v>423</v>
      </c>
      <c r="M209" s="1340" t="s">
        <v>2598</v>
      </c>
      <c r="N209" s="1340" t="s">
        <v>166</v>
      </c>
      <c r="O209" s="1600" t="s">
        <v>4345</v>
      </c>
      <c r="P209" s="642" t="s">
        <v>2445</v>
      </c>
      <c r="Q209" s="323"/>
      <c r="R209" s="190"/>
      <c r="S209" s="448"/>
      <c r="T209" s="572" t="s">
        <v>2160</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2611</v>
      </c>
      <c r="K210" s="1168" t="s">
        <v>1336</v>
      </c>
      <c r="L210" s="1169" t="s">
        <v>423</v>
      </c>
      <c r="M210" s="1340" t="s">
        <v>2598</v>
      </c>
      <c r="N210" s="1340" t="s">
        <v>1330</v>
      </c>
      <c r="O210" s="1600" t="s">
        <v>4346</v>
      </c>
      <c r="P210" s="642" t="s">
        <v>2447</v>
      </c>
      <c r="Q210" s="323"/>
      <c r="R210" s="190"/>
      <c r="S210" s="448"/>
      <c r="T210" s="643" t="s">
        <v>2444</v>
      </c>
      <c r="U210" s="643" t="s">
        <v>1094</v>
      </c>
      <c r="W210" s="495" t="s">
        <v>895</v>
      </c>
      <c r="X210" s="495" t="s">
        <v>3388</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2611</v>
      </c>
      <c r="K211" s="1168" t="s">
        <v>1337</v>
      </c>
      <c r="L211" s="1169" t="s">
        <v>423</v>
      </c>
      <c r="M211" s="1340" t="s">
        <v>2598</v>
      </c>
      <c r="N211" s="1340" t="s">
        <v>1326</v>
      </c>
      <c r="O211" s="1600" t="s">
        <v>4347</v>
      </c>
      <c r="P211" s="642" t="s">
        <v>2449</v>
      </c>
      <c r="Q211" s="323"/>
      <c r="R211" s="190"/>
      <c r="S211" s="448"/>
      <c r="T211" s="572" t="s">
        <v>2561</v>
      </c>
      <c r="U211" s="572" t="s">
        <v>319</v>
      </c>
      <c r="W211" s="495" t="s">
        <v>2140</v>
      </c>
      <c r="X211" s="495" t="s">
        <v>3388</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2611</v>
      </c>
      <c r="K212" s="1168" t="s">
        <v>1338</v>
      </c>
      <c r="L212" s="1169" t="s">
        <v>423</v>
      </c>
      <c r="M212" s="1340" t="s">
        <v>2598</v>
      </c>
      <c r="N212" s="1340" t="s">
        <v>1205</v>
      </c>
      <c r="O212" s="1600" t="s">
        <v>4348</v>
      </c>
      <c r="P212" s="642" t="s">
        <v>2450</v>
      </c>
      <c r="Q212" s="323"/>
      <c r="R212" s="190"/>
      <c r="S212" s="448"/>
      <c r="T212" s="572" t="s">
        <v>2446</v>
      </c>
      <c r="U212" s="572" t="s">
        <v>1920</v>
      </c>
      <c r="W212" s="495" t="s">
        <v>2058</v>
      </c>
      <c r="X212" s="495" t="s">
        <v>3388</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2612</v>
      </c>
      <c r="K213" s="1168" t="s">
        <v>2575</v>
      </c>
      <c r="L213" s="1169" t="s">
        <v>424</v>
      </c>
      <c r="M213" s="1339" t="s">
        <v>1196</v>
      </c>
      <c r="N213" s="1339" t="s">
        <v>1205</v>
      </c>
      <c r="O213" s="1600" t="s">
        <v>4349</v>
      </c>
      <c r="P213" s="642" t="s">
        <v>2230</v>
      </c>
      <c r="Q213" s="323"/>
      <c r="R213" s="190"/>
      <c r="S213" s="448"/>
      <c r="T213" s="572" t="s">
        <v>2448</v>
      </c>
      <c r="U213" s="572" t="s">
        <v>874</v>
      </c>
      <c r="W213" s="495" t="s">
        <v>599</v>
      </c>
      <c r="X213" s="495" t="s">
        <v>3388</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2612</v>
      </c>
      <c r="K214" s="1168" t="s">
        <v>1339</v>
      </c>
      <c r="L214" s="1169" t="s">
        <v>424</v>
      </c>
      <c r="M214" s="1340" t="s">
        <v>1196</v>
      </c>
      <c r="N214" s="1340" t="s">
        <v>1205</v>
      </c>
      <c r="O214" s="1600" t="s">
        <v>4350</v>
      </c>
      <c r="P214" s="642" t="s">
        <v>708</v>
      </c>
      <c r="Q214" s="323"/>
      <c r="R214" s="190"/>
      <c r="S214" s="448"/>
      <c r="T214" s="572" t="s">
        <v>2451</v>
      </c>
      <c r="U214" s="572" t="s">
        <v>159</v>
      </c>
      <c r="W214" s="495" t="s">
        <v>601</v>
      </c>
      <c r="X214" s="495" t="s">
        <v>3388</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2612</v>
      </c>
      <c r="K215" s="1168" t="s">
        <v>2575</v>
      </c>
      <c r="L215" s="1169" t="s">
        <v>424</v>
      </c>
      <c r="M215" s="1339" t="s">
        <v>1196</v>
      </c>
      <c r="N215" s="1339" t="s">
        <v>1205</v>
      </c>
      <c r="O215" s="1600" t="s">
        <v>4351</v>
      </c>
      <c r="P215" s="642" t="s">
        <v>710</v>
      </c>
      <c r="Q215" s="323"/>
      <c r="R215" s="190"/>
      <c r="S215" s="448"/>
      <c r="T215" s="572" t="s">
        <v>2231</v>
      </c>
      <c r="U215" s="572" t="s">
        <v>655</v>
      </c>
      <c r="W215" s="495" t="s">
        <v>2531</v>
      </c>
      <c r="X215" s="495" t="s">
        <v>3388</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2611</v>
      </c>
      <c r="K216" s="1168" t="s">
        <v>1340</v>
      </c>
      <c r="L216" s="1169" t="s">
        <v>423</v>
      </c>
      <c r="M216" s="1340" t="s">
        <v>2598</v>
      </c>
      <c r="N216" s="1340" t="s">
        <v>166</v>
      </c>
      <c r="O216" s="1600" t="s">
        <v>4352</v>
      </c>
      <c r="P216" s="642" t="s">
        <v>712</v>
      </c>
      <c r="Q216" s="323"/>
      <c r="R216" s="190"/>
      <c r="S216" s="448"/>
      <c r="T216" s="572" t="s">
        <v>709</v>
      </c>
      <c r="U216" s="572" t="s">
        <v>2480</v>
      </c>
      <c r="W216" s="495" t="s">
        <v>605</v>
      </c>
      <c r="X216" s="495" t="s">
        <v>3388</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2612</v>
      </c>
      <c r="K217" s="1168" t="s">
        <v>2575</v>
      </c>
      <c r="L217" s="1169" t="s">
        <v>424</v>
      </c>
      <c r="M217" s="1339" t="s">
        <v>1196</v>
      </c>
      <c r="N217" s="1339" t="s">
        <v>1205</v>
      </c>
      <c r="O217" s="1600" t="s">
        <v>4353</v>
      </c>
      <c r="P217" s="642" t="s">
        <v>714</v>
      </c>
      <c r="Q217" s="323"/>
      <c r="R217" s="190"/>
      <c r="S217" s="448"/>
      <c r="T217" s="572" t="s">
        <v>711</v>
      </c>
      <c r="U217" s="572" t="s">
        <v>1109</v>
      </c>
      <c r="W217" s="495" t="s">
        <v>546</v>
      </c>
      <c r="X217" s="495" t="s">
        <v>3388</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2611</v>
      </c>
      <c r="K218" s="1168" t="s">
        <v>239</v>
      </c>
      <c r="L218" s="1169" t="s">
        <v>423</v>
      </c>
      <c r="M218" s="1340" t="s">
        <v>2598</v>
      </c>
      <c r="N218" s="1340" t="s">
        <v>1205</v>
      </c>
      <c r="O218" s="1600" t="s">
        <v>4354</v>
      </c>
      <c r="P218" s="642" t="s">
        <v>2222</v>
      </c>
      <c r="Q218" s="323"/>
      <c r="R218" s="190"/>
      <c r="S218" s="448"/>
      <c r="T218" s="643" t="s">
        <v>713</v>
      </c>
      <c r="U218" s="643" t="s">
        <v>2589</v>
      </c>
      <c r="W218" s="495" t="s">
        <v>746</v>
      </c>
      <c r="X218" s="495" t="s">
        <v>3388</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2611</v>
      </c>
      <c r="K219" s="1168" t="s">
        <v>240</v>
      </c>
      <c r="L219" s="1169" t="s">
        <v>423</v>
      </c>
      <c r="M219" s="1340" t="s">
        <v>2598</v>
      </c>
      <c r="N219" s="1340" t="s">
        <v>1330</v>
      </c>
      <c r="O219" s="1600" t="s">
        <v>4355</v>
      </c>
      <c r="P219" s="642" t="s">
        <v>2223</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2612</v>
      </c>
      <c r="K220" s="1168" t="s">
        <v>2580</v>
      </c>
      <c r="L220" s="1169" t="s">
        <v>424</v>
      </c>
      <c r="M220" s="1340" t="s">
        <v>1196</v>
      </c>
      <c r="N220" s="1340" t="s">
        <v>1326</v>
      </c>
      <c r="O220" s="1600" t="s">
        <v>4356</v>
      </c>
      <c r="P220" s="642" t="s">
        <v>2225</v>
      </c>
      <c r="Q220" s="323"/>
      <c r="R220" s="190"/>
      <c r="S220" s="448"/>
      <c r="T220" s="572" t="s">
        <v>2224</v>
      </c>
      <c r="U220" s="572" t="s">
        <v>1666</v>
      </c>
      <c r="W220" s="495" t="s">
        <v>1967</v>
      </c>
      <c r="X220" s="495" t="s">
        <v>3388</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2611</v>
      </c>
      <c r="K221" s="1168" t="s">
        <v>241</v>
      </c>
      <c r="L221" s="1169" t="s">
        <v>423</v>
      </c>
      <c r="M221" s="1340" t="s">
        <v>2598</v>
      </c>
      <c r="N221" s="1340" t="s">
        <v>1205</v>
      </c>
      <c r="O221" s="1600" t="s">
        <v>4357</v>
      </c>
      <c r="P221" s="642" t="s">
        <v>684</v>
      </c>
      <c r="Q221" s="323"/>
      <c r="R221" s="190"/>
      <c r="S221" s="448"/>
      <c r="T221" s="572" t="s">
        <v>2226</v>
      </c>
      <c r="U221" s="572" t="s">
        <v>2583</v>
      </c>
      <c r="W221" s="495" t="s">
        <v>335</v>
      </c>
      <c r="X221" s="495" t="s">
        <v>3388</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2611</v>
      </c>
      <c r="K222" s="1168" t="s">
        <v>403</v>
      </c>
      <c r="L222" s="1169" t="s">
        <v>423</v>
      </c>
      <c r="M222" s="1340" t="s">
        <v>2598</v>
      </c>
      <c r="N222" s="1340" t="s">
        <v>1782</v>
      </c>
      <c r="O222" s="1600" t="s">
        <v>4358</v>
      </c>
      <c r="P222" s="642" t="s">
        <v>789</v>
      </c>
      <c r="Q222" s="323"/>
      <c r="R222" s="190"/>
      <c r="S222" s="448"/>
      <c r="T222" s="572" t="s">
        <v>685</v>
      </c>
      <c r="U222" s="572" t="s">
        <v>733</v>
      </c>
      <c r="W222" s="495" t="s">
        <v>343</v>
      </c>
      <c r="X222" s="495" t="s">
        <v>3388</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2611</v>
      </c>
      <c r="K223" s="1168" t="s">
        <v>404</v>
      </c>
      <c r="L223" s="1169" t="s">
        <v>423</v>
      </c>
      <c r="M223" s="1340" t="s">
        <v>2598</v>
      </c>
      <c r="N223" s="1340" t="s">
        <v>166</v>
      </c>
      <c r="O223" s="1600" t="s">
        <v>4359</v>
      </c>
      <c r="P223" s="642" t="s">
        <v>2271</v>
      </c>
      <c r="Q223" s="323"/>
      <c r="R223" s="190"/>
      <c r="S223" s="448"/>
      <c r="T223" s="572" t="s">
        <v>2270</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2612</v>
      </c>
      <c r="K224" s="1168" t="s">
        <v>2575</v>
      </c>
      <c r="L224" s="1169" t="s">
        <v>424</v>
      </c>
      <c r="M224" s="1339" t="s">
        <v>1196</v>
      </c>
      <c r="N224" s="1339" t="s">
        <v>1205</v>
      </c>
      <c r="O224" s="1600" t="s">
        <v>4360</v>
      </c>
      <c r="P224" s="642" t="s">
        <v>2300</v>
      </c>
      <c r="Q224" s="323"/>
      <c r="R224" s="190"/>
      <c r="S224" s="448"/>
      <c r="T224" s="572" t="s">
        <v>2331</v>
      </c>
      <c r="U224" s="572" t="s">
        <v>878</v>
      </c>
      <c r="W224" s="495" t="s">
        <v>2155</v>
      </c>
      <c r="X224" s="495" t="s">
        <v>3388</v>
      </c>
      <c r="Z224" s="495"/>
      <c r="AA224" s="27"/>
      <c r="AB224" s="27"/>
      <c r="AC224" s="1072"/>
      <c r="AD224" s="585"/>
    </row>
    <row r="225" spans="2:30" ht="10.5" customHeight="1">
      <c r="B225" s="314"/>
      <c r="C225" s="436" t="s">
        <v>2584</v>
      </c>
      <c r="D225" s="508">
        <v>59200</v>
      </c>
      <c r="E225" s="314"/>
      <c r="F225" s="644"/>
      <c r="G225" s="1166" t="s">
        <v>122</v>
      </c>
      <c r="H225" s="1166" t="s">
        <v>1311</v>
      </c>
      <c r="I225" s="1167" t="s">
        <v>123</v>
      </c>
      <c r="J225" s="1167" t="s">
        <v>2611</v>
      </c>
      <c r="K225" s="1168" t="s">
        <v>405</v>
      </c>
      <c r="L225" s="1169" t="s">
        <v>423</v>
      </c>
      <c r="M225" s="1340" t="s">
        <v>2598</v>
      </c>
      <c r="N225" s="1340" t="s">
        <v>166</v>
      </c>
      <c r="O225" s="1600" t="s">
        <v>4361</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1311</v>
      </c>
      <c r="I226" s="1167" t="s">
        <v>1221</v>
      </c>
      <c r="J226" s="1167" t="s">
        <v>2612</v>
      </c>
      <c r="K226" s="1168" t="s">
        <v>406</v>
      </c>
      <c r="L226" s="1169" t="s">
        <v>424</v>
      </c>
      <c r="M226" s="1340" t="s">
        <v>1196</v>
      </c>
      <c r="N226" s="1340" t="s">
        <v>1205</v>
      </c>
      <c r="O226" s="1600" t="s">
        <v>4362</v>
      </c>
      <c r="P226" s="642" t="s">
        <v>633</v>
      </c>
      <c r="Q226" s="323"/>
      <c r="R226" s="190"/>
      <c r="S226" s="448"/>
      <c r="T226" s="572" t="s">
        <v>634</v>
      </c>
      <c r="U226" s="572" t="s">
        <v>2591</v>
      </c>
      <c r="W226" s="495" t="s">
        <v>382</v>
      </c>
      <c r="X226" s="495" t="s">
        <v>3388</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2611</v>
      </c>
      <c r="K227" s="1168" t="s">
        <v>407</v>
      </c>
      <c r="L227" s="1169" t="s">
        <v>423</v>
      </c>
      <c r="M227" s="1340" t="s">
        <v>2598</v>
      </c>
      <c r="N227" s="1340" t="s">
        <v>1320</v>
      </c>
      <c r="O227" s="1600" t="s">
        <v>4363</v>
      </c>
      <c r="P227" s="642" t="s">
        <v>304</v>
      </c>
      <c r="Q227" s="323"/>
      <c r="R227" s="190"/>
      <c r="S227" s="448"/>
      <c r="T227" s="572" t="s">
        <v>305</v>
      </c>
      <c r="U227" s="572" t="s">
        <v>314</v>
      </c>
      <c r="W227" s="495" t="s">
        <v>873</v>
      </c>
      <c r="X227" s="495" t="s">
        <v>3388</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2612</v>
      </c>
      <c r="K228" s="1168" t="s">
        <v>408</v>
      </c>
      <c r="L228" s="1169" t="s">
        <v>424</v>
      </c>
      <c r="M228" s="1339" t="s">
        <v>2598</v>
      </c>
      <c r="N228" s="1339" t="s">
        <v>1205</v>
      </c>
      <c r="O228" s="1600" t="s">
        <v>4364</v>
      </c>
      <c r="P228" s="642" t="s">
        <v>2369</v>
      </c>
      <c r="Q228" s="323"/>
      <c r="R228" s="190"/>
      <c r="S228" s="448"/>
      <c r="T228" s="572" t="s">
        <v>2370</v>
      </c>
      <c r="U228" s="572" t="s">
        <v>196</v>
      </c>
      <c r="W228" s="495" t="s">
        <v>1924</v>
      </c>
      <c r="X228" s="495" t="s">
        <v>3388</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2612</v>
      </c>
      <c r="K229" s="1168" t="s">
        <v>1682</v>
      </c>
      <c r="L229" s="1169" t="s">
        <v>424</v>
      </c>
      <c r="M229" s="1339" t="s">
        <v>2598</v>
      </c>
      <c r="N229" s="1339" t="s">
        <v>161</v>
      </c>
      <c r="O229" s="1600" t="s">
        <v>4365</v>
      </c>
      <c r="P229" s="642" t="s">
        <v>2392</v>
      </c>
      <c r="Q229" s="323"/>
      <c r="R229" s="190"/>
      <c r="S229" s="448"/>
      <c r="T229" s="572" t="s">
        <v>2393</v>
      </c>
      <c r="U229" s="572" t="s">
        <v>1665</v>
      </c>
      <c r="W229" s="495" t="s">
        <v>1928</v>
      </c>
      <c r="X229" s="495" t="s">
        <v>3388</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2611</v>
      </c>
      <c r="K230" s="1168" t="s">
        <v>409</v>
      </c>
      <c r="L230" s="1169" t="s">
        <v>423</v>
      </c>
      <c r="M230" s="1340" t="s">
        <v>2598</v>
      </c>
      <c r="N230" s="1340" t="s">
        <v>166</v>
      </c>
      <c r="O230" s="1600" t="s">
        <v>4366</v>
      </c>
      <c r="P230" s="642" t="s">
        <v>2394</v>
      </c>
      <c r="Q230" s="323"/>
      <c r="R230" s="190"/>
      <c r="S230" s="448"/>
      <c r="T230" s="572" t="s">
        <v>2847</v>
      </c>
      <c r="U230" s="572" t="s">
        <v>628</v>
      </c>
      <c r="W230" s="495" t="s">
        <v>717</v>
      </c>
      <c r="X230" s="495" t="s">
        <v>3388</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2612</v>
      </c>
      <c r="K231" s="1168" t="s">
        <v>2575</v>
      </c>
      <c r="L231" s="1169" t="s">
        <v>424</v>
      </c>
      <c r="M231" s="1339" t="s">
        <v>1196</v>
      </c>
      <c r="N231" s="1339" t="s">
        <v>1205</v>
      </c>
      <c r="O231" s="1600" t="s">
        <v>4367</v>
      </c>
      <c r="P231" s="642" t="s">
        <v>2395</v>
      </c>
      <c r="Q231" s="323"/>
      <c r="R231" s="190"/>
      <c r="S231" s="448"/>
      <c r="T231" s="572" t="s">
        <v>629</v>
      </c>
      <c r="U231" s="572" t="s">
        <v>1327</v>
      </c>
      <c r="W231" s="495" t="s">
        <v>1140</v>
      </c>
      <c r="X231" s="495" t="s">
        <v>3388</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2612</v>
      </c>
      <c r="K232" s="1168" t="s">
        <v>2575</v>
      </c>
      <c r="L232" s="1169" t="s">
        <v>424</v>
      </c>
      <c r="M232" s="1339" t="s">
        <v>1196</v>
      </c>
      <c r="N232" s="1339" t="s">
        <v>1205</v>
      </c>
      <c r="O232" s="1600" t="s">
        <v>4368</v>
      </c>
      <c r="P232" s="642" t="s">
        <v>2361</v>
      </c>
      <c r="Q232" s="323"/>
      <c r="R232" s="190"/>
      <c r="S232" s="448"/>
      <c r="T232" s="572" t="s">
        <v>1324</v>
      </c>
      <c r="U232" s="572" t="s">
        <v>657</v>
      </c>
      <c r="W232" s="495" t="s">
        <v>1142</v>
      </c>
      <c r="X232" s="495" t="s">
        <v>3388</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2612</v>
      </c>
      <c r="K233" s="1168" t="s">
        <v>410</v>
      </c>
      <c r="L233" s="1169" t="s">
        <v>424</v>
      </c>
      <c r="M233" s="1340" t="s">
        <v>1196</v>
      </c>
      <c r="N233" s="1340" t="s">
        <v>1320</v>
      </c>
      <c r="O233" s="1600" t="s">
        <v>4369</v>
      </c>
      <c r="P233" s="642" t="s">
        <v>10</v>
      </c>
      <c r="Q233" s="323"/>
      <c r="R233" s="190"/>
      <c r="S233" s="448"/>
      <c r="T233" s="572" t="s">
        <v>2362</v>
      </c>
      <c r="U233" s="572" t="s">
        <v>2486</v>
      </c>
      <c r="W233" s="495" t="s">
        <v>1144</v>
      </c>
      <c r="X233" s="495" t="s">
        <v>3388</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2611</v>
      </c>
      <c r="K234" s="1168" t="s">
        <v>648</v>
      </c>
      <c r="L234" s="1169" t="s">
        <v>423</v>
      </c>
      <c r="M234" s="1340" t="s">
        <v>2598</v>
      </c>
      <c r="N234" s="1340" t="s">
        <v>1782</v>
      </c>
      <c r="O234" s="1600" t="s">
        <v>4370</v>
      </c>
      <c r="P234" s="642" t="s">
        <v>12</v>
      </c>
      <c r="Q234" s="323"/>
      <c r="R234" s="190"/>
      <c r="S234" s="448"/>
      <c r="T234" s="572" t="s">
        <v>11</v>
      </c>
      <c r="U234" s="572" t="s">
        <v>666</v>
      </c>
      <c r="W234" s="495" t="s">
        <v>2513</v>
      </c>
      <c r="X234" s="495" t="s">
        <v>3388</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2611</v>
      </c>
      <c r="K235" s="1168" t="s">
        <v>649</v>
      </c>
      <c r="L235" s="1169" t="s">
        <v>423</v>
      </c>
      <c r="M235" s="1340" t="s">
        <v>2598</v>
      </c>
      <c r="N235" s="1340" t="s">
        <v>1205</v>
      </c>
      <c r="O235" s="1600" t="s">
        <v>4371</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2612</v>
      </c>
      <c r="K236" s="1168" t="s">
        <v>2575</v>
      </c>
      <c r="L236" s="1169" t="s">
        <v>424</v>
      </c>
      <c r="M236" s="1339" t="s">
        <v>1196</v>
      </c>
      <c r="N236" s="1339" t="s">
        <v>1205</v>
      </c>
      <c r="O236" s="1600" t="s">
        <v>4372</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2611</v>
      </c>
      <c r="K237" s="1168" t="s">
        <v>650</v>
      </c>
      <c r="L237" s="1169" t="s">
        <v>423</v>
      </c>
      <c r="M237" s="1340" t="s">
        <v>2598</v>
      </c>
      <c r="N237" s="1340" t="s">
        <v>1696</v>
      </c>
      <c r="O237" s="1600" t="s">
        <v>4373</v>
      </c>
      <c r="P237" s="642" t="s">
        <v>60</v>
      </c>
      <c r="Q237" s="323"/>
      <c r="R237" s="190"/>
      <c r="S237" s="448"/>
      <c r="T237" s="572" t="s">
        <v>59</v>
      </c>
      <c r="U237" s="572" t="s">
        <v>357</v>
      </c>
      <c r="W237" s="495" t="s">
        <v>1825</v>
      </c>
      <c r="X237" s="495" t="s">
        <v>3388</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2611</v>
      </c>
      <c r="K238" s="1168" t="s">
        <v>264</v>
      </c>
      <c r="L238" s="1169" t="s">
        <v>423</v>
      </c>
      <c r="M238" s="1340" t="s">
        <v>2598</v>
      </c>
      <c r="N238" s="1340" t="s">
        <v>1330</v>
      </c>
      <c r="O238" s="1600" t="s">
        <v>4374</v>
      </c>
      <c r="P238" s="642" t="s">
        <v>351</v>
      </c>
      <c r="Q238" s="323"/>
      <c r="R238" s="190"/>
      <c r="S238" s="448"/>
      <c r="T238" s="572" t="s">
        <v>61</v>
      </c>
      <c r="U238" s="572" t="s">
        <v>121</v>
      </c>
      <c r="W238" s="495" t="s">
        <v>1827</v>
      </c>
      <c r="X238" s="495" t="s">
        <v>3388</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2611</v>
      </c>
      <c r="K239" s="1168" t="s">
        <v>265</v>
      </c>
      <c r="L239" s="1169" t="s">
        <v>423</v>
      </c>
      <c r="M239" s="1340" t="s">
        <v>2598</v>
      </c>
      <c r="N239" s="1340" t="s">
        <v>1330</v>
      </c>
      <c r="O239" s="1600" t="s">
        <v>4375</v>
      </c>
      <c r="P239" s="642" t="s">
        <v>353</v>
      </c>
      <c r="Q239" s="323"/>
      <c r="R239" s="190"/>
      <c r="S239" s="448"/>
      <c r="T239" s="572" t="s">
        <v>352</v>
      </c>
      <c r="U239" s="572" t="s">
        <v>2185</v>
      </c>
      <c r="W239" s="495" t="s">
        <v>1895</v>
      </c>
      <c r="X239" s="495" t="s">
        <v>3388</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2611</v>
      </c>
      <c r="K240" s="1168" t="s">
        <v>266</v>
      </c>
      <c r="L240" s="1169" t="s">
        <v>423</v>
      </c>
      <c r="M240" s="1340" t="s">
        <v>2598</v>
      </c>
      <c r="N240" s="1340" t="s">
        <v>1320</v>
      </c>
      <c r="O240" s="1600" t="s">
        <v>4376</v>
      </c>
      <c r="P240" s="642" t="s">
        <v>355</v>
      </c>
      <c r="Q240" s="323"/>
      <c r="R240" s="190"/>
      <c r="S240" s="448"/>
      <c r="T240" s="572" t="s">
        <v>354</v>
      </c>
      <c r="U240" s="572" t="s">
        <v>953</v>
      </c>
      <c r="W240" s="495" t="s">
        <v>2244</v>
      </c>
      <c r="X240" s="495" t="s">
        <v>3388</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2612</v>
      </c>
      <c r="K241" s="1168" t="s">
        <v>2578</v>
      </c>
      <c r="L241" s="1169" t="s">
        <v>424</v>
      </c>
      <c r="M241" s="1339" t="s">
        <v>2598</v>
      </c>
      <c r="N241" s="1339" t="s">
        <v>1320</v>
      </c>
      <c r="O241" s="1600" t="s">
        <v>4377</v>
      </c>
      <c r="P241" s="642" t="s">
        <v>2289</v>
      </c>
      <c r="Q241" s="323"/>
      <c r="R241" s="190"/>
      <c r="S241" s="448"/>
      <c r="T241" s="572" t="s">
        <v>356</v>
      </c>
      <c r="U241" s="572" t="s">
        <v>1091</v>
      </c>
      <c r="W241" s="495" t="s">
        <v>420</v>
      </c>
      <c r="X241" s="495" t="s">
        <v>3388</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2612</v>
      </c>
      <c r="K242" s="1168" t="s">
        <v>267</v>
      </c>
      <c r="L242" s="1169" t="s">
        <v>424</v>
      </c>
      <c r="M242" s="1339" t="s">
        <v>2598</v>
      </c>
      <c r="N242" s="1339" t="s">
        <v>1205</v>
      </c>
      <c r="O242" s="1600" t="s">
        <v>4378</v>
      </c>
      <c r="P242" s="642" t="s">
        <v>2291</v>
      </c>
      <c r="Q242" s="323"/>
      <c r="R242" s="190"/>
      <c r="S242" s="448"/>
      <c r="T242" s="572" t="s">
        <v>630</v>
      </c>
      <c r="U242" s="572" t="s">
        <v>1453</v>
      </c>
      <c r="W242" s="495" t="s">
        <v>2281</v>
      </c>
      <c r="X242" s="495" t="s">
        <v>3388</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2612</v>
      </c>
      <c r="K243" s="1168" t="s">
        <v>2581</v>
      </c>
      <c r="L243" s="1169" t="s">
        <v>424</v>
      </c>
      <c r="M243" s="1339" t="s">
        <v>2598</v>
      </c>
      <c r="N243" s="1339" t="s">
        <v>1696</v>
      </c>
      <c r="O243" s="1600" t="s">
        <v>4379</v>
      </c>
      <c r="P243" s="642" t="s">
        <v>2292</v>
      </c>
      <c r="Q243" s="323"/>
      <c r="R243" s="190"/>
      <c r="S243" s="448"/>
      <c r="T243" s="572" t="s">
        <v>2290</v>
      </c>
      <c r="U243" s="572" t="s">
        <v>669</v>
      </c>
      <c r="W243" s="495" t="s">
        <v>3378</v>
      </c>
      <c r="X243" s="495" t="s">
        <v>3388</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2611</v>
      </c>
      <c r="K244" s="1168" t="s">
        <v>268</v>
      </c>
      <c r="L244" s="1169" t="s">
        <v>423</v>
      </c>
      <c r="M244" s="1340" t="s">
        <v>2598</v>
      </c>
      <c r="N244" s="1340" t="s">
        <v>1320</v>
      </c>
      <c r="O244" s="1600" t="s">
        <v>4380</v>
      </c>
      <c r="P244" s="642" t="s">
        <v>2293</v>
      </c>
      <c r="Q244" s="323"/>
      <c r="R244" s="190"/>
      <c r="S244" s="448"/>
      <c r="T244" s="572" t="s">
        <v>1332</v>
      </c>
      <c r="U244" s="572" t="s">
        <v>667</v>
      </c>
      <c r="W244" s="495" t="s">
        <v>674</v>
      </c>
      <c r="X244" s="495" t="s">
        <v>3388</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2612</v>
      </c>
      <c r="K245" s="1168" t="s">
        <v>1161</v>
      </c>
      <c r="L245" s="1169" t="s">
        <v>424</v>
      </c>
      <c r="M245" s="1339" t="s">
        <v>2598</v>
      </c>
      <c r="N245" s="1339" t="s">
        <v>1782</v>
      </c>
      <c r="O245" s="1600" t="s">
        <v>4381</v>
      </c>
      <c r="P245" s="642" t="s">
        <v>1559</v>
      </c>
      <c r="Q245" s="323"/>
      <c r="R245" s="190"/>
      <c r="S245" s="448"/>
      <c r="T245" s="572" t="s">
        <v>2848</v>
      </c>
      <c r="U245" s="572" t="s">
        <v>669</v>
      </c>
      <c r="W245" s="495" t="s">
        <v>2388</v>
      </c>
      <c r="X245" s="495" t="s">
        <v>3388</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2612</v>
      </c>
      <c r="K246" s="1168" t="s">
        <v>269</v>
      </c>
      <c r="L246" s="1169" t="s">
        <v>424</v>
      </c>
      <c r="M246" s="1340" t="s">
        <v>1196</v>
      </c>
      <c r="N246" s="1340" t="s">
        <v>1326</v>
      </c>
      <c r="O246" s="1600" t="s">
        <v>4382</v>
      </c>
      <c r="P246" s="642" t="s">
        <v>1561</v>
      </c>
      <c r="Q246" s="323"/>
      <c r="R246" s="190"/>
      <c r="S246" s="448"/>
      <c r="T246" s="572" t="s">
        <v>2294</v>
      </c>
      <c r="U246" s="572" t="s">
        <v>104</v>
      </c>
      <c r="W246" s="495" t="s">
        <v>220</v>
      </c>
      <c r="X246" s="495" t="s">
        <v>3388</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2612</v>
      </c>
      <c r="K247" s="1168" t="s">
        <v>3741</v>
      </c>
      <c r="L247" s="1169" t="s">
        <v>424</v>
      </c>
      <c r="M247" s="1340" t="s">
        <v>2598</v>
      </c>
      <c r="N247" s="1340" t="s">
        <v>1330</v>
      </c>
      <c r="O247" s="1600" t="s">
        <v>4383</v>
      </c>
      <c r="P247" s="642" t="s">
        <v>1563</v>
      </c>
      <c r="Q247" s="323"/>
      <c r="R247" s="190"/>
      <c r="S247" s="448"/>
      <c r="T247" s="572" t="s">
        <v>1560</v>
      </c>
      <c r="U247" s="572" t="s">
        <v>1633</v>
      </c>
      <c r="W247" s="495" t="s">
        <v>659</v>
      </c>
      <c r="X247" s="495" t="s">
        <v>3388</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2612</v>
      </c>
      <c r="K248" s="1168" t="s">
        <v>693</v>
      </c>
      <c r="L248" s="1169" t="s">
        <v>424</v>
      </c>
      <c r="M248" s="1339" t="s">
        <v>2598</v>
      </c>
      <c r="N248" s="1339" t="s">
        <v>1326</v>
      </c>
      <c r="O248" s="1600" t="s">
        <v>4384</v>
      </c>
      <c r="P248" s="642" t="s">
        <v>1565</v>
      </c>
      <c r="Q248" s="323"/>
      <c r="R248" s="190"/>
      <c r="S248" s="448"/>
      <c r="T248" s="572" t="s">
        <v>2563</v>
      </c>
      <c r="U248" s="572" t="s">
        <v>628</v>
      </c>
      <c r="W248" s="495" t="s">
        <v>234</v>
      </c>
      <c r="X248" s="495" t="s">
        <v>3388</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2612</v>
      </c>
      <c r="K249" s="1168" t="s">
        <v>2581</v>
      </c>
      <c r="L249" s="1169" t="s">
        <v>424</v>
      </c>
      <c r="M249" s="1340" t="s">
        <v>1196</v>
      </c>
      <c r="N249" s="1340" t="s">
        <v>1696</v>
      </c>
      <c r="O249" s="1600" t="s">
        <v>4385</v>
      </c>
      <c r="P249" s="642" t="s">
        <v>1567</v>
      </c>
      <c r="Q249" s="323"/>
      <c r="R249" s="190"/>
      <c r="S249" s="448"/>
      <c r="T249" s="572" t="s">
        <v>1562</v>
      </c>
      <c r="U249" s="572" t="s">
        <v>660</v>
      </c>
      <c r="W249" s="495" t="s">
        <v>660</v>
      </c>
      <c r="X249" s="495" t="s">
        <v>3388</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2611</v>
      </c>
      <c r="K250" s="1168" t="s">
        <v>694</v>
      </c>
      <c r="L250" s="1169" t="s">
        <v>423</v>
      </c>
      <c r="M250" s="1340" t="s">
        <v>2598</v>
      </c>
      <c r="N250" s="1340" t="s">
        <v>1205</v>
      </c>
      <c r="O250" s="1600" t="s">
        <v>4386</v>
      </c>
      <c r="P250" s="642" t="s">
        <v>1742</v>
      </c>
      <c r="Q250" s="323"/>
      <c r="R250" s="190"/>
      <c r="S250" s="448"/>
      <c r="T250" s="572" t="s">
        <v>2849</v>
      </c>
      <c r="U250" s="572" t="s">
        <v>2242</v>
      </c>
      <c r="W250" s="495" t="s">
        <v>787</v>
      </c>
      <c r="X250" s="495" t="s">
        <v>3388</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2611</v>
      </c>
      <c r="K251" s="1168" t="s">
        <v>695</v>
      </c>
      <c r="L251" s="1169" t="s">
        <v>423</v>
      </c>
      <c r="M251" s="1340" t="s">
        <v>2598</v>
      </c>
      <c r="N251" s="1340" t="s">
        <v>1320</v>
      </c>
      <c r="O251" s="1600" t="s">
        <v>4387</v>
      </c>
      <c r="P251" s="642" t="s">
        <v>1744</v>
      </c>
      <c r="Q251" s="323"/>
      <c r="R251" s="190"/>
      <c r="S251" s="448"/>
      <c r="T251" s="572" t="s">
        <v>1564</v>
      </c>
      <c r="U251" s="572" t="s">
        <v>164</v>
      </c>
      <c r="W251" s="495" t="s">
        <v>3379</v>
      </c>
      <c r="X251" s="495" t="s">
        <v>3388</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2612</v>
      </c>
      <c r="K252" s="1168" t="s">
        <v>620</v>
      </c>
      <c r="L252" s="1169" t="s">
        <v>424</v>
      </c>
      <c r="M252" s="1339" t="s">
        <v>2598</v>
      </c>
      <c r="N252" s="1339" t="s">
        <v>166</v>
      </c>
      <c r="O252" s="1600" t="s">
        <v>4388</v>
      </c>
      <c r="P252" s="642" t="s">
        <v>1746</v>
      </c>
      <c r="Q252" s="323"/>
      <c r="R252" s="190"/>
      <c r="S252" s="448"/>
      <c r="T252" s="572" t="s">
        <v>1566</v>
      </c>
      <c r="U252" s="572" t="s">
        <v>1313</v>
      </c>
      <c r="W252" s="495" t="s">
        <v>3380</v>
      </c>
      <c r="X252" s="495" t="s">
        <v>3388</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2612</v>
      </c>
      <c r="K253" s="1168" t="s">
        <v>1682</v>
      </c>
      <c r="L253" s="1169" t="s">
        <v>424</v>
      </c>
      <c r="M253" s="1339" t="s">
        <v>2598</v>
      </c>
      <c r="N253" s="1339" t="s">
        <v>161</v>
      </c>
      <c r="O253" s="1600" t="s">
        <v>4389</v>
      </c>
      <c r="P253" s="642" t="s">
        <v>1023</v>
      </c>
      <c r="Q253" s="323"/>
      <c r="R253" s="190"/>
      <c r="S253" s="448"/>
      <c r="T253" s="572" t="s">
        <v>1568</v>
      </c>
      <c r="U253" s="572" t="s">
        <v>179</v>
      </c>
      <c r="W253" s="495" t="s">
        <v>1221</v>
      </c>
      <c r="X253" s="495" t="s">
        <v>3388</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2612</v>
      </c>
      <c r="K254" s="1168" t="s">
        <v>2597</v>
      </c>
      <c r="L254" s="1169" t="s">
        <v>424</v>
      </c>
      <c r="M254" s="1339" t="s">
        <v>2598</v>
      </c>
      <c r="N254" s="1339" t="s">
        <v>1330</v>
      </c>
      <c r="O254" s="1600" t="s">
        <v>4390</v>
      </c>
      <c r="P254" s="642" t="s">
        <v>1024</v>
      </c>
      <c r="Q254" s="323"/>
      <c r="R254" s="190"/>
      <c r="S254" s="448"/>
      <c r="T254" s="572" t="s">
        <v>1743</v>
      </c>
      <c r="U254" s="572" t="s">
        <v>660</v>
      </c>
      <c r="W254" s="495" t="s">
        <v>680</v>
      </c>
      <c r="X254" s="495" t="s">
        <v>3388</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2612</v>
      </c>
      <c r="K255" s="1168" t="s">
        <v>2580</v>
      </c>
      <c r="L255" s="1169" t="s">
        <v>424</v>
      </c>
      <c r="M255" s="1339" t="s">
        <v>2598</v>
      </c>
      <c r="N255" s="1339" t="s">
        <v>1326</v>
      </c>
      <c r="O255" s="1600" t="s">
        <v>4391</v>
      </c>
      <c r="P255" s="642" t="s">
        <v>236</v>
      </c>
      <c r="Q255" s="323"/>
      <c r="R255" s="190"/>
      <c r="S255" s="448"/>
      <c r="T255" s="572" t="s">
        <v>1745</v>
      </c>
      <c r="U255" s="572" t="s">
        <v>733</v>
      </c>
      <c r="W255" s="495" t="s">
        <v>667</v>
      </c>
      <c r="X255" s="495" t="s">
        <v>3388</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2612</v>
      </c>
      <c r="K256" s="1168" t="s">
        <v>696</v>
      </c>
      <c r="L256" s="1169" t="s">
        <v>424</v>
      </c>
      <c r="M256" s="1339" t="s">
        <v>2598</v>
      </c>
      <c r="N256" s="1339" t="s">
        <v>1205</v>
      </c>
      <c r="O256" s="1600" t="s">
        <v>4392</v>
      </c>
      <c r="P256" s="642" t="s">
        <v>238</v>
      </c>
      <c r="Q256" s="323"/>
      <c r="R256" s="190"/>
      <c r="S256" s="448"/>
      <c r="T256" s="572" t="s">
        <v>1022</v>
      </c>
      <c r="U256" s="572" t="s">
        <v>1314</v>
      </c>
      <c r="W256" s="495" t="s">
        <v>981</v>
      </c>
      <c r="X256" s="495" t="s">
        <v>3388</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2611</v>
      </c>
      <c r="K257" s="1168" t="s">
        <v>697</v>
      </c>
      <c r="L257" s="1169" t="s">
        <v>423</v>
      </c>
      <c r="M257" s="1340" t="s">
        <v>2598</v>
      </c>
      <c r="N257" s="1340" t="s">
        <v>1782</v>
      </c>
      <c r="O257" s="1600" t="s">
        <v>4393</v>
      </c>
      <c r="P257" s="642" t="s">
        <v>1263</v>
      </c>
      <c r="Q257" s="323"/>
      <c r="R257" s="190"/>
      <c r="S257" s="448"/>
      <c r="T257" s="572" t="s">
        <v>1025</v>
      </c>
      <c r="U257" s="572" t="s">
        <v>658</v>
      </c>
      <c r="W257" s="495" t="s">
        <v>985</v>
      </c>
      <c r="X257" s="495" t="s">
        <v>3388</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2611</v>
      </c>
      <c r="K258" s="1168" t="s">
        <v>698</v>
      </c>
      <c r="L258" s="1169" t="s">
        <v>423</v>
      </c>
      <c r="M258" s="1340" t="s">
        <v>2598</v>
      </c>
      <c r="N258" s="1340" t="s">
        <v>1782</v>
      </c>
      <c r="O258" s="1600" t="s">
        <v>4394</v>
      </c>
      <c r="P258" s="642" t="s">
        <v>2059</v>
      </c>
      <c r="Q258" s="323"/>
      <c r="R258" s="190"/>
      <c r="S258" s="448"/>
      <c r="T258" s="572" t="s">
        <v>237</v>
      </c>
      <c r="U258" s="572" t="s">
        <v>2528</v>
      </c>
      <c r="W258" s="495" t="s">
        <v>987</v>
      </c>
      <c r="X258" s="495" t="s">
        <v>3388</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2612</v>
      </c>
      <c r="K259" s="1168" t="s">
        <v>699</v>
      </c>
      <c r="L259" s="1169" t="s">
        <v>424</v>
      </c>
      <c r="M259" s="1339" t="s">
        <v>2598</v>
      </c>
      <c r="N259" s="1339" t="s">
        <v>1205</v>
      </c>
      <c r="O259" s="1600" t="s">
        <v>4395</v>
      </c>
      <c r="P259" s="642" t="s">
        <v>2061</v>
      </c>
      <c r="Q259" s="323"/>
      <c r="R259" s="190"/>
      <c r="S259" s="448"/>
      <c r="T259" s="572" t="s">
        <v>2850</v>
      </c>
      <c r="U259" s="572" t="s">
        <v>874</v>
      </c>
      <c r="W259" s="495" t="s">
        <v>574</v>
      </c>
      <c r="X259" s="495" t="s">
        <v>3388</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2611</v>
      </c>
      <c r="K260" s="1168" t="s">
        <v>700</v>
      </c>
      <c r="L260" s="1169" t="s">
        <v>423</v>
      </c>
      <c r="M260" s="1340" t="s">
        <v>2598</v>
      </c>
      <c r="N260" s="1340" t="s">
        <v>1326</v>
      </c>
      <c r="O260" s="1600" t="s">
        <v>4396</v>
      </c>
      <c r="P260" s="642" t="s">
        <v>2063</v>
      </c>
      <c r="Q260" s="323"/>
      <c r="R260" s="190"/>
      <c r="S260" s="448"/>
      <c r="T260" s="643" t="s">
        <v>1758</v>
      </c>
      <c r="U260" s="643" t="s">
        <v>1097</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1311</v>
      </c>
      <c r="I261" s="1170" t="s">
        <v>2584</v>
      </c>
      <c r="J261" s="1167" t="s">
        <v>2612</v>
      </c>
      <c r="K261" s="1168" t="s">
        <v>3740</v>
      </c>
      <c r="L261" s="1169" t="s">
        <v>424</v>
      </c>
      <c r="M261" s="1340" t="s">
        <v>2598</v>
      </c>
      <c r="N261" s="1340" t="s">
        <v>1205</v>
      </c>
      <c r="O261" s="1600" t="s">
        <v>4397</v>
      </c>
      <c r="P261" s="642" t="s">
        <v>2065</v>
      </c>
      <c r="Q261" s="323"/>
      <c r="R261" s="190"/>
      <c r="S261" s="448"/>
      <c r="T261" s="572" t="s">
        <v>2060</v>
      </c>
      <c r="U261" s="572" t="s">
        <v>320</v>
      </c>
      <c r="W261" s="495" t="s">
        <v>1595</v>
      </c>
      <c r="X261" s="495" t="s">
        <v>3388</v>
      </c>
      <c r="Z261" s="495"/>
      <c r="AA261" s="27"/>
      <c r="AB261" s="27"/>
      <c r="AC261" s="1073"/>
      <c r="AD261" s="585"/>
    </row>
    <row r="262" spans="2:30" ht="10.5" customHeight="1">
      <c r="B262" s="314"/>
      <c r="C262" s="436" t="s">
        <v>109</v>
      </c>
      <c r="D262" s="508">
        <v>51300</v>
      </c>
      <c r="F262" s="644"/>
      <c r="G262" s="1166" t="s">
        <v>2585</v>
      </c>
      <c r="H262" s="1166" t="s">
        <v>1311</v>
      </c>
      <c r="I262" s="1167" t="s">
        <v>2586</v>
      </c>
      <c r="J262" s="1167" t="s">
        <v>2612</v>
      </c>
      <c r="K262" s="1168" t="s">
        <v>1952</v>
      </c>
      <c r="L262" s="1169" t="s">
        <v>424</v>
      </c>
      <c r="M262" s="1339" t="s">
        <v>2598</v>
      </c>
      <c r="N262" s="1339" t="s">
        <v>1205</v>
      </c>
      <c r="O262" s="1600" t="s">
        <v>4398</v>
      </c>
      <c r="P262" s="642" t="s">
        <v>2067</v>
      </c>
      <c r="Q262" s="323"/>
      <c r="R262" s="190"/>
      <c r="S262" s="448"/>
      <c r="T262" s="572" t="s">
        <v>2062</v>
      </c>
      <c r="U262" s="572" t="s">
        <v>318</v>
      </c>
      <c r="W262" s="495" t="s">
        <v>1009</v>
      </c>
      <c r="X262" s="495" t="s">
        <v>3388</v>
      </c>
      <c r="Z262" s="495"/>
      <c r="AA262" s="27"/>
      <c r="AB262" s="27"/>
      <c r="AC262" s="1072"/>
      <c r="AD262" s="585"/>
    </row>
    <row r="263" spans="2:30" ht="10.5" customHeight="1">
      <c r="B263" s="314"/>
      <c r="C263" s="436" t="s">
        <v>111</v>
      </c>
      <c r="D263" s="508">
        <v>51500</v>
      </c>
      <c r="F263" s="644"/>
      <c r="G263" s="1166" t="s">
        <v>2587</v>
      </c>
      <c r="H263" s="1166" t="s">
        <v>1796</v>
      </c>
      <c r="I263" s="1170" t="s">
        <v>161</v>
      </c>
      <c r="J263" s="1170" t="s">
        <v>2612</v>
      </c>
      <c r="K263" s="1168" t="s">
        <v>1682</v>
      </c>
      <c r="L263" s="1169" t="s">
        <v>424</v>
      </c>
      <c r="M263" s="1340" t="s">
        <v>1196</v>
      </c>
      <c r="N263" s="1340" t="s">
        <v>161</v>
      </c>
      <c r="O263" s="1600" t="s">
        <v>4399</v>
      </c>
      <c r="P263" s="642" t="s">
        <v>2069</v>
      </c>
      <c r="Q263" s="323"/>
      <c r="R263" s="190"/>
      <c r="S263" s="448"/>
      <c r="T263" s="572" t="s">
        <v>2064</v>
      </c>
      <c r="U263" s="572" t="s">
        <v>628</v>
      </c>
      <c r="W263" s="495" t="s">
        <v>1011</v>
      </c>
      <c r="X263" s="495" t="s">
        <v>3388</v>
      </c>
      <c r="Z263" s="495"/>
      <c r="AA263" s="27"/>
      <c r="AB263" s="27"/>
      <c r="AC263" s="1072"/>
      <c r="AD263" s="585"/>
    </row>
    <row r="264" spans="2:30" ht="10.5" customHeight="1">
      <c r="B264" s="314"/>
      <c r="C264" s="436" t="s">
        <v>113</v>
      </c>
      <c r="D264" s="508">
        <v>34600</v>
      </c>
      <c r="F264" s="644"/>
      <c r="G264" s="1166" t="s">
        <v>2588</v>
      </c>
      <c r="H264" s="1166" t="s">
        <v>1311</v>
      </c>
      <c r="I264" s="1170" t="s">
        <v>764</v>
      </c>
      <c r="J264" s="1170" t="s">
        <v>2612</v>
      </c>
      <c r="K264" s="1168" t="s">
        <v>2575</v>
      </c>
      <c r="L264" s="1169" t="s">
        <v>424</v>
      </c>
      <c r="M264" s="1339" t="s">
        <v>1196</v>
      </c>
      <c r="N264" s="1339" t="s">
        <v>1205</v>
      </c>
      <c r="O264" s="1600" t="s">
        <v>4400</v>
      </c>
      <c r="P264" s="642" t="s">
        <v>675</v>
      </c>
      <c r="Q264" s="323"/>
      <c r="R264" s="190"/>
      <c r="S264" s="448"/>
      <c r="T264" s="572" t="s">
        <v>2066</v>
      </c>
      <c r="U264" s="572" t="s">
        <v>2585</v>
      </c>
      <c r="W264" s="495" t="s">
        <v>1679</v>
      </c>
      <c r="X264" s="495" t="s">
        <v>3388</v>
      </c>
      <c r="Z264" s="495"/>
      <c r="AA264" s="27"/>
      <c r="AB264" s="27"/>
      <c r="AC264" s="1072"/>
      <c r="AD264" s="585"/>
    </row>
    <row r="265" spans="2:30" ht="10.5" customHeight="1">
      <c r="B265" s="314"/>
      <c r="C265" s="436" t="s">
        <v>115</v>
      </c>
      <c r="D265" s="508">
        <v>50500</v>
      </c>
      <c r="F265" s="644"/>
      <c r="G265" s="1166" t="s">
        <v>2589</v>
      </c>
      <c r="H265" s="1166" t="s">
        <v>1311</v>
      </c>
      <c r="I265" s="1167" t="s">
        <v>2043</v>
      </c>
      <c r="J265" s="1167" t="s">
        <v>2612</v>
      </c>
      <c r="K265" s="1168" t="s">
        <v>620</v>
      </c>
      <c r="L265" s="1169" t="s">
        <v>424</v>
      </c>
      <c r="M265" s="1339" t="s">
        <v>2598</v>
      </c>
      <c r="N265" s="1339" t="s">
        <v>166</v>
      </c>
      <c r="O265" s="1600" t="s">
        <v>4401</v>
      </c>
      <c r="P265" s="642" t="s">
        <v>2328</v>
      </c>
      <c r="Q265" s="323"/>
      <c r="R265" s="190"/>
      <c r="S265" s="448"/>
      <c r="T265" s="572" t="s">
        <v>4743</v>
      </c>
      <c r="U265" s="572" t="s">
        <v>1206</v>
      </c>
      <c r="W265" s="495" t="s">
        <v>866</v>
      </c>
      <c r="X265" s="495" t="s">
        <v>3388</v>
      </c>
      <c r="Z265" s="495"/>
      <c r="AA265" s="27"/>
      <c r="AB265" s="27"/>
      <c r="AC265" s="1072"/>
      <c r="AD265" s="585"/>
    </row>
    <row r="266" spans="2:30" ht="10.5" customHeight="1">
      <c r="B266" s="314"/>
      <c r="C266" s="436" t="s">
        <v>2396</v>
      </c>
      <c r="D266" s="508">
        <v>43700</v>
      </c>
      <c r="F266" s="644"/>
      <c r="G266" s="1166" t="s">
        <v>2590</v>
      </c>
      <c r="H266" s="1166" t="s">
        <v>1311</v>
      </c>
      <c r="I266" s="1167" t="s">
        <v>2043</v>
      </c>
      <c r="J266" s="1167" t="s">
        <v>2612</v>
      </c>
      <c r="K266" s="1168" t="s">
        <v>620</v>
      </c>
      <c r="L266" s="1169" t="s">
        <v>424</v>
      </c>
      <c r="M266" s="1339" t="s">
        <v>2598</v>
      </c>
      <c r="N266" s="1339" t="s">
        <v>166</v>
      </c>
      <c r="O266" s="1600" t="s">
        <v>4402</v>
      </c>
      <c r="P266" s="642" t="s">
        <v>2329</v>
      </c>
      <c r="Q266" s="323"/>
      <c r="R266" s="190"/>
      <c r="S266" s="448"/>
      <c r="T266" s="572" t="s">
        <v>2564</v>
      </c>
      <c r="U266" s="572" t="s">
        <v>2007</v>
      </c>
      <c r="W266" s="495" t="s">
        <v>1740</v>
      </c>
      <c r="X266" s="495" t="s">
        <v>3388</v>
      </c>
      <c r="Z266" s="495"/>
      <c r="AA266" s="27"/>
      <c r="AB266" s="27"/>
      <c r="AC266" s="1072"/>
      <c r="AD266" s="585"/>
    </row>
    <row r="267" spans="2:30" ht="10.5" customHeight="1">
      <c r="B267" s="314"/>
      <c r="C267" s="436" t="s">
        <v>2398</v>
      </c>
      <c r="D267" s="508">
        <v>46700</v>
      </c>
      <c r="F267" s="644"/>
      <c r="G267" s="1166" t="s">
        <v>2591</v>
      </c>
      <c r="H267" s="1166" t="s">
        <v>1311</v>
      </c>
      <c r="I267" s="1170" t="s">
        <v>764</v>
      </c>
      <c r="J267" s="1170" t="s">
        <v>2612</v>
      </c>
      <c r="K267" s="1168" t="s">
        <v>2575</v>
      </c>
      <c r="L267" s="1169" t="s">
        <v>424</v>
      </c>
      <c r="M267" s="1339" t="s">
        <v>1196</v>
      </c>
      <c r="N267" s="1339" t="s">
        <v>1205</v>
      </c>
      <c r="O267" s="1600" t="s">
        <v>4403</v>
      </c>
      <c r="P267" s="642" t="s">
        <v>1246</v>
      </c>
      <c r="Q267" s="323"/>
      <c r="R267" s="190"/>
      <c r="S267" s="448"/>
      <c r="T267" s="572" t="s">
        <v>2068</v>
      </c>
      <c r="U267" s="572" t="s">
        <v>199</v>
      </c>
      <c r="W267" s="495" t="s">
        <v>631</v>
      </c>
      <c r="X267" s="495" t="s">
        <v>3388</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2612</v>
      </c>
      <c r="K268" s="1168" t="s">
        <v>1953</v>
      </c>
      <c r="L268" s="1169" t="s">
        <v>424</v>
      </c>
      <c r="M268" s="1340" t="s">
        <v>2598</v>
      </c>
      <c r="N268" s="1340" t="s">
        <v>1320</v>
      </c>
      <c r="O268" s="1600" t="s">
        <v>4404</v>
      </c>
      <c r="P268" s="642" t="s">
        <v>1248</v>
      </c>
      <c r="Q268" s="323"/>
      <c r="R268" s="190"/>
      <c r="S268" s="448"/>
      <c r="T268" s="572" t="s">
        <v>2851</v>
      </c>
      <c r="U268" s="572" t="s">
        <v>662</v>
      </c>
      <c r="W268" s="495" t="s">
        <v>2288</v>
      </c>
      <c r="X268" s="495" t="s">
        <v>3388</v>
      </c>
      <c r="Z268" s="495"/>
      <c r="AA268" s="27"/>
      <c r="AB268" s="27"/>
      <c r="AC268" s="1072"/>
      <c r="AD268" s="585"/>
    </row>
    <row r="269" spans="2:30" ht="10.5" customHeight="1">
      <c r="F269" s="644"/>
      <c r="G269" s="1166" t="s">
        <v>1093</v>
      </c>
      <c r="H269" s="1166" t="s">
        <v>1311</v>
      </c>
      <c r="I269" s="1170" t="s">
        <v>764</v>
      </c>
      <c r="J269" s="1170" t="s">
        <v>2612</v>
      </c>
      <c r="K269" s="1168" t="s">
        <v>2575</v>
      </c>
      <c r="L269" s="1169" t="s">
        <v>424</v>
      </c>
      <c r="M269" s="1339" t="s">
        <v>1196</v>
      </c>
      <c r="N269" s="1339" t="s">
        <v>1205</v>
      </c>
      <c r="O269" s="1600" t="s">
        <v>4405</v>
      </c>
      <c r="P269" s="642" t="s">
        <v>1250</v>
      </c>
      <c r="Q269" s="323"/>
      <c r="R269" s="190"/>
      <c r="S269" s="448"/>
      <c r="T269" s="572" t="s">
        <v>2070</v>
      </c>
      <c r="U269" s="572" t="s">
        <v>199</v>
      </c>
      <c r="W269" s="495" t="s">
        <v>1033</v>
      </c>
      <c r="X269" s="495" t="s">
        <v>3388</v>
      </c>
      <c r="AA269" s="27"/>
      <c r="AB269" s="27"/>
      <c r="AC269" s="1072"/>
      <c r="AD269" s="585"/>
    </row>
    <row r="270" spans="2:30" ht="10.5" customHeight="1">
      <c r="F270" s="644"/>
      <c r="G270" s="1166" t="s">
        <v>1094</v>
      </c>
      <c r="H270" s="1166" t="s">
        <v>1211</v>
      </c>
      <c r="I270" s="1167" t="s">
        <v>1095</v>
      </c>
      <c r="J270" s="1167" t="s">
        <v>2611</v>
      </c>
      <c r="K270" s="1168" t="s">
        <v>1954</v>
      </c>
      <c r="L270" s="1169" t="s">
        <v>423</v>
      </c>
      <c r="M270" s="1340" t="s">
        <v>2598</v>
      </c>
      <c r="N270" s="1340" t="s">
        <v>1696</v>
      </c>
      <c r="O270" s="1600" t="s">
        <v>4406</v>
      </c>
      <c r="P270" s="642" t="s">
        <v>1251</v>
      </c>
      <c r="Q270" s="323"/>
      <c r="R270" s="190"/>
      <c r="S270" s="448"/>
      <c r="T270" s="572" t="s">
        <v>676</v>
      </c>
      <c r="U270" s="572" t="s">
        <v>2007</v>
      </c>
      <c r="W270" s="495" t="s">
        <v>1944</v>
      </c>
      <c r="X270" s="495" t="s">
        <v>3388</v>
      </c>
      <c r="AA270" s="27"/>
      <c r="AB270" s="27"/>
      <c r="AC270" s="1072"/>
      <c r="AD270" s="585"/>
    </row>
    <row r="271" spans="2:30" ht="10.5" customHeight="1">
      <c r="F271" s="644"/>
      <c r="G271" s="1166" t="s">
        <v>1096</v>
      </c>
      <c r="H271" s="1166" t="s">
        <v>1311</v>
      </c>
      <c r="I271" s="1170" t="s">
        <v>764</v>
      </c>
      <c r="J271" s="1170" t="s">
        <v>2612</v>
      </c>
      <c r="K271" s="1168" t="s">
        <v>2575</v>
      </c>
      <c r="L271" s="1169" t="s">
        <v>424</v>
      </c>
      <c r="M271" s="1339" t="s">
        <v>1196</v>
      </c>
      <c r="N271" s="1339" t="s">
        <v>1205</v>
      </c>
      <c r="O271" s="1600" t="s">
        <v>4407</v>
      </c>
      <c r="P271" s="642" t="s">
        <v>1253</v>
      </c>
      <c r="Q271" s="323"/>
      <c r="R271" s="190"/>
      <c r="S271" s="448"/>
      <c r="T271" s="572" t="s">
        <v>2330</v>
      </c>
      <c r="U271" s="572" t="s">
        <v>122</v>
      </c>
      <c r="W271" s="495" t="s">
        <v>492</v>
      </c>
      <c r="X271" s="495" t="s">
        <v>3388</v>
      </c>
      <c r="AA271" s="27"/>
      <c r="AB271" s="27"/>
      <c r="AC271" s="1072"/>
      <c r="AD271" s="585"/>
    </row>
    <row r="272" spans="2:30" ht="10.5" customHeight="1">
      <c r="F272" s="644"/>
      <c r="G272" s="1166" t="s">
        <v>1097</v>
      </c>
      <c r="H272" s="1166" t="s">
        <v>1311</v>
      </c>
      <c r="I272" s="1167" t="s">
        <v>1098</v>
      </c>
      <c r="J272" s="1167" t="s">
        <v>2611</v>
      </c>
      <c r="K272" s="1168" t="s">
        <v>1955</v>
      </c>
      <c r="L272" s="1169" t="s">
        <v>423</v>
      </c>
      <c r="M272" s="1340" t="s">
        <v>2598</v>
      </c>
      <c r="N272" s="1340" t="s">
        <v>1205</v>
      </c>
      <c r="O272" s="1600" t="s">
        <v>4408</v>
      </c>
      <c r="P272" s="642" t="s">
        <v>2493</v>
      </c>
      <c r="Q272" s="323"/>
      <c r="R272" s="190"/>
      <c r="S272" s="448"/>
      <c r="T272" s="572" t="s">
        <v>1247</v>
      </c>
      <c r="U272" s="572" t="s">
        <v>628</v>
      </c>
      <c r="W272" s="495" t="s">
        <v>1646</v>
      </c>
      <c r="X272" s="495" t="s">
        <v>3388</v>
      </c>
      <c r="AA272" s="27"/>
      <c r="AB272" s="27"/>
      <c r="AC272" s="1072"/>
      <c r="AD272" s="585"/>
    </row>
    <row r="273" spans="6:30" ht="10.5" customHeight="1">
      <c r="F273" s="644"/>
      <c r="G273" s="1166" t="s">
        <v>1099</v>
      </c>
      <c r="H273" s="1166" t="s">
        <v>1211</v>
      </c>
      <c r="I273" s="1170" t="s">
        <v>1100</v>
      </c>
      <c r="J273" s="1170" t="s">
        <v>2612</v>
      </c>
      <c r="K273" s="1168" t="s">
        <v>1956</v>
      </c>
      <c r="L273" s="1169" t="s">
        <v>424</v>
      </c>
      <c r="M273" s="1340" t="s">
        <v>2598</v>
      </c>
      <c r="N273" s="1340" t="s">
        <v>1320</v>
      </c>
      <c r="O273" s="1600" t="s">
        <v>4409</v>
      </c>
      <c r="P273" s="642" t="s">
        <v>82</v>
      </c>
      <c r="Q273" s="323"/>
      <c r="R273" s="190"/>
      <c r="S273" s="448"/>
      <c r="T273" s="572" t="s">
        <v>1249</v>
      </c>
      <c r="U273" s="572" t="s">
        <v>2244</v>
      </c>
      <c r="W273" s="495" t="s">
        <v>943</v>
      </c>
      <c r="X273" s="495" t="s">
        <v>3388</v>
      </c>
      <c r="AA273" s="27"/>
      <c r="AB273" s="27"/>
      <c r="AC273" s="1072"/>
      <c r="AD273" s="585"/>
    </row>
    <row r="274" spans="6:30" ht="10.5" customHeight="1">
      <c r="F274" s="644"/>
      <c r="G274" s="1166" t="s">
        <v>1101</v>
      </c>
      <c r="H274" s="1166" t="s">
        <v>1311</v>
      </c>
      <c r="I274" s="1170" t="s">
        <v>1102</v>
      </c>
      <c r="J274" s="1170" t="s">
        <v>2611</v>
      </c>
      <c r="K274" s="1168" t="s">
        <v>1957</v>
      </c>
      <c r="L274" s="1169" t="s">
        <v>423</v>
      </c>
      <c r="M274" s="1340" t="s">
        <v>2598</v>
      </c>
      <c r="N274" s="1340" t="s">
        <v>1205</v>
      </c>
      <c r="O274" s="1600" t="s">
        <v>4410</v>
      </c>
      <c r="P274" s="642" t="s">
        <v>83</v>
      </c>
      <c r="Q274" s="323"/>
      <c r="R274" s="190"/>
      <c r="S274" s="448"/>
      <c r="T274" s="572" t="s">
        <v>2482</v>
      </c>
      <c r="U274" s="572" t="s">
        <v>1105</v>
      </c>
      <c r="W274" s="495" t="s">
        <v>2307</v>
      </c>
      <c r="X274" s="495" t="s">
        <v>3388</v>
      </c>
      <c r="AA274" s="27"/>
      <c r="AB274" s="27"/>
      <c r="AC274" s="1072"/>
      <c r="AD274" s="585"/>
    </row>
    <row r="275" spans="6:30" ht="10.5" customHeight="1">
      <c r="F275" s="644"/>
      <c r="G275" s="1166" t="s">
        <v>1103</v>
      </c>
      <c r="H275" s="1166" t="s">
        <v>1211</v>
      </c>
      <c r="I275" s="1167" t="s">
        <v>1104</v>
      </c>
      <c r="J275" s="1167" t="s">
        <v>2611</v>
      </c>
      <c r="K275" s="1168" t="s">
        <v>1784</v>
      </c>
      <c r="L275" s="1169" t="s">
        <v>423</v>
      </c>
      <c r="M275" s="1340" t="s">
        <v>2598</v>
      </c>
      <c r="N275" s="1340" t="s">
        <v>161</v>
      </c>
      <c r="O275" s="1600" t="s">
        <v>4411</v>
      </c>
      <c r="P275" s="642" t="s">
        <v>84</v>
      </c>
      <c r="Q275" s="323"/>
      <c r="R275" s="190"/>
      <c r="S275" s="448"/>
      <c r="T275" s="572" t="s">
        <v>1252</v>
      </c>
      <c r="U275" s="572" t="s">
        <v>311</v>
      </c>
      <c r="W275" s="495" t="s">
        <v>323</v>
      </c>
      <c r="X275" s="495" t="s">
        <v>3388</v>
      </c>
      <c r="AA275" s="27"/>
      <c r="AB275" s="27"/>
      <c r="AC275" s="1072"/>
      <c r="AD275" s="585"/>
    </row>
    <row r="276" spans="6:30" ht="10.5" customHeight="1">
      <c r="F276" s="644"/>
      <c r="G276" s="1166" t="s">
        <v>1105</v>
      </c>
      <c r="H276" s="1166" t="s">
        <v>1311</v>
      </c>
      <c r="I276" s="1167" t="s">
        <v>1106</v>
      </c>
      <c r="J276" s="1167" t="s">
        <v>2611</v>
      </c>
      <c r="K276" s="1168" t="s">
        <v>1785</v>
      </c>
      <c r="L276" s="1169" t="s">
        <v>423</v>
      </c>
      <c r="M276" s="1340" t="s">
        <v>2598</v>
      </c>
      <c r="N276" s="1340" t="s">
        <v>166</v>
      </c>
      <c r="O276" s="1600" t="s">
        <v>4412</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1107</v>
      </c>
      <c r="H277" s="1166" t="s">
        <v>1211</v>
      </c>
      <c r="I277" s="1167" t="s">
        <v>1108</v>
      </c>
      <c r="J277" s="1167" t="s">
        <v>2611</v>
      </c>
      <c r="K277" s="1168" t="s">
        <v>1786</v>
      </c>
      <c r="L277" s="1169" t="s">
        <v>423</v>
      </c>
      <c r="M277" s="1340" t="s">
        <v>2598</v>
      </c>
      <c r="N277" s="1340" t="s">
        <v>1782</v>
      </c>
      <c r="O277" s="1600" t="s">
        <v>4413</v>
      </c>
      <c r="P277" s="642" t="s">
        <v>1227</v>
      </c>
      <c r="Q277" s="323"/>
      <c r="R277" s="190"/>
      <c r="S277" s="448"/>
      <c r="T277" s="572" t="s">
        <v>81</v>
      </c>
      <c r="U277" s="572" t="s">
        <v>196</v>
      </c>
      <c r="W277" s="495" t="s">
        <v>328</v>
      </c>
      <c r="X277" s="495" t="s">
        <v>3388</v>
      </c>
      <c r="AA277" s="27"/>
      <c r="AB277" s="27"/>
      <c r="AC277" s="1072"/>
      <c r="AD277" s="585"/>
    </row>
    <row r="278" spans="6:30" ht="10.5" customHeight="1">
      <c r="F278" s="644"/>
      <c r="G278" s="1166" t="s">
        <v>1109</v>
      </c>
      <c r="H278" s="1166" t="s">
        <v>1796</v>
      </c>
      <c r="I278" s="1170" t="s">
        <v>765</v>
      </c>
      <c r="J278" s="1170" t="s">
        <v>2612</v>
      </c>
      <c r="K278" s="1168" t="s">
        <v>2597</v>
      </c>
      <c r="L278" s="1169" t="s">
        <v>424</v>
      </c>
      <c r="M278" s="1340" t="s">
        <v>1196</v>
      </c>
      <c r="N278" s="1340" t="s">
        <v>1330</v>
      </c>
      <c r="O278" s="1600" t="s">
        <v>4414</v>
      </c>
      <c r="P278" s="642" t="s">
        <v>1229</v>
      </c>
      <c r="Q278" s="323"/>
      <c r="R278" s="190"/>
      <c r="S278" s="448"/>
      <c r="T278" s="572" t="s">
        <v>85</v>
      </c>
      <c r="U278" s="572" t="s">
        <v>2183</v>
      </c>
      <c r="W278" s="495" t="s">
        <v>1756</v>
      </c>
      <c r="X278" s="495" t="s">
        <v>3388</v>
      </c>
      <c r="AA278" s="27"/>
      <c r="AB278" s="27"/>
      <c r="AC278" s="1072"/>
      <c r="AD278" s="585"/>
    </row>
    <row r="279" spans="6:30" ht="10.5" customHeight="1">
      <c r="F279" s="644"/>
      <c r="G279" s="1166" t="s">
        <v>1110</v>
      </c>
      <c r="H279" s="1166" t="s">
        <v>1311</v>
      </c>
      <c r="I279" s="1170" t="s">
        <v>764</v>
      </c>
      <c r="J279" s="1170" t="s">
        <v>2612</v>
      </c>
      <c r="K279" s="1168" t="s">
        <v>2575</v>
      </c>
      <c r="L279" s="1169" t="s">
        <v>424</v>
      </c>
      <c r="M279" s="1339" t="s">
        <v>1196</v>
      </c>
      <c r="N279" s="1339" t="s">
        <v>1205</v>
      </c>
      <c r="O279" s="1600" t="s">
        <v>4415</v>
      </c>
      <c r="P279" s="642" t="s">
        <v>1231</v>
      </c>
      <c r="Q279" s="323"/>
      <c r="R279" s="190"/>
      <c r="S279" s="448"/>
      <c r="T279" s="572" t="s">
        <v>87</v>
      </c>
      <c r="U279" s="572" t="s">
        <v>1321</v>
      </c>
      <c r="W279" s="495" t="s">
        <v>691</v>
      </c>
      <c r="X279" s="495" t="s">
        <v>3388</v>
      </c>
      <c r="AA279" s="27"/>
      <c r="AB279" s="27"/>
      <c r="AC279" s="1072"/>
      <c r="AD279" s="585"/>
    </row>
    <row r="280" spans="6:30" ht="10.5" customHeight="1">
      <c r="F280" s="644"/>
      <c r="G280" s="1166" t="s">
        <v>1111</v>
      </c>
      <c r="H280" s="1166" t="s">
        <v>1211</v>
      </c>
      <c r="I280" s="1167" t="s">
        <v>2167</v>
      </c>
      <c r="J280" s="1167" t="s">
        <v>2611</v>
      </c>
      <c r="K280" s="1168" t="s">
        <v>1787</v>
      </c>
      <c r="L280" s="1169" t="s">
        <v>423</v>
      </c>
      <c r="M280" s="1340" t="s">
        <v>2598</v>
      </c>
      <c r="N280" s="1340" t="s">
        <v>161</v>
      </c>
      <c r="O280" s="1600" t="s">
        <v>4416</v>
      </c>
      <c r="P280" s="642" t="s">
        <v>1233</v>
      </c>
      <c r="Q280" s="323"/>
      <c r="R280" s="190"/>
      <c r="S280" s="448"/>
      <c r="T280" s="572" t="s">
        <v>1228</v>
      </c>
      <c r="U280" s="572" t="s">
        <v>1950</v>
      </c>
      <c r="W280" s="495" t="s">
        <v>2353</v>
      </c>
      <c r="X280" s="495" t="s">
        <v>3388</v>
      </c>
      <c r="AA280" s="27"/>
      <c r="AB280" s="27"/>
      <c r="AC280" s="1072"/>
      <c r="AD280" s="585"/>
    </row>
    <row r="281" spans="6:30" ht="10.5" customHeight="1">
      <c r="F281" s="644"/>
      <c r="G281" s="1166" t="s">
        <v>2168</v>
      </c>
      <c r="H281" s="1166" t="s">
        <v>1211</v>
      </c>
      <c r="I281" s="1167" t="s">
        <v>2169</v>
      </c>
      <c r="J281" s="1167" t="s">
        <v>2611</v>
      </c>
      <c r="K281" s="1168" t="s">
        <v>1788</v>
      </c>
      <c r="L281" s="1169" t="s">
        <v>423</v>
      </c>
      <c r="M281" s="1340" t="s">
        <v>2598</v>
      </c>
      <c r="N281" s="1340" t="s">
        <v>1326</v>
      </c>
      <c r="O281" s="1600" t="s">
        <v>4417</v>
      </c>
      <c r="P281" s="642" t="s">
        <v>1235</v>
      </c>
      <c r="Q281" s="323"/>
      <c r="R281" s="190"/>
      <c r="S281" s="448"/>
      <c r="T281" s="572" t="s">
        <v>1230</v>
      </c>
      <c r="U281" s="572" t="s">
        <v>179</v>
      </c>
      <c r="W281" s="495" t="s">
        <v>475</v>
      </c>
      <c r="X281" s="495" t="s">
        <v>3388</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3381</v>
      </c>
      <c r="X282" s="495" t="s">
        <v>3388</v>
      </c>
      <c r="AA282" s="27"/>
      <c r="AB282" s="27"/>
      <c r="AC282" s="1072"/>
      <c r="AD282" s="585"/>
    </row>
    <row r="283" spans="6:30" ht="10.5" customHeight="1">
      <c r="F283" s="644"/>
      <c r="G283" s="1166" t="s">
        <v>2170</v>
      </c>
      <c r="H283" s="1166" t="s">
        <v>1211</v>
      </c>
      <c r="I283" s="1170" t="s">
        <v>2171</v>
      </c>
      <c r="J283" s="1167" t="s">
        <v>2611</v>
      </c>
      <c r="K283" s="1168" t="s">
        <v>456</v>
      </c>
      <c r="L283" s="1169" t="s">
        <v>423</v>
      </c>
      <c r="M283" s="1340" t="s">
        <v>2598</v>
      </c>
      <c r="N283" s="1340" t="s">
        <v>1782</v>
      </c>
      <c r="O283" s="1600" t="s">
        <v>4419</v>
      </c>
      <c r="P283" s="642" t="s">
        <v>891</v>
      </c>
      <c r="Q283" s="323"/>
      <c r="R283" s="190"/>
      <c r="S283" s="448"/>
      <c r="T283" s="643" t="s">
        <v>1234</v>
      </c>
      <c r="U283" s="643" t="s">
        <v>1206</v>
      </c>
      <c r="W283" s="495" t="s">
        <v>3382</v>
      </c>
      <c r="X283" s="495" t="s">
        <v>3388</v>
      </c>
      <c r="AA283" s="27"/>
      <c r="AB283" s="27"/>
      <c r="AC283" s="1072"/>
      <c r="AD283" s="585"/>
    </row>
    <row r="284" spans="6:30" ht="10.5" customHeight="1">
      <c r="F284" s="644"/>
      <c r="G284" s="1166" t="s">
        <v>2172</v>
      </c>
      <c r="H284" s="1166" t="s">
        <v>1211</v>
      </c>
      <c r="I284" s="1170" t="s">
        <v>764</v>
      </c>
      <c r="J284" s="1170" t="s">
        <v>2612</v>
      </c>
      <c r="K284" s="1168" t="s">
        <v>2575</v>
      </c>
      <c r="L284" s="1169" t="s">
        <v>424</v>
      </c>
      <c r="M284" s="1339" t="s">
        <v>1196</v>
      </c>
      <c r="N284" s="1340" t="s">
        <v>1205</v>
      </c>
      <c r="O284" s="1600" t="s">
        <v>4420</v>
      </c>
      <c r="P284" s="642" t="s">
        <v>892</v>
      </c>
      <c r="Q284" s="323"/>
      <c r="R284" s="190"/>
      <c r="S284" s="448"/>
      <c r="T284" s="572" t="s">
        <v>1236</v>
      </c>
      <c r="U284" s="572" t="s">
        <v>2183</v>
      </c>
      <c r="W284" s="495" t="s">
        <v>78</v>
      </c>
      <c r="X284" s="495" t="s">
        <v>3388</v>
      </c>
      <c r="AA284" s="27"/>
      <c r="AB284" s="27"/>
      <c r="AC284" s="1073"/>
      <c r="AD284" s="585"/>
    </row>
    <row r="285" spans="6:30" ht="10.5" customHeight="1">
      <c r="F285" s="644"/>
      <c r="G285" s="1166" t="s">
        <v>2173</v>
      </c>
      <c r="H285" s="1166" t="s">
        <v>1311</v>
      </c>
      <c r="I285" s="1170" t="s">
        <v>2174</v>
      </c>
      <c r="J285" s="1170" t="s">
        <v>2611</v>
      </c>
      <c r="K285" s="1168" t="s">
        <v>221</v>
      </c>
      <c r="L285" s="1169" t="s">
        <v>423</v>
      </c>
      <c r="M285" s="1340" t="s">
        <v>2598</v>
      </c>
      <c r="N285" s="1339" t="s">
        <v>166</v>
      </c>
      <c r="O285" s="1600" t="s">
        <v>4421</v>
      </c>
      <c r="P285" s="642" t="s">
        <v>894</v>
      </c>
      <c r="Q285" s="323"/>
      <c r="R285" s="190"/>
      <c r="S285" s="448"/>
      <c r="T285" s="572" t="s">
        <v>2488</v>
      </c>
      <c r="U285" s="572" t="s">
        <v>1631</v>
      </c>
      <c r="W285" s="495" t="s">
        <v>2413</v>
      </c>
      <c r="X285" s="495" t="s">
        <v>3388</v>
      </c>
      <c r="AA285" s="27"/>
      <c r="AB285" s="27"/>
      <c r="AC285" s="1072"/>
      <c r="AD285" s="585"/>
    </row>
    <row r="286" spans="6:30" ht="10.5" customHeight="1">
      <c r="F286" s="644"/>
      <c r="G286" s="1166" t="s">
        <v>2175</v>
      </c>
      <c r="H286" s="1166" t="s">
        <v>1211</v>
      </c>
      <c r="I286" s="1167" t="s">
        <v>2176</v>
      </c>
      <c r="J286" s="1170" t="s">
        <v>2611</v>
      </c>
      <c r="K286" s="1168" t="s">
        <v>1421</v>
      </c>
      <c r="L286" s="1169" t="s">
        <v>423</v>
      </c>
      <c r="M286" s="1340" t="s">
        <v>2598</v>
      </c>
      <c r="N286" s="1340" t="s">
        <v>161</v>
      </c>
      <c r="O286" s="1600" t="s">
        <v>4422</v>
      </c>
      <c r="P286" s="642" t="s">
        <v>896</v>
      </c>
      <c r="Q286" s="323"/>
      <c r="R286" s="190"/>
      <c r="S286" s="448"/>
      <c r="T286" s="572" t="s">
        <v>161</v>
      </c>
      <c r="U286" s="572" t="s">
        <v>2587</v>
      </c>
      <c r="W286" s="495" t="s">
        <v>613</v>
      </c>
      <c r="X286" s="495" t="s">
        <v>3388</v>
      </c>
      <c r="AA286" s="27"/>
      <c r="AB286" s="27"/>
      <c r="AC286" s="1072"/>
      <c r="AD286" s="585"/>
    </row>
    <row r="287" spans="6:30" ht="10.5" customHeight="1">
      <c r="F287" s="644"/>
      <c r="G287" s="1166" t="s">
        <v>2177</v>
      </c>
      <c r="H287" s="1166" t="s">
        <v>1796</v>
      </c>
      <c r="I287" s="1167" t="s">
        <v>2178</v>
      </c>
      <c r="J287" s="1167" t="s">
        <v>2611</v>
      </c>
      <c r="K287" s="1168" t="s">
        <v>1422</v>
      </c>
      <c r="L287" s="1169" t="s">
        <v>423</v>
      </c>
      <c r="M287" s="1340" t="s">
        <v>2598</v>
      </c>
      <c r="N287" s="1340" t="s">
        <v>1782</v>
      </c>
      <c r="O287" s="1600" t="s">
        <v>4423</v>
      </c>
      <c r="P287" s="642" t="s">
        <v>2138</v>
      </c>
      <c r="Q287" s="323"/>
      <c r="R287" s="190"/>
      <c r="S287" s="448"/>
      <c r="T287" s="572" t="s">
        <v>893</v>
      </c>
      <c r="U287" s="572" t="s">
        <v>179</v>
      </c>
      <c r="W287" s="495" t="s">
        <v>967</v>
      </c>
      <c r="X287" s="495" t="s">
        <v>3388</v>
      </c>
      <c r="AA287" s="27"/>
      <c r="AB287" s="27"/>
      <c r="AC287" s="1072"/>
      <c r="AD287" s="585"/>
    </row>
    <row r="288" spans="6:30" ht="10.5" customHeight="1">
      <c r="F288" s="644"/>
      <c r="G288" s="1166" t="s">
        <v>2179</v>
      </c>
      <c r="H288" s="1166" t="s">
        <v>1211</v>
      </c>
      <c r="I288" s="1167" t="s">
        <v>2180</v>
      </c>
      <c r="J288" s="1167" t="s">
        <v>2611</v>
      </c>
      <c r="K288" s="1168" t="s">
        <v>1423</v>
      </c>
      <c r="L288" s="1169" t="s">
        <v>423</v>
      </c>
      <c r="M288" s="1340" t="s">
        <v>2598</v>
      </c>
      <c r="N288" s="1340" t="s">
        <v>161</v>
      </c>
      <c r="O288" s="1600" t="s">
        <v>4424</v>
      </c>
      <c r="P288" s="642" t="s">
        <v>2139</v>
      </c>
      <c r="Q288" s="323"/>
      <c r="R288" s="190"/>
      <c r="S288" s="448"/>
      <c r="T288" s="572" t="s">
        <v>895</v>
      </c>
      <c r="U288" s="572" t="s">
        <v>323</v>
      </c>
      <c r="W288" s="495" t="s">
        <v>1492</v>
      </c>
      <c r="X288" s="495" t="s">
        <v>3388</v>
      </c>
      <c r="AA288" s="27"/>
      <c r="AB288" s="27"/>
      <c r="AC288" s="1072"/>
      <c r="AD288" s="585"/>
    </row>
    <row r="289" spans="6:30" ht="10.5" customHeight="1">
      <c r="F289" s="644"/>
      <c r="G289" s="1166" t="s">
        <v>2181</v>
      </c>
      <c r="H289" s="1166" t="s">
        <v>1311</v>
      </c>
      <c r="I289" s="1167" t="s">
        <v>2182</v>
      </c>
      <c r="J289" s="1167" t="s">
        <v>2611</v>
      </c>
      <c r="K289" s="1168" t="s">
        <v>2012</v>
      </c>
      <c r="L289" s="1169" t="s">
        <v>423</v>
      </c>
      <c r="M289" s="1340" t="s">
        <v>2598</v>
      </c>
      <c r="N289" s="1340" t="s">
        <v>166</v>
      </c>
      <c r="O289" s="1600" t="s">
        <v>4425</v>
      </c>
      <c r="P289" s="642" t="s">
        <v>2055</v>
      </c>
      <c r="Q289" s="323"/>
      <c r="R289" s="190"/>
      <c r="S289" s="448"/>
      <c r="T289" s="643" t="s">
        <v>897</v>
      </c>
      <c r="U289" s="643" t="s">
        <v>1096</v>
      </c>
      <c r="W289" s="495" t="s">
        <v>2337</v>
      </c>
      <c r="X289" s="495" t="s">
        <v>3388</v>
      </c>
      <c r="AA289" s="27"/>
      <c r="AB289" s="27"/>
      <c r="AC289" s="1072"/>
      <c r="AD289" s="585"/>
    </row>
    <row r="290" spans="6:30" ht="10.5" customHeight="1">
      <c r="F290" s="644"/>
      <c r="G290" s="1166" t="s">
        <v>2183</v>
      </c>
      <c r="H290" s="1166" t="s">
        <v>1211</v>
      </c>
      <c r="I290" s="1167" t="s">
        <v>2184</v>
      </c>
      <c r="J290" s="1167" t="s">
        <v>2611</v>
      </c>
      <c r="K290" s="1168" t="s">
        <v>2013</v>
      </c>
      <c r="L290" s="1169" t="s">
        <v>423</v>
      </c>
      <c r="M290" s="1340" t="s">
        <v>2598</v>
      </c>
      <c r="N290" s="1340" t="s">
        <v>1326</v>
      </c>
      <c r="O290" s="1600" t="s">
        <v>4426</v>
      </c>
      <c r="P290" s="642" t="s">
        <v>2057</v>
      </c>
      <c r="Q290" s="323"/>
      <c r="R290" s="190"/>
      <c r="S290" s="448"/>
      <c r="T290" s="572" t="s">
        <v>2565</v>
      </c>
      <c r="U290" s="572" t="s">
        <v>2482</v>
      </c>
      <c r="W290" s="495" t="s">
        <v>821</v>
      </c>
      <c r="X290" s="495" t="s">
        <v>3388</v>
      </c>
      <c r="AA290" s="27"/>
      <c r="AB290" s="27"/>
      <c r="AC290" s="1073"/>
      <c r="AD290" s="585"/>
    </row>
    <row r="291" spans="6:30" ht="10.5" customHeight="1">
      <c r="F291" s="644"/>
      <c r="G291" s="1166" t="s">
        <v>2185</v>
      </c>
      <c r="H291" s="1166" t="s">
        <v>1211</v>
      </c>
      <c r="I291" s="1167" t="s">
        <v>870</v>
      </c>
      <c r="J291" s="1167" t="s">
        <v>2611</v>
      </c>
      <c r="K291" s="1168" t="s">
        <v>2014</v>
      </c>
      <c r="L291" s="1169" t="s">
        <v>423</v>
      </c>
      <c r="M291" s="1340" t="s">
        <v>2598</v>
      </c>
      <c r="N291" s="1340" t="s">
        <v>161</v>
      </c>
      <c r="O291" s="1600" t="s">
        <v>4427</v>
      </c>
      <c r="P291" s="642" t="s">
        <v>597</v>
      </c>
      <c r="Q291" s="323"/>
      <c r="R291" s="190"/>
      <c r="S291" s="448"/>
      <c r="T291" s="572" t="s">
        <v>2140</v>
      </c>
      <c r="U291" s="572" t="s">
        <v>1110</v>
      </c>
      <c r="W291" s="495" t="s">
        <v>824</v>
      </c>
      <c r="X291" s="495" t="s">
        <v>3388</v>
      </c>
      <c r="AA291" s="27"/>
      <c r="AB291" s="27"/>
      <c r="AC291" s="1072"/>
      <c r="AD291" s="585"/>
    </row>
    <row r="292" spans="6:30" ht="10.5" customHeight="1">
      <c r="F292" s="644"/>
      <c r="G292" s="1166" t="s">
        <v>871</v>
      </c>
      <c r="H292" s="1166" t="s">
        <v>1211</v>
      </c>
      <c r="I292" s="1167" t="s">
        <v>872</v>
      </c>
      <c r="J292" s="1167" t="s">
        <v>2611</v>
      </c>
      <c r="K292" s="1168" t="s">
        <v>2015</v>
      </c>
      <c r="L292" s="1169" t="s">
        <v>423</v>
      </c>
      <c r="M292" s="1340" t="s">
        <v>2598</v>
      </c>
      <c r="N292" s="1340" t="s">
        <v>1782</v>
      </c>
      <c r="O292" s="1600" t="s">
        <v>4428</v>
      </c>
      <c r="P292" s="642" t="s">
        <v>598</v>
      </c>
      <c r="Q292" s="323"/>
      <c r="R292" s="190"/>
      <c r="S292" s="448"/>
      <c r="T292" s="572" t="s">
        <v>2056</v>
      </c>
      <c r="U292" s="572" t="s">
        <v>1666</v>
      </c>
      <c r="W292" s="495" t="s">
        <v>1509</v>
      </c>
      <c r="X292" s="495" t="s">
        <v>3388</v>
      </c>
      <c r="AA292" s="27"/>
      <c r="AB292" s="27"/>
      <c r="AC292" s="1072"/>
      <c r="AD292" s="585"/>
    </row>
    <row r="293" spans="6:30" ht="10.5" customHeight="1">
      <c r="F293" s="644"/>
      <c r="G293" s="1166" t="s">
        <v>1665</v>
      </c>
      <c r="H293" s="1166" t="s">
        <v>1211</v>
      </c>
      <c r="I293" s="1170" t="s">
        <v>1782</v>
      </c>
      <c r="J293" s="1167" t="s">
        <v>2612</v>
      </c>
      <c r="K293" s="1168" t="s">
        <v>1161</v>
      </c>
      <c r="L293" s="1169" t="s">
        <v>424</v>
      </c>
      <c r="M293" s="1339" t="s">
        <v>2598</v>
      </c>
      <c r="N293" s="1340" t="s">
        <v>1782</v>
      </c>
      <c r="O293" s="1600" t="s">
        <v>4429</v>
      </c>
      <c r="P293" s="642" t="s">
        <v>600</v>
      </c>
      <c r="Q293" s="323"/>
      <c r="R293" s="190"/>
      <c r="S293" s="448"/>
      <c r="T293" s="572" t="s">
        <v>2058</v>
      </c>
      <c r="U293" s="572" t="s">
        <v>2532</v>
      </c>
      <c r="W293" s="495" t="s">
        <v>483</v>
      </c>
      <c r="X293" s="495" t="s">
        <v>3388</v>
      </c>
      <c r="AA293" s="27"/>
      <c r="AB293" s="27"/>
      <c r="AC293" s="1072"/>
      <c r="AD293" s="585"/>
    </row>
    <row r="294" spans="6:30" ht="10.5" customHeight="1">
      <c r="F294" s="644"/>
      <c r="G294" s="1166" t="s">
        <v>1666</v>
      </c>
      <c r="H294" s="1166" t="s">
        <v>1211</v>
      </c>
      <c r="I294" s="1170" t="s">
        <v>1667</v>
      </c>
      <c r="J294" s="1170" t="s">
        <v>2611</v>
      </c>
      <c r="K294" s="1168" t="s">
        <v>2016</v>
      </c>
      <c r="L294" s="1169" t="s">
        <v>423</v>
      </c>
      <c r="M294" s="1340" t="s">
        <v>2598</v>
      </c>
      <c r="N294" s="1339" t="s">
        <v>1696</v>
      </c>
      <c r="O294" s="1600" t="s">
        <v>4430</v>
      </c>
      <c r="P294" s="642" t="s">
        <v>602</v>
      </c>
      <c r="Q294" s="323"/>
      <c r="R294" s="190"/>
      <c r="S294" s="448"/>
      <c r="T294" s="572" t="s">
        <v>826</v>
      </c>
      <c r="U294" s="572" t="s">
        <v>318</v>
      </c>
      <c r="W294" s="495" t="s">
        <v>1393</v>
      </c>
      <c r="X294" s="495" t="s">
        <v>3388</v>
      </c>
      <c r="AA294" s="27"/>
      <c r="AB294" s="27"/>
      <c r="AC294" s="1072"/>
      <c r="AD294" s="585"/>
    </row>
    <row r="295" spans="6:30" ht="10.5" customHeight="1">
      <c r="F295" s="644"/>
      <c r="G295" s="1166" t="s">
        <v>1668</v>
      </c>
      <c r="H295" s="1166" t="s">
        <v>1211</v>
      </c>
      <c r="I295" s="1170" t="s">
        <v>1908</v>
      </c>
      <c r="J295" s="1170" t="s">
        <v>2611</v>
      </c>
      <c r="K295" s="1168" t="s">
        <v>1165</v>
      </c>
      <c r="L295" s="1169" t="s">
        <v>423</v>
      </c>
      <c r="M295" s="1340" t="s">
        <v>2598</v>
      </c>
      <c r="N295" s="1340" t="s">
        <v>1782</v>
      </c>
      <c r="O295" s="1600" t="s">
        <v>4431</v>
      </c>
      <c r="P295" s="642" t="s">
        <v>603</v>
      </c>
      <c r="Q295" s="323"/>
      <c r="R295" s="190"/>
      <c r="S295" s="448"/>
      <c r="T295" s="572" t="s">
        <v>599</v>
      </c>
      <c r="U295" s="572" t="s">
        <v>122</v>
      </c>
      <c r="W295" s="495" t="s">
        <v>1395</v>
      </c>
      <c r="X295" s="495" t="s">
        <v>3388</v>
      </c>
      <c r="AA295" s="27"/>
      <c r="AB295" s="27"/>
      <c r="AC295" s="1072"/>
      <c r="AD295" s="1076"/>
    </row>
    <row r="296" spans="6:30" ht="10.5" customHeight="1">
      <c r="F296" s="644"/>
      <c r="G296" s="1166" t="s">
        <v>1909</v>
      </c>
      <c r="H296" s="1166" t="s">
        <v>1211</v>
      </c>
      <c r="I296" s="1170" t="s">
        <v>1910</v>
      </c>
      <c r="J296" s="1170" t="s">
        <v>2611</v>
      </c>
      <c r="K296" s="1168" t="s">
        <v>1166</v>
      </c>
      <c r="L296" s="1169" t="s">
        <v>423</v>
      </c>
      <c r="M296" s="1340" t="s">
        <v>2598</v>
      </c>
      <c r="N296" s="1340" t="s">
        <v>1326</v>
      </c>
      <c r="O296" s="1600" t="s">
        <v>4432</v>
      </c>
      <c r="P296" s="642" t="s">
        <v>604</v>
      </c>
      <c r="Q296" s="323"/>
      <c r="R296" s="190"/>
      <c r="S296" s="448"/>
      <c r="T296" s="572" t="s">
        <v>2566</v>
      </c>
      <c r="U296" s="572" t="s">
        <v>1327</v>
      </c>
      <c r="W296" s="495" t="s">
        <v>2491</v>
      </c>
      <c r="X296" s="495" t="s">
        <v>3388</v>
      </c>
      <c r="AA296" s="27"/>
      <c r="AB296" s="27"/>
      <c r="AC296" s="1072"/>
      <c r="AD296" s="585"/>
    </row>
    <row r="297" spans="6:30" ht="10.5" customHeight="1">
      <c r="F297" s="644"/>
      <c r="G297" s="1166" t="s">
        <v>1911</v>
      </c>
      <c r="H297" s="1166" t="s">
        <v>1311</v>
      </c>
      <c r="I297" s="1170" t="s">
        <v>1912</v>
      </c>
      <c r="J297" s="1170" t="s">
        <v>2611</v>
      </c>
      <c r="K297" s="1168" t="s">
        <v>1167</v>
      </c>
      <c r="L297" s="1169" t="s">
        <v>423</v>
      </c>
      <c r="M297" s="1340" t="s">
        <v>2598</v>
      </c>
      <c r="N297" s="1340" t="s">
        <v>166</v>
      </c>
      <c r="O297" s="1600" t="s">
        <v>4433</v>
      </c>
      <c r="P297" s="642" t="s">
        <v>606</v>
      </c>
      <c r="Q297" s="323"/>
      <c r="R297" s="190"/>
      <c r="S297" s="448"/>
      <c r="T297" s="572" t="s">
        <v>601</v>
      </c>
      <c r="U297" s="572" t="s">
        <v>2588</v>
      </c>
      <c r="W297" s="495" t="s">
        <v>1057</v>
      </c>
      <c r="X297" s="495" t="s">
        <v>3388</v>
      </c>
      <c r="AA297" s="27"/>
      <c r="AB297" s="27"/>
      <c r="AC297" s="1072"/>
      <c r="AD297" s="585"/>
    </row>
    <row r="298" spans="6:30" ht="10.5" customHeight="1">
      <c r="F298" s="644"/>
      <c r="G298" s="1166" t="s">
        <v>1913</v>
      </c>
      <c r="H298" s="1166" t="s">
        <v>1211</v>
      </c>
      <c r="I298" s="1170" t="s">
        <v>1914</v>
      </c>
      <c r="J298" s="1170" t="s">
        <v>2611</v>
      </c>
      <c r="K298" s="1168" t="s">
        <v>1168</v>
      </c>
      <c r="L298" s="1169" t="s">
        <v>423</v>
      </c>
      <c r="M298" s="1340" t="s">
        <v>2598</v>
      </c>
      <c r="N298" s="1340" t="s">
        <v>1320</v>
      </c>
      <c r="O298" s="1600" t="s">
        <v>4434</v>
      </c>
      <c r="P298" s="642" t="s">
        <v>608</v>
      </c>
      <c r="Q298" s="323"/>
      <c r="R298" s="190"/>
      <c r="S298" s="448"/>
      <c r="T298" s="572" t="s">
        <v>2531</v>
      </c>
      <c r="U298" s="572" t="s">
        <v>2590</v>
      </c>
      <c r="W298" s="495" t="s">
        <v>1320</v>
      </c>
      <c r="X298" s="495" t="s">
        <v>3388</v>
      </c>
      <c r="AA298" s="27"/>
      <c r="AB298" s="27"/>
      <c r="AC298" s="1072"/>
      <c r="AD298" s="585"/>
    </row>
    <row r="299" spans="6:30" ht="10.5" customHeight="1">
      <c r="F299" s="644"/>
      <c r="G299" s="1166" t="s">
        <v>1915</v>
      </c>
      <c r="H299" s="1166" t="s">
        <v>1211</v>
      </c>
      <c r="I299" s="1167" t="s">
        <v>1916</v>
      </c>
      <c r="J299" s="1170" t="s">
        <v>2611</v>
      </c>
      <c r="K299" s="1168" t="s">
        <v>1169</v>
      </c>
      <c r="L299" s="1169" t="s">
        <v>423</v>
      </c>
      <c r="M299" s="1340" t="s">
        <v>2598</v>
      </c>
      <c r="N299" s="1340" t="s">
        <v>1205</v>
      </c>
      <c r="O299" s="1600" t="s">
        <v>4435</v>
      </c>
      <c r="P299" s="642" t="s">
        <v>547</v>
      </c>
      <c r="Q299" s="323"/>
      <c r="R299" s="190"/>
      <c r="S299" s="448"/>
      <c r="T299" s="572" t="s">
        <v>605</v>
      </c>
      <c r="U299" s="572" t="s">
        <v>2181</v>
      </c>
      <c r="W299" s="495" t="s">
        <v>179</v>
      </c>
      <c r="X299" s="495" t="s">
        <v>3388</v>
      </c>
      <c r="AA299" s="27"/>
      <c r="AB299" s="27"/>
      <c r="AC299" s="1072"/>
      <c r="AD299" s="585"/>
    </row>
    <row r="300" spans="6:30" ht="10.5" customHeight="1">
      <c r="F300" s="644"/>
      <c r="G300" s="1166" t="s">
        <v>1917</v>
      </c>
      <c r="H300" s="1166" t="s">
        <v>1211</v>
      </c>
      <c r="I300" s="1170" t="s">
        <v>1918</v>
      </c>
      <c r="J300" s="1167" t="s">
        <v>2611</v>
      </c>
      <c r="K300" s="1168" t="s">
        <v>1170</v>
      </c>
      <c r="L300" s="1169" t="s">
        <v>423</v>
      </c>
      <c r="M300" s="1340" t="s">
        <v>2598</v>
      </c>
      <c r="N300" s="1340" t="s">
        <v>1782</v>
      </c>
      <c r="O300" s="1600" t="s">
        <v>4436</v>
      </c>
      <c r="P300" s="642" t="s">
        <v>1156</v>
      </c>
      <c r="Q300" s="323"/>
      <c r="R300" s="190"/>
      <c r="S300" s="448"/>
      <c r="T300" s="572" t="s">
        <v>2852</v>
      </c>
      <c r="U300" s="572" t="s">
        <v>1101</v>
      </c>
      <c r="W300" s="495" t="s">
        <v>1575</v>
      </c>
      <c r="X300" s="495" t="s">
        <v>3388</v>
      </c>
      <c r="AA300" s="27"/>
      <c r="AB300" s="27"/>
      <c r="AC300" s="1072"/>
      <c r="AD300" s="585"/>
    </row>
    <row r="301" spans="6:30" ht="10.5" customHeight="1">
      <c r="F301" s="644"/>
      <c r="G301" s="1166" t="s">
        <v>1919</v>
      </c>
      <c r="H301" s="1166" t="s">
        <v>1211</v>
      </c>
      <c r="I301" s="1170" t="s">
        <v>1320</v>
      </c>
      <c r="J301" s="1170" t="s">
        <v>2612</v>
      </c>
      <c r="K301" s="1168" t="s">
        <v>2578</v>
      </c>
      <c r="L301" s="1169" t="s">
        <v>424</v>
      </c>
      <c r="M301" s="1339" t="s">
        <v>2598</v>
      </c>
      <c r="N301" s="1340" t="s">
        <v>1320</v>
      </c>
      <c r="O301" s="1600" t="s">
        <v>4437</v>
      </c>
      <c r="P301" s="642" t="s">
        <v>747</v>
      </c>
      <c r="Q301" s="323"/>
      <c r="R301" s="190"/>
      <c r="S301" s="448"/>
      <c r="T301" s="572" t="s">
        <v>607</v>
      </c>
      <c r="U301" s="572" t="s">
        <v>1635</v>
      </c>
      <c r="W301" s="495" t="s">
        <v>377</v>
      </c>
      <c r="X301" s="495" t="s">
        <v>3388</v>
      </c>
      <c r="AA301" s="27"/>
      <c r="AB301" s="27"/>
      <c r="AC301" s="1072"/>
      <c r="AD301" s="585"/>
    </row>
    <row r="302" spans="6:30" ht="10.5" customHeight="1">
      <c r="F302" s="644"/>
      <c r="G302" s="1166" t="s">
        <v>1920</v>
      </c>
      <c r="H302" s="1166" t="s">
        <v>1311</v>
      </c>
      <c r="I302" s="1170" t="s">
        <v>1921</v>
      </c>
      <c r="J302" s="1170" t="s">
        <v>2611</v>
      </c>
      <c r="K302" s="1168" t="s">
        <v>1171</v>
      </c>
      <c r="L302" s="1169" t="s">
        <v>423</v>
      </c>
      <c r="M302" s="1340" t="s">
        <v>2598</v>
      </c>
      <c r="N302" s="1339" t="s">
        <v>166</v>
      </c>
      <c r="O302" s="1600" t="s">
        <v>4438</v>
      </c>
      <c r="P302" s="642" t="s">
        <v>36</v>
      </c>
      <c r="Q302" s="323"/>
      <c r="R302" s="190"/>
      <c r="S302" s="448"/>
      <c r="T302" s="572" t="s">
        <v>546</v>
      </c>
      <c r="U302" s="572" t="s">
        <v>659</v>
      </c>
      <c r="W302" s="495" t="s">
        <v>379</v>
      </c>
      <c r="X302" s="495" t="s">
        <v>3388</v>
      </c>
      <c r="AA302" s="27"/>
      <c r="AB302" s="27"/>
      <c r="AC302" s="1072"/>
      <c r="AD302" s="585"/>
    </row>
    <row r="303" spans="6:30" ht="10.5" customHeight="1">
      <c r="F303" s="644"/>
      <c r="G303" s="1166" t="s">
        <v>2005</v>
      </c>
      <c r="H303" s="1166" t="s">
        <v>1211</v>
      </c>
      <c r="I303" s="1167" t="s">
        <v>2006</v>
      </c>
      <c r="J303" s="1170" t="s">
        <v>2611</v>
      </c>
      <c r="K303" s="1168" t="s">
        <v>1172</v>
      </c>
      <c r="L303" s="1169" t="s">
        <v>423</v>
      </c>
      <c r="M303" s="1340" t="s">
        <v>2598</v>
      </c>
      <c r="N303" s="1340" t="s">
        <v>1205</v>
      </c>
      <c r="O303" s="1600" t="s">
        <v>4439</v>
      </c>
      <c r="P303" s="642" t="s">
        <v>1964</v>
      </c>
      <c r="Q303" s="323"/>
      <c r="R303" s="190"/>
      <c r="S303" s="448"/>
      <c r="T303" s="572" t="s">
        <v>548</v>
      </c>
      <c r="U303" s="572" t="s">
        <v>160</v>
      </c>
      <c r="W303" s="495" t="s">
        <v>1607</v>
      </c>
      <c r="X303" s="495" t="s">
        <v>3388</v>
      </c>
      <c r="AA303" s="27"/>
      <c r="AB303" s="27"/>
      <c r="AC303" s="1072"/>
      <c r="AD303" s="585"/>
    </row>
    <row r="304" spans="6:30" ht="10.5" customHeight="1">
      <c r="F304" s="644"/>
      <c r="G304" s="1166" t="s">
        <v>2007</v>
      </c>
      <c r="H304" s="1166" t="s">
        <v>1311</v>
      </c>
      <c r="I304" s="1170" t="s">
        <v>1521</v>
      </c>
      <c r="J304" s="1167" t="s">
        <v>2612</v>
      </c>
      <c r="K304" s="1168" t="s">
        <v>1680</v>
      </c>
      <c r="L304" s="1169" t="s">
        <v>424</v>
      </c>
      <c r="M304" s="1339" t="s">
        <v>2598</v>
      </c>
      <c r="N304" s="1340" t="s">
        <v>1521</v>
      </c>
      <c r="O304" s="1600" t="s">
        <v>4440</v>
      </c>
      <c r="P304" s="642" t="s">
        <v>1966</v>
      </c>
      <c r="Q304" s="323"/>
      <c r="R304" s="190"/>
      <c r="S304" s="448"/>
      <c r="T304" s="572" t="s">
        <v>746</v>
      </c>
      <c r="U304" s="572" t="s">
        <v>1107</v>
      </c>
      <c r="W304" s="495" t="s">
        <v>1088</v>
      </c>
      <c r="X304" s="495" t="s">
        <v>3388</v>
      </c>
      <c r="AA304" s="27"/>
      <c r="AB304" s="27"/>
      <c r="AC304" s="1072"/>
      <c r="AD304" s="585"/>
    </row>
    <row r="305" spans="6:30" ht="10.5" customHeight="1">
      <c r="F305" s="644"/>
      <c r="G305" s="1166" t="s">
        <v>2008</v>
      </c>
      <c r="H305" s="1166" t="s">
        <v>1311</v>
      </c>
      <c r="I305" s="1170" t="s">
        <v>764</v>
      </c>
      <c r="J305" s="1170" t="s">
        <v>2612</v>
      </c>
      <c r="K305" s="1168" t="s">
        <v>2575</v>
      </c>
      <c r="L305" s="1169" t="s">
        <v>424</v>
      </c>
      <c r="M305" s="1339" t="s">
        <v>1196</v>
      </c>
      <c r="N305" s="1339" t="s">
        <v>1205</v>
      </c>
      <c r="O305" s="1600" t="s">
        <v>4441</v>
      </c>
      <c r="P305" s="642" t="s">
        <v>334</v>
      </c>
      <c r="Q305" s="323"/>
      <c r="R305" s="190"/>
      <c r="S305" s="448"/>
      <c r="T305" s="572" t="s">
        <v>748</v>
      </c>
      <c r="U305" s="572" t="s">
        <v>121</v>
      </c>
      <c r="W305" s="495" t="s">
        <v>3383</v>
      </c>
      <c r="X305" s="495" t="s">
        <v>3388</v>
      </c>
      <c r="AA305" s="27"/>
      <c r="AB305" s="27"/>
      <c r="AC305" s="1072"/>
      <c r="AD305" s="585"/>
    </row>
    <row r="306" spans="6:30" ht="10.5" customHeight="1">
      <c r="F306" s="644"/>
      <c r="G306" s="1166" t="s">
        <v>2009</v>
      </c>
      <c r="H306" s="1166" t="s">
        <v>1211</v>
      </c>
      <c r="I306" s="1170" t="s">
        <v>103</v>
      </c>
      <c r="J306" s="1170" t="s">
        <v>2611</v>
      </c>
      <c r="K306" s="1168" t="s">
        <v>1173</v>
      </c>
      <c r="L306" s="1169" t="s">
        <v>423</v>
      </c>
      <c r="M306" s="1340" t="s">
        <v>2598</v>
      </c>
      <c r="N306" s="1339" t="s">
        <v>1696</v>
      </c>
      <c r="O306" s="1600" t="s">
        <v>4442</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1311</v>
      </c>
      <c r="I307" s="1170" t="s">
        <v>105</v>
      </c>
      <c r="J307" s="1170" t="s">
        <v>2611</v>
      </c>
      <c r="K307" s="1168" t="s">
        <v>1174</v>
      </c>
      <c r="L307" s="1169" t="s">
        <v>423</v>
      </c>
      <c r="M307" s="1340" t="s">
        <v>2598</v>
      </c>
      <c r="N307" s="1340" t="s">
        <v>1330</v>
      </c>
      <c r="O307" s="1600" t="s">
        <v>4443</v>
      </c>
      <c r="P307" s="642" t="s">
        <v>338</v>
      </c>
      <c r="Q307" s="323"/>
      <c r="R307" s="190"/>
      <c r="S307" s="448"/>
      <c r="T307" s="572" t="s">
        <v>1965</v>
      </c>
      <c r="U307" s="572" t="s">
        <v>2244</v>
      </c>
      <c r="W307" s="495" t="s">
        <v>521</v>
      </c>
      <c r="X307" s="495" t="s">
        <v>3388</v>
      </c>
      <c r="AA307" s="27"/>
      <c r="AB307" s="27"/>
      <c r="AC307" s="1072"/>
      <c r="AD307" s="585"/>
    </row>
    <row r="308" spans="6:30" ht="10.5" customHeight="1">
      <c r="F308" s="644"/>
      <c r="G308" s="1166" t="s">
        <v>106</v>
      </c>
      <c r="H308" s="1166" t="s">
        <v>1211</v>
      </c>
      <c r="I308" s="1170" t="s">
        <v>107</v>
      </c>
      <c r="J308" s="1170" t="s">
        <v>2611</v>
      </c>
      <c r="K308" s="1168" t="s">
        <v>1175</v>
      </c>
      <c r="L308" s="1169" t="s">
        <v>423</v>
      </c>
      <c r="M308" s="1340" t="s">
        <v>2598</v>
      </c>
      <c r="N308" s="1340" t="s">
        <v>1320</v>
      </c>
      <c r="O308" s="1600" t="s">
        <v>4444</v>
      </c>
      <c r="P308" s="642" t="s">
        <v>340</v>
      </c>
      <c r="Q308" s="323"/>
      <c r="R308" s="190"/>
      <c r="S308" s="448"/>
      <c r="T308" s="572" t="s">
        <v>1967</v>
      </c>
      <c r="U308" s="572" t="s">
        <v>2591</v>
      </c>
      <c r="W308" s="495" t="s">
        <v>523</v>
      </c>
      <c r="X308" s="495" t="s">
        <v>3388</v>
      </c>
      <c r="AA308" s="27"/>
      <c r="AB308" s="27"/>
      <c r="AC308" s="1072"/>
      <c r="AD308" s="585"/>
    </row>
    <row r="309" spans="6:30" ht="10.5" customHeight="1">
      <c r="F309" s="644"/>
      <c r="G309" s="1166" t="s">
        <v>108</v>
      </c>
      <c r="H309" s="1166" t="s">
        <v>1211</v>
      </c>
      <c r="I309" s="1170" t="s">
        <v>109</v>
      </c>
      <c r="J309" s="1170" t="s">
        <v>2611</v>
      </c>
      <c r="K309" s="1168" t="s">
        <v>1176</v>
      </c>
      <c r="L309" s="1169" t="s">
        <v>423</v>
      </c>
      <c r="M309" s="1340" t="s">
        <v>2598</v>
      </c>
      <c r="N309" s="1340" t="s">
        <v>1326</v>
      </c>
      <c r="O309" s="1600" t="s">
        <v>4445</v>
      </c>
      <c r="P309" s="642" t="s">
        <v>342</v>
      </c>
      <c r="Q309" s="323"/>
      <c r="R309" s="190"/>
      <c r="S309" s="448"/>
      <c r="T309" s="572" t="s">
        <v>335</v>
      </c>
      <c r="U309" s="572" t="s">
        <v>1950</v>
      </c>
      <c r="W309" s="495" t="s">
        <v>529</v>
      </c>
      <c r="X309" s="495" t="s">
        <v>3388</v>
      </c>
      <c r="AA309" s="27"/>
      <c r="AB309" s="27"/>
      <c r="AC309" s="1072"/>
      <c r="AD309" s="585"/>
    </row>
    <row r="310" spans="6:30" ht="10.5" customHeight="1">
      <c r="F310" s="644"/>
      <c r="G310" s="1166" t="s">
        <v>110</v>
      </c>
      <c r="H310" s="1166" t="s">
        <v>1211</v>
      </c>
      <c r="I310" s="1170" t="s">
        <v>111</v>
      </c>
      <c r="J310" s="1170" t="s">
        <v>2611</v>
      </c>
      <c r="K310" s="1168" t="s">
        <v>1177</v>
      </c>
      <c r="L310" s="1169" t="s">
        <v>423</v>
      </c>
      <c r="M310" s="1340" t="s">
        <v>2598</v>
      </c>
      <c r="N310" s="1340" t="s">
        <v>161</v>
      </c>
      <c r="O310" s="1600" t="s">
        <v>4446</v>
      </c>
      <c r="P310" s="642" t="s">
        <v>344</v>
      </c>
      <c r="Q310" s="323"/>
      <c r="R310" s="190"/>
      <c r="S310" s="448"/>
      <c r="T310" s="572" t="s">
        <v>337</v>
      </c>
      <c r="U310" s="572" t="s">
        <v>874</v>
      </c>
      <c r="W310" s="495" t="s">
        <v>542</v>
      </c>
      <c r="X310" s="495" t="s">
        <v>3388</v>
      </c>
      <c r="AA310" s="27"/>
      <c r="AB310" s="27"/>
      <c r="AC310" s="1072"/>
      <c r="AD310" s="585"/>
    </row>
    <row r="311" spans="6:30" ht="10.5" customHeight="1">
      <c r="F311" s="644"/>
      <c r="G311" s="1166" t="s">
        <v>112</v>
      </c>
      <c r="H311" s="1166" t="s">
        <v>1211</v>
      </c>
      <c r="I311" s="1170" t="s">
        <v>113</v>
      </c>
      <c r="J311" s="1170" t="s">
        <v>2611</v>
      </c>
      <c r="K311" s="1168" t="s">
        <v>2357</v>
      </c>
      <c r="L311" s="1169" t="s">
        <v>423</v>
      </c>
      <c r="M311" s="1340" t="s">
        <v>2598</v>
      </c>
      <c r="N311" s="1340" t="s">
        <v>1320</v>
      </c>
      <c r="O311" s="1600" t="s">
        <v>4447</v>
      </c>
      <c r="P311" s="642" t="s">
        <v>1940</v>
      </c>
      <c r="Q311" s="323"/>
      <c r="R311" s="190"/>
      <c r="S311" s="448"/>
      <c r="T311" s="572" t="s">
        <v>339</v>
      </c>
      <c r="U311" s="572" t="s">
        <v>179</v>
      </c>
      <c r="W311" s="495" t="s">
        <v>1635</v>
      </c>
      <c r="X311" s="495" t="s">
        <v>3388</v>
      </c>
      <c r="AA311" s="27"/>
      <c r="AB311" s="27"/>
      <c r="AC311" s="1072"/>
      <c r="AD311" s="585"/>
    </row>
    <row r="312" spans="6:30" ht="10.5" customHeight="1">
      <c r="F312" s="644"/>
      <c r="G312" s="1166" t="s">
        <v>114</v>
      </c>
      <c r="H312" s="1166" t="s">
        <v>1311</v>
      </c>
      <c r="I312" s="1170" t="s">
        <v>115</v>
      </c>
      <c r="J312" s="1170" t="s">
        <v>2611</v>
      </c>
      <c r="K312" s="1168" t="s">
        <v>2358</v>
      </c>
      <c r="L312" s="1169" t="s">
        <v>423</v>
      </c>
      <c r="M312" s="1340" t="s">
        <v>2598</v>
      </c>
      <c r="N312" s="1340" t="s">
        <v>166</v>
      </c>
      <c r="O312" s="1600" t="s">
        <v>4448</v>
      </c>
      <c r="P312" s="642" t="s">
        <v>1942</v>
      </c>
      <c r="Q312" s="323"/>
      <c r="R312" s="190"/>
      <c r="S312" s="448"/>
      <c r="T312" s="572" t="s">
        <v>341</v>
      </c>
      <c r="U312" s="572" t="s">
        <v>2399</v>
      </c>
      <c r="W312" s="495" t="s">
        <v>2095</v>
      </c>
      <c r="X312" s="495" t="s">
        <v>3388</v>
      </c>
      <c r="AA312" s="27"/>
      <c r="AB312" s="27"/>
      <c r="AC312" s="1072"/>
      <c r="AD312" s="585"/>
    </row>
    <row r="313" spans="6:30" ht="10.5" customHeight="1">
      <c r="F313" s="644"/>
      <c r="G313" s="1166" t="s">
        <v>1950</v>
      </c>
      <c r="H313" s="1166" t="s">
        <v>1311</v>
      </c>
      <c r="I313" s="1167" t="s">
        <v>335</v>
      </c>
      <c r="J313" s="1170" t="s">
        <v>2612</v>
      </c>
      <c r="K313" s="1168" t="s">
        <v>2359</v>
      </c>
      <c r="L313" s="1169" t="s">
        <v>424</v>
      </c>
      <c r="M313" s="1340" t="s">
        <v>1196</v>
      </c>
      <c r="N313" s="1340" t="s">
        <v>1521</v>
      </c>
      <c r="O313" s="1600" t="s">
        <v>4449</v>
      </c>
      <c r="P313" s="642" t="s">
        <v>2154</v>
      </c>
      <c r="Q313" s="323"/>
      <c r="R313" s="190"/>
      <c r="S313" s="448"/>
      <c r="T313" s="643" t="s">
        <v>343</v>
      </c>
      <c r="U313" s="643" t="s">
        <v>1877</v>
      </c>
      <c r="W313" s="495" t="s">
        <v>3385</v>
      </c>
      <c r="X313" s="495" t="s">
        <v>3388</v>
      </c>
      <c r="AA313" s="27"/>
      <c r="AB313" s="27"/>
      <c r="AC313" s="1072"/>
      <c r="AD313" s="585"/>
    </row>
    <row r="314" spans="6:30" ht="10.5" customHeight="1">
      <c r="F314" s="644"/>
      <c r="G314" s="1166" t="s">
        <v>1951</v>
      </c>
      <c r="H314" s="1166" t="s">
        <v>1211</v>
      </c>
      <c r="I314" s="1170" t="s">
        <v>2396</v>
      </c>
      <c r="J314" s="1167" t="s">
        <v>2611</v>
      </c>
      <c r="K314" s="1168" t="s">
        <v>2360</v>
      </c>
      <c r="L314" s="1169" t="s">
        <v>423</v>
      </c>
      <c r="M314" s="1340" t="s">
        <v>2598</v>
      </c>
      <c r="N314" s="1340" t="s">
        <v>1782</v>
      </c>
      <c r="O314" s="1600" t="s">
        <v>4450</v>
      </c>
      <c r="P314" s="642" t="s">
        <v>153</v>
      </c>
      <c r="Q314" s="323"/>
      <c r="R314" s="190"/>
      <c r="S314" s="448"/>
      <c r="T314" s="572" t="s">
        <v>345</v>
      </c>
      <c r="U314" s="572" t="s">
        <v>175</v>
      </c>
      <c r="W314" s="495" t="s">
        <v>2248</v>
      </c>
      <c r="X314" s="495" t="s">
        <v>3388</v>
      </c>
      <c r="AA314" s="27"/>
      <c r="AB314" s="27"/>
      <c r="AC314" s="1073"/>
      <c r="AD314" s="585"/>
    </row>
    <row r="315" spans="6:30" ht="10.5" customHeight="1">
      <c r="F315" s="644"/>
      <c r="G315" s="1166" t="s">
        <v>2397</v>
      </c>
      <c r="H315" s="1166" t="s">
        <v>1311</v>
      </c>
      <c r="I315" s="1170" t="s">
        <v>2398</v>
      </c>
      <c r="J315" s="1170" t="s">
        <v>2611</v>
      </c>
      <c r="K315" s="1168" t="s">
        <v>421</v>
      </c>
      <c r="L315" s="1169" t="s">
        <v>423</v>
      </c>
      <c r="M315" s="1340" t="s">
        <v>2598</v>
      </c>
      <c r="N315" s="1340" t="s">
        <v>1330</v>
      </c>
      <c r="O315" s="1600" t="s">
        <v>4451</v>
      </c>
      <c r="P315" s="642" t="s">
        <v>154</v>
      </c>
      <c r="Q315" s="323"/>
      <c r="R315" s="190"/>
      <c r="S315" s="448"/>
      <c r="T315" s="572" t="s">
        <v>1941</v>
      </c>
      <c r="U315" s="572" t="s">
        <v>106</v>
      </c>
      <c r="W315" s="495" t="s">
        <v>398</v>
      </c>
      <c r="X315" s="495" t="s">
        <v>3388</v>
      </c>
      <c r="AA315" s="27"/>
      <c r="AB315" s="27"/>
      <c r="AC315" s="1072"/>
      <c r="AD315" s="585"/>
    </row>
    <row r="316" spans="6:30" ht="10.5" customHeight="1">
      <c r="F316" s="644"/>
      <c r="G316" s="1166" t="s">
        <v>2399</v>
      </c>
      <c r="H316" s="1166" t="s">
        <v>1211</v>
      </c>
      <c r="I316" s="1170" t="s">
        <v>2400</v>
      </c>
      <c r="J316" s="1170" t="s">
        <v>2611</v>
      </c>
      <c r="K316" s="1168" t="s">
        <v>422</v>
      </c>
      <c r="L316" s="1169" t="s">
        <v>423</v>
      </c>
      <c r="M316" s="1340" t="s">
        <v>2598</v>
      </c>
      <c r="N316" s="1340" t="s">
        <v>1320</v>
      </c>
      <c r="O316" s="1600" t="s">
        <v>4452</v>
      </c>
      <c r="P316" s="642" t="s">
        <v>1580</v>
      </c>
      <c r="Q316" s="323"/>
      <c r="R316" s="190"/>
      <c r="S316" s="448"/>
      <c r="T316" s="572" t="s">
        <v>195</v>
      </c>
      <c r="U316" s="572" t="s">
        <v>1665</v>
      </c>
      <c r="W316" s="495" t="s">
        <v>1840</v>
      </c>
      <c r="X316" s="495" t="s">
        <v>3388</v>
      </c>
      <c r="AA316" s="27"/>
      <c r="AB316" s="27"/>
      <c r="AC316" s="1072"/>
      <c r="AD316" s="585"/>
    </row>
    <row r="317" spans="6:30" ht="10.5" customHeight="1">
      <c r="F317" s="371"/>
      <c r="G317" s="1166" t="s">
        <v>2401</v>
      </c>
      <c r="H317" s="1166" t="s">
        <v>1211</v>
      </c>
      <c r="I317" s="1170" t="s">
        <v>1782</v>
      </c>
      <c r="J317" s="1170" t="s">
        <v>2612</v>
      </c>
      <c r="K317" s="1168" t="s">
        <v>1161</v>
      </c>
      <c r="L317" s="1169" t="s">
        <v>424</v>
      </c>
      <c r="M317" s="1339" t="s">
        <v>2598</v>
      </c>
      <c r="N317" s="1340" t="s">
        <v>1782</v>
      </c>
      <c r="O317" s="1600" t="s">
        <v>4453</v>
      </c>
      <c r="P317" s="642" t="s">
        <v>790</v>
      </c>
      <c r="Q317" s="323"/>
      <c r="R317" s="190"/>
      <c r="S317" s="448"/>
      <c r="T317" s="572" t="s">
        <v>2155</v>
      </c>
      <c r="U317" s="572" t="s">
        <v>195</v>
      </c>
      <c r="W317" s="495" t="s">
        <v>2272</v>
      </c>
      <c r="X317" s="495" t="s">
        <v>3388</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3388</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2009</v>
      </c>
      <c r="W321" s="495" t="s">
        <v>2120</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2122</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2568</v>
      </c>
      <c r="U328" s="572" t="s">
        <v>666</v>
      </c>
      <c r="W328" s="495" t="s">
        <v>1103</v>
      </c>
      <c r="X328" s="495" t="s">
        <v>3388</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3388</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3388</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1930</v>
      </c>
      <c r="U338" s="572" t="s">
        <v>1453</v>
      </c>
      <c r="W338" s="495" t="s">
        <v>2268</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3388</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2570</v>
      </c>
      <c r="U345" s="572" t="s">
        <v>2172</v>
      </c>
      <c r="W345" s="495" t="s">
        <v>1326</v>
      </c>
      <c r="X345" s="495" t="s">
        <v>3388</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2571</v>
      </c>
      <c r="U346" s="572" t="s">
        <v>2530</v>
      </c>
      <c r="W346" s="495" t="s">
        <v>1072</v>
      </c>
      <c r="X346" s="495" t="s">
        <v>3388</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3388</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2513</v>
      </c>
      <c r="U348" s="572" t="s">
        <v>199</v>
      </c>
      <c r="W348" s="495" t="s">
        <v>1888</v>
      </c>
      <c r="X348" s="495" t="s">
        <v>3388</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4744</v>
      </c>
      <c r="U350" s="643" t="s">
        <v>664</v>
      </c>
      <c r="W350" s="495" t="s">
        <v>1155</v>
      </c>
      <c r="X350" s="495" t="s">
        <v>3388</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3388</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2488</v>
      </c>
      <c r="W354" s="495" t="s">
        <v>939</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3388</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3388</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3388</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2585</v>
      </c>
      <c r="W361" s="495" t="s">
        <v>2125</v>
      </c>
      <c r="X361" s="495" t="s">
        <v>3388</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3388</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2527</v>
      </c>
      <c r="W363" s="495" t="s">
        <v>2127</v>
      </c>
      <c r="X363" s="495" t="s">
        <v>3388</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2572</v>
      </c>
      <c r="U364" s="572" t="s">
        <v>2172</v>
      </c>
      <c r="W364" s="495" t="s">
        <v>2332</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2334</v>
      </c>
      <c r="X365" s="495" t="s">
        <v>3388</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3388</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2007</v>
      </c>
      <c r="W368" s="495" t="s">
        <v>1686</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3388</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3388</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3388</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2363</v>
      </c>
      <c r="U378" s="572" t="s">
        <v>2480</v>
      </c>
      <c r="W378" s="495" t="s">
        <v>1709</v>
      </c>
      <c r="X378" s="495" t="s">
        <v>3388</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3388</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3388</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1878</v>
      </c>
      <c r="W388" s="495" t="s">
        <v>2383</v>
      </c>
      <c r="X388" s="495" t="s">
        <v>3388</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3388</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2591</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2482</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2590</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2865</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2583</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2588</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2486</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2590</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2485</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2530</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1888</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2535</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2873</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2501</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42578125" style="742" bestFit="1" customWidth="1"/>
    <col min="8" max="8" width="12.42578125" style="742" bestFit="1" customWidth="1"/>
    <col min="9" max="9" width="14.42578125" style="742" bestFit="1" customWidth="1"/>
    <col min="10" max="10" width="12.42578125" style="742" bestFit="1" customWidth="1"/>
    <col min="11" max="15" width="13" style="742" bestFit="1" customWidth="1"/>
    <col min="16" max="16" width="12.42578125" style="742" bestFit="1" customWidth="1"/>
    <col min="17" max="357" width="9.42578125" style="742" bestFit="1" customWidth="1"/>
    <col min="358" max="16384" width="9.140625" style="742"/>
  </cols>
  <sheetData>
    <row r="1" spans="1:1" ht="15.75">
      <c r="A1" s="2717" t="s">
        <v>979</v>
      </c>
    </row>
    <row r="2" spans="1:1" ht="16.5">
      <c r="A2" s="1644" t="str">
        <f>'Part I-Project Information'!F34</f>
        <v>Enclave at Milledgeville</v>
      </c>
    </row>
    <row r="3" spans="1:1" ht="16.5">
      <c r="A3" s="1644" t="str">
        <f>CONCATENATE('Part I-Project Information'!F38,", ", 'Part I-Project Information'!J39," County")</f>
        <v>Milledgeville, Baldwin County</v>
      </c>
    </row>
    <row r="5" spans="1:1" ht="12.75" customHeight="1">
      <c r="A5" s="1682" t="str">
        <f>'Project Narrative'!$A$5</f>
        <v xml:space="preserve">Enclave at Milledgeville is a proposed (76-unit) affordable housing redevelopment for families, located at 1498 South Jefferson Street, Milledgeville, Georgia 31061. This project consists of 10 garden style buildings and is located on 8.572 acres of land. The redevelopment plan will focus on a holistic, sustainable real estate development model that will emphasize energy efficiency, healthier resident lifestyles through design and housing that is economically self-sustainable. Once completed, Enclave at Milledgeville will create a community friendly development that will benefit its residents and the surrounding neighborhood. Redevelopment will include an extensive renovation of existing multi-family units and amenity spaces consisting of one- to three-bedroom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5138</v>
      </c>
      <c r="H28" s="1647"/>
      <c r="I28" s="1647"/>
      <c r="J28" s="1647"/>
      <c r="K28" s="1647"/>
      <c r="L28" s="1651"/>
      <c r="M28" s="1647"/>
      <c r="N28" s="1647"/>
      <c r="O28" s="1647"/>
      <c r="P28" s="1657" t="s">
        <v>3871</v>
      </c>
    </row>
    <row r="29" spans="1:16" ht="14.25" customHeight="1">
      <c r="A29" s="1647"/>
      <c r="B29" s="2718" t="str">
        <f>'Part I-Project Information'!B6</f>
        <v>May 2019 Final</v>
      </c>
      <c r="C29" s="2718">
        <f>'Part I-Project Information'!C6</f>
        <v>0</v>
      </c>
      <c r="D29" s="2718">
        <f>'Part I-Project Information'!D6</f>
        <v>0</v>
      </c>
      <c r="E29" s="1636"/>
      <c r="F29" s="1651"/>
      <c r="G29" s="1649" t="s">
        <v>5139</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3799</v>
      </c>
      <c r="G32" s="1647"/>
      <c r="H32" s="1647"/>
      <c r="I32" s="1655">
        <f>'Part I-Project Information'!I9</f>
        <v>512639</v>
      </c>
      <c r="J32" s="1655">
        <f>'Part I-Project Information'!J9</f>
        <v>0</v>
      </c>
      <c r="K32" s="1647"/>
      <c r="L32" s="1647" t="s">
        <v>3800</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3714</v>
      </c>
      <c r="J34" s="1647" t="s">
        <v>5140</v>
      </c>
      <c r="K34" s="1647"/>
      <c r="L34" s="1651"/>
      <c r="M34" s="1647"/>
      <c r="N34" s="1647"/>
      <c r="O34" s="1647" t="str">
        <f>'Part I-Project Information'!$O$11</f>
        <v>2019PA-563</v>
      </c>
      <c r="P34" s="1647"/>
    </row>
    <row r="35" spans="1:16" ht="13.5">
      <c r="A35" s="1651"/>
      <c r="B35" s="1665"/>
      <c r="C35" s="1665"/>
      <c r="D35" s="1665"/>
      <c r="E35" s="1665"/>
      <c r="F35" s="1647"/>
      <c r="G35" s="1647"/>
      <c r="H35" s="1651"/>
      <c r="I35" s="1647"/>
      <c r="J35" s="1649" t="s">
        <v>5093</v>
      </c>
      <c r="K35" s="1654"/>
      <c r="L35" s="1647"/>
      <c r="M35" s="1651"/>
      <c r="N35" s="1647"/>
      <c r="O35" s="1647" t="str">
        <f>'Part I-Project Information'!$O$12</f>
        <v>Yes - see Comment</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3872</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t="str">
        <f>'Part I-Project Information'!O15</f>
        <v>N/A</v>
      </c>
      <c r="P38" s="1647">
        <f>'Part I-Project Information'!P15</f>
        <v>0</v>
      </c>
    </row>
    <row r="39" spans="1:16" ht="13.5">
      <c r="A39" s="1651"/>
      <c r="B39" s="1647" t="s">
        <v>3798</v>
      </c>
      <c r="C39" s="1647"/>
      <c r="D39" s="1647"/>
      <c r="E39" s="1647"/>
      <c r="F39" s="1729">
        <f>'Part I-Project Information'!F16</f>
        <v>0</v>
      </c>
      <c r="G39" s="1647" t="s">
        <v>5041</v>
      </c>
      <c r="H39" s="1651"/>
      <c r="I39" s="1652"/>
      <c r="J39" s="1654"/>
      <c r="K39" s="1647"/>
      <c r="L39" s="1647"/>
      <c r="M39" s="1647"/>
      <c r="N39" s="1710">
        <f>'Part I-Project Information'!N16</f>
        <v>0</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3881</v>
      </c>
      <c r="C43" s="1647"/>
      <c r="D43" s="1647"/>
      <c r="E43" s="1647"/>
      <c r="F43" s="1647" t="str">
        <f>'Part I-Project Information'!F20</f>
        <v>Housing Development Corporation</v>
      </c>
      <c r="G43" s="1647">
        <f>'Part I-Project Information'!G20</f>
        <v>0</v>
      </c>
      <c r="H43" s="1647">
        <f>'Part I-Project Information'!H20</f>
        <v>0</v>
      </c>
      <c r="I43" s="1647" t="s">
        <v>1797</v>
      </c>
      <c r="J43" s="1647" t="str">
        <f>'Part I-Project Information'!J20</f>
        <v>E. P. Walker, Jr.</v>
      </c>
      <c r="K43" s="1647">
        <f>'Part I-Project Information'!K20</f>
        <v>0</v>
      </c>
      <c r="L43" s="1647">
        <f>'Part I-Project Information'!L20</f>
        <v>0</v>
      </c>
      <c r="M43" s="1654" t="s">
        <v>1980</v>
      </c>
      <c r="N43" s="1647" t="str">
        <f>'Part I-Project Information'!N20</f>
        <v>President &amp; CEO</v>
      </c>
      <c r="O43" s="1647">
        <f>'Part I-Project Information'!O20</f>
        <v>0</v>
      </c>
      <c r="P43" s="1647">
        <f>'Part I-Project Information'!P20</f>
        <v>0</v>
      </c>
    </row>
    <row r="44" spans="1:16" ht="12.75" customHeight="1">
      <c r="A44" s="1647"/>
      <c r="B44" s="1654" t="s">
        <v>1981</v>
      </c>
      <c r="C44" s="1647"/>
      <c r="D44" s="1647"/>
      <c r="E44" s="1647"/>
      <c r="F44" s="1647" t="str">
        <f>'Part I-Project Information'!F21</f>
        <v>750 Commerce Dr., Suite 110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3880</v>
      </c>
      <c r="N44" s="1659"/>
      <c r="O44" s="1659"/>
      <c r="P44" s="1659"/>
    </row>
    <row r="45" spans="1:16" ht="12.75" customHeight="1">
      <c r="A45" s="1647"/>
      <c r="B45" s="1654" t="s">
        <v>618</v>
      </c>
      <c r="C45" s="1647"/>
      <c r="D45" s="1647"/>
      <c r="E45" s="1647"/>
      <c r="F45" s="1647" t="str">
        <f>'Part I-Project Information'!F22</f>
        <v>Decatur</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c r="A46" s="1647"/>
      <c r="B46" s="1654" t="s">
        <v>2229</v>
      </c>
      <c r="C46" s="1647"/>
      <c r="D46" s="1647"/>
      <c r="E46" s="1647"/>
      <c r="F46" s="2115">
        <f>'Part I-Project Information'!F23</f>
        <v>300302612</v>
      </c>
      <c r="G46" s="2115">
        <f>'Part I-Project Information'!G23</f>
        <v>0</v>
      </c>
      <c r="H46" s="2115">
        <f>'Part I-Project Information'!H23</f>
        <v>0</v>
      </c>
      <c r="I46" s="1654" t="s">
        <v>1720</v>
      </c>
      <c r="J46" s="2116">
        <f>'Part I-Project Information'!J23</f>
        <v>4704408610</v>
      </c>
      <c r="K46" s="2116">
        <f>'Part I-Project Information'!K23</f>
        <v>0</v>
      </c>
      <c r="L46" s="1651" t="s">
        <v>1719</v>
      </c>
      <c r="M46" s="1651">
        <f>'Part I-Project Information'!M23</f>
        <v>0</v>
      </c>
      <c r="N46" s="1654" t="s">
        <v>1721</v>
      </c>
      <c r="O46" s="2116">
        <f>'Part I-Project Information'!O23</f>
        <v>4042702503</v>
      </c>
      <c r="P46" s="2116">
        <f>'Part I-Project Information'!P23</f>
        <v>0</v>
      </c>
    </row>
    <row r="47" spans="1:16">
      <c r="A47" s="1647"/>
      <c r="B47" s="1654" t="s">
        <v>1984</v>
      </c>
      <c r="C47" s="1647"/>
      <c r="D47" s="1647"/>
      <c r="E47" s="1647"/>
      <c r="F47" s="1647" t="str">
        <f>'Part I-Project Information'!F24</f>
        <v>pete.walker@dekalbhousing.org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4042702633</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3881</v>
      </c>
      <c r="C49" s="1647"/>
      <c r="D49" s="1647"/>
      <c r="E49" s="1647"/>
      <c r="F49" s="1647">
        <f>'Part I-Project Information'!F26</f>
        <v>0</v>
      </c>
      <c r="G49" s="1647">
        <f>'Part I-Project Information'!G26</f>
        <v>0</v>
      </c>
      <c r="H49" s="1647">
        <f>'Part I-Project Information'!H26</f>
        <v>0</v>
      </c>
      <c r="I49" s="1647" t="s">
        <v>1797</v>
      </c>
      <c r="J49" s="1647">
        <f>'Part I-Project Information'!J26</f>
        <v>0</v>
      </c>
      <c r="K49" s="1647">
        <f>'Part I-Project Information'!K26</f>
        <v>0</v>
      </c>
      <c r="L49" s="1647">
        <f>'Part I-Project Information'!L26</f>
        <v>0</v>
      </c>
      <c r="M49" s="1654" t="s">
        <v>1980</v>
      </c>
      <c r="N49" s="1647">
        <f>'Part I-Project Information'!N26</f>
        <v>0</v>
      </c>
      <c r="O49" s="1647">
        <f>'Part I-Project Information'!O26</f>
        <v>0</v>
      </c>
      <c r="P49" s="1647">
        <f>'Part I-Project Information'!P26</f>
        <v>0</v>
      </c>
    </row>
    <row r="50" spans="1:16" ht="12.75" customHeight="1">
      <c r="A50" s="1647"/>
      <c r="B50" s="1654" t="s">
        <v>1981</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3880</v>
      </c>
      <c r="N50" s="1659"/>
      <c r="O50" s="1659"/>
      <c r="P50" s="1659"/>
    </row>
    <row r="51" spans="1:16" ht="12.75" customHeight="1">
      <c r="A51" s="1647"/>
      <c r="B51" s="1654" t="s">
        <v>618</v>
      </c>
      <c r="C51" s="1647"/>
      <c r="D51" s="1647"/>
      <c r="E51" s="1647"/>
      <c r="F51" s="1647">
        <f>'Part I-Project Information'!F28</f>
        <v>0</v>
      </c>
      <c r="G51" s="1647">
        <f>'Part I-Project Information'!G28</f>
        <v>0</v>
      </c>
      <c r="H51" s="1647">
        <f>'Part I-Project Information'!H28</f>
        <v>0</v>
      </c>
      <c r="I51" s="1654" t="s">
        <v>1799</v>
      </c>
      <c r="J51" s="1680">
        <f>'Part I-Project Information'!J28</f>
        <v>0</v>
      </c>
      <c r="K51" s="1647"/>
      <c r="L51" s="1647"/>
      <c r="M51" s="1659"/>
      <c r="N51" s="1659"/>
      <c r="O51" s="1659"/>
      <c r="P51" s="1659"/>
    </row>
    <row r="52" spans="1:16">
      <c r="A52" s="1647"/>
      <c r="B52" s="1654" t="s">
        <v>2229</v>
      </c>
      <c r="C52" s="1647"/>
      <c r="D52" s="1647"/>
      <c r="E52" s="1647"/>
      <c r="F52" s="2115">
        <f>'Part I-Project Information'!F29</f>
        <v>0</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0</v>
      </c>
      <c r="P52" s="2116">
        <f>'Part I-Project Information'!P29</f>
        <v>0</v>
      </c>
    </row>
    <row r="53" spans="1:16">
      <c r="A53" s="1647"/>
      <c r="B53" s="1654" t="s">
        <v>1984</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Enclave at Milledgeville</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2698</v>
      </c>
      <c r="C58" s="1647"/>
      <c r="D58" s="1657"/>
      <c r="E58" s="1647"/>
      <c r="F58" s="2023" t="str">
        <f>'Part I-Project Information'!F35</f>
        <v>1498 S. Jefferson St.</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t="str">
        <f>'Part I-Project Information'!O35</f>
        <v>N/A</v>
      </c>
      <c r="P58" s="1647">
        <f>'Part I-Project Information'!P35</f>
        <v>0</v>
      </c>
    </row>
    <row r="59" spans="1:16">
      <c r="A59" s="1657"/>
      <c r="B59" s="1647" t="s">
        <v>5094</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1</v>
      </c>
    </row>
    <row r="60" spans="1:16">
      <c r="A60" s="1657"/>
      <c r="B60" s="1647" t="s">
        <v>3737</v>
      </c>
      <c r="C60" s="1647"/>
      <c r="D60" s="1657"/>
      <c r="E60" s="1647"/>
      <c r="F60" s="1647" t="s">
        <v>3716</v>
      </c>
      <c r="G60" s="2117">
        <f>'Part I-Project Information'!G37</f>
        <v>33.058079999999997</v>
      </c>
      <c r="H60" s="2117">
        <f>'Part I-Project Information'!H37</f>
        <v>0</v>
      </c>
      <c r="I60" s="1651" t="s">
        <v>3717</v>
      </c>
      <c r="J60" s="2117">
        <f>'Part I-Project Information'!J37</f>
        <v>-83.218540000000004</v>
      </c>
      <c r="K60" s="2117">
        <f>'Part I-Project Information'!K37</f>
        <v>0</v>
      </c>
      <c r="L60" s="1654" t="s">
        <v>2283</v>
      </c>
      <c r="M60" s="1647"/>
      <c r="N60" s="1647"/>
      <c r="O60" s="2118">
        <f>'Part I-Project Information'!O37</f>
        <v>8.5719999999999992</v>
      </c>
      <c r="P60" s="2118">
        <f>'Part I-Project Information'!P37</f>
        <v>0</v>
      </c>
    </row>
    <row r="61" spans="1:16" ht="16.5">
      <c r="A61" s="1651"/>
      <c r="B61" s="1647" t="s">
        <v>618</v>
      </c>
      <c r="C61" s="1647"/>
      <c r="D61" s="1647"/>
      <c r="E61" s="1647"/>
      <c r="F61" s="1647" t="str">
        <f>'Part I-Project Information'!F38</f>
        <v>Milledgeville</v>
      </c>
      <c r="G61" s="1647">
        <f>'Part I-Project Information'!G38</f>
        <v>0</v>
      </c>
      <c r="H61" s="1647">
        <f>'Part I-Project Information'!H38</f>
        <v>0</v>
      </c>
      <c r="I61" s="1661" t="s">
        <v>5141</v>
      </c>
      <c r="J61" s="2115">
        <f>'Part I-Project Information'!J38</f>
        <v>310614053</v>
      </c>
      <c r="K61" s="2115">
        <f>'Part I-Project Information'!K38</f>
        <v>0</v>
      </c>
      <c r="L61" s="1647" t="str">
        <f>IF(AND(NOT(F57=""),NOT(F61="Select from list"),J61=""),"Enter Zip!","")</f>
        <v/>
      </c>
      <c r="M61" s="1662" t="s">
        <v>2905</v>
      </c>
      <c r="N61" s="1647"/>
      <c r="O61" s="2119" t="str">
        <f>'Part I-Project Information'!O38</f>
        <v>9707</v>
      </c>
      <c r="P61" s="2120">
        <f>'Part I-Project Information'!P38</f>
        <v>0</v>
      </c>
    </row>
    <row r="62" spans="1:16">
      <c r="A62" s="1651"/>
      <c r="B62" s="1647" t="s">
        <v>3568</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Baldwin</v>
      </c>
      <c r="K62" s="2023"/>
      <c r="L62" s="1647"/>
      <c r="M62" s="1654" t="s">
        <v>451</v>
      </c>
      <c r="N62" s="1664" t="str">
        <f>'Part I-Project Information'!N39</f>
        <v>Yes</v>
      </c>
      <c r="O62" s="1651" t="s">
        <v>452</v>
      </c>
      <c r="P62" s="1664" t="str">
        <f>'Part I-Project Information'!P39</f>
        <v>Yes</v>
      </c>
    </row>
    <row r="63" spans="1:16">
      <c r="A63" s="1651"/>
      <c r="B63" s="1647"/>
      <c r="C63" s="1647" t="s">
        <v>1558</v>
      </c>
      <c r="D63" s="1647"/>
      <c r="E63" s="1647"/>
      <c r="F63" s="1654" t="str">
        <f>'Part I-Project Information'!F40</f>
        <v>Yes</v>
      </c>
      <c r="G63" s="1647" t="s">
        <v>2780</v>
      </c>
      <c r="H63" s="1647"/>
      <c r="I63" s="1651" t="str">
        <f>'Part I-Project Information'!I40</f>
        <v>Yes</v>
      </c>
      <c r="J63" s="1651" t="s">
        <v>2800</v>
      </c>
      <c r="K63" s="1651" t="str">
        <f>'Part I-Project Information'!K40</f>
        <v>Rural</v>
      </c>
      <c r="L63" s="1647"/>
      <c r="M63" s="1654" t="s">
        <v>2610</v>
      </c>
      <c r="N63" s="1651" t="str">
        <f>'Part I-Project Information'!N40</f>
        <v>Non-MSA</v>
      </c>
      <c r="O63" s="1647" t="str">
        <f>'Part I-Project Information'!O40</f>
        <v>Baldwin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5142</v>
      </c>
      <c r="D65" s="1647"/>
      <c r="E65" s="1647"/>
      <c r="F65" s="1665" t="s">
        <v>2761</v>
      </c>
      <c r="G65" s="1665"/>
      <c r="H65" s="1647" t="s">
        <v>736</v>
      </c>
      <c r="I65" s="1647"/>
      <c r="J65" s="1647" t="s">
        <v>737</v>
      </c>
      <c r="K65" s="1647"/>
      <c r="L65" s="1787" t="s">
        <v>5143</v>
      </c>
      <c r="M65" s="1647"/>
      <c r="N65" s="1647"/>
      <c r="O65" s="1647"/>
      <c r="P65" s="1647"/>
    </row>
    <row r="66" spans="1:16">
      <c r="A66" s="1651"/>
      <c r="B66" s="1647" t="s">
        <v>5095</v>
      </c>
      <c r="C66" s="1647"/>
      <c r="D66" s="1647"/>
      <c r="E66" s="1647"/>
      <c r="F66" s="2121">
        <f>'Part I-Project Information'!F43</f>
        <v>10</v>
      </c>
      <c r="G66" s="2121">
        <f>'Part I-Project Information'!G43</f>
        <v>0</v>
      </c>
      <c r="H66" s="2121">
        <f>'Part I-Project Information'!H43</f>
        <v>25</v>
      </c>
      <c r="I66" s="2121">
        <f>'Part I-Project Information'!I43</f>
        <v>0</v>
      </c>
      <c r="J66" s="2121">
        <f>'Part I-Project Information'!J43</f>
        <v>145</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Baldwin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www.baldwincountyga.com</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Emily C. Davis</v>
      </c>
      <c r="G70" s="1779">
        <f>'Part I-Project Information'!G47</f>
        <v>0</v>
      </c>
      <c r="H70" s="1779">
        <f>'Part I-Project Information'!H47</f>
        <v>0</v>
      </c>
      <c r="I70" s="1651" t="s">
        <v>1980</v>
      </c>
      <c r="J70" s="1647" t="str">
        <f>'Part I-Project Information'!J47</f>
        <v>District 1 Commissioner</v>
      </c>
      <c r="K70" s="1647">
        <f>'Part I-Project Information'!K47</f>
        <v>0</v>
      </c>
      <c r="L70" s="1669"/>
      <c r="M70" s="1647"/>
      <c r="N70" s="1647"/>
      <c r="O70" s="1647"/>
      <c r="P70" s="1647"/>
    </row>
    <row r="71" spans="1:16">
      <c r="A71" s="1651"/>
      <c r="B71" s="1647" t="s">
        <v>1981</v>
      </c>
      <c r="C71" s="1647"/>
      <c r="D71" s="1647"/>
      <c r="E71" s="1647"/>
      <c r="F71" s="1779" t="str">
        <f>'Part I-Project Information'!F48</f>
        <v>121 N. Wilkinson Street, Suite 314</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Milledgeville</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310613376</v>
      </c>
      <c r="G72" s="2115">
        <f>'Part I-Project Information'!G49</f>
        <v>0</v>
      </c>
      <c r="H72" s="1651" t="s">
        <v>1982</v>
      </c>
      <c r="I72" s="2116">
        <f>'Part I-Project Information'!I49</f>
        <v>4784517105</v>
      </c>
      <c r="J72" s="2116">
        <f>'Part I-Project Information'!J49</f>
        <v>0</v>
      </c>
      <c r="K72" s="2116">
        <f>'Part I-Project Information'!K49</f>
        <v>0</v>
      </c>
      <c r="L72" s="1654" t="s">
        <v>1800</v>
      </c>
      <c r="M72" s="1779" t="str">
        <f>'Part I-Project Information'!M49</f>
        <v>ecdavis@baldwincountyga.com</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5096</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0</v>
      </c>
      <c r="I77" s="1653"/>
      <c r="J77" s="1653"/>
      <c r="K77" s="1654" t="s">
        <v>3673</v>
      </c>
      <c r="L77" s="1647"/>
      <c r="M77" s="1673" t="s">
        <v>3672</v>
      </c>
      <c r="N77" s="1672">
        <f>'Part VI-Revenues &amp; Expenses'!$O$110</f>
        <v>0</v>
      </c>
      <c r="O77" s="1674" t="s">
        <v>3356</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76</v>
      </c>
      <c r="I79" s="1676" t="s">
        <v>2909</v>
      </c>
      <c r="J79" s="1647"/>
      <c r="K79" s="1647" t="s">
        <v>348</v>
      </c>
      <c r="L79" s="1647"/>
      <c r="M79" s="1647"/>
      <c r="N79" s="1647"/>
      <c r="O79" s="1647"/>
      <c r="P79" s="2122">
        <f>'Part I-Project Information'!P56</f>
        <v>27196</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c r="A84" s="1651"/>
      <c r="B84" s="1680"/>
      <c r="C84" s="1653" t="s">
        <v>2277</v>
      </c>
      <c r="D84" s="1647"/>
      <c r="E84" s="1647"/>
      <c r="F84" s="1647"/>
      <c r="G84" s="1647"/>
      <c r="H84" s="1681">
        <f>SUM(H85:H91)</f>
        <v>76</v>
      </c>
      <c r="I84" s="1681">
        <f>SUM(I85:I91)</f>
        <v>76</v>
      </c>
      <c r="J84" s="1651"/>
      <c r="K84" s="1653" t="s">
        <v>2772</v>
      </c>
      <c r="L84" s="1647"/>
      <c r="M84" s="1647"/>
      <c r="N84" s="1647"/>
      <c r="O84" s="1647"/>
      <c r="P84" s="1681">
        <f>SUM(P85:P91)</f>
        <v>64272</v>
      </c>
    </row>
    <row r="85" spans="1:16">
      <c r="A85" s="1651"/>
      <c r="B85" s="1680"/>
      <c r="C85" s="1653"/>
      <c r="D85" s="1665" t="s">
        <v>4716</v>
      </c>
      <c r="E85" s="1647"/>
      <c r="F85" s="1647"/>
      <c r="G85" s="1647"/>
      <c r="H85" s="1681">
        <f>'Part VI-Revenues &amp; Expenses'!$O$56</f>
        <v>0</v>
      </c>
      <c r="I85" s="1681">
        <f>'Part VI-Revenues &amp; Expenses'!$O$81</f>
        <v>0</v>
      </c>
      <c r="J85" s="1651"/>
      <c r="K85" s="1653"/>
      <c r="L85" s="1665" t="s">
        <v>4716</v>
      </c>
      <c r="M85" s="1647"/>
      <c r="N85" s="1647"/>
      <c r="O85" s="1647"/>
      <c r="P85" s="1681">
        <f>'Part VI-Revenues &amp; Expenses'!$O$145</f>
        <v>0</v>
      </c>
    </row>
    <row r="86" spans="1:16">
      <c r="A86" s="1651"/>
      <c r="B86" s="1680"/>
      <c r="C86" s="1653"/>
      <c r="D86" s="1665" t="s">
        <v>4717</v>
      </c>
      <c r="E86" s="1647"/>
      <c r="F86" s="1647"/>
      <c r="G86" s="1647"/>
      <c r="H86" s="1681">
        <f>'Part VI-Revenues &amp; Expenses'!$O$57</f>
        <v>0</v>
      </c>
      <c r="I86" s="1681">
        <f>'Part VI-Revenues &amp; Expenses'!$O$82</f>
        <v>0</v>
      </c>
      <c r="J86" s="1651"/>
      <c r="K86" s="1653"/>
      <c r="L86" s="1665" t="s">
        <v>4717</v>
      </c>
      <c r="M86" s="1647"/>
      <c r="N86" s="1647"/>
      <c r="O86" s="1647"/>
      <c r="P86" s="1681">
        <f>'Part VI-Revenues &amp; Expenses'!$O$146</f>
        <v>0</v>
      </c>
    </row>
    <row r="87" spans="1:16">
      <c r="A87" s="1651"/>
      <c r="B87" s="1653"/>
      <c r="C87" s="1647"/>
      <c r="D87" s="1665" t="s">
        <v>4714</v>
      </c>
      <c r="E87" s="1665"/>
      <c r="F87" s="1647"/>
      <c r="G87" s="1647"/>
      <c r="H87" s="1681">
        <f>'Part VI-Revenues &amp; Expenses'!$O$58</f>
        <v>76</v>
      </c>
      <c r="I87" s="1681">
        <f>'Part VI-Revenues &amp; Expenses'!$O$83</f>
        <v>76</v>
      </c>
      <c r="J87" s="1647"/>
      <c r="K87" s="1647"/>
      <c r="L87" s="1665" t="s">
        <v>4714</v>
      </c>
      <c r="M87" s="1647"/>
      <c r="N87" s="1647"/>
      <c r="O87" s="1647"/>
      <c r="P87" s="1681">
        <f>'Part VI-Revenues &amp; Expenses'!$O$147</f>
        <v>64272</v>
      </c>
    </row>
    <row r="88" spans="1:16">
      <c r="A88" s="1651"/>
      <c r="B88" s="1647"/>
      <c r="C88" s="1647"/>
      <c r="D88" s="1665" t="s">
        <v>4715</v>
      </c>
      <c r="E88" s="1647"/>
      <c r="F88" s="1647"/>
      <c r="G88" s="1647"/>
      <c r="H88" s="1681">
        <f>'Part VI-Revenues &amp; Expenses'!$O$59</f>
        <v>0</v>
      </c>
      <c r="I88" s="1681">
        <f>'Part VI-Revenues &amp; Expenses'!$O$84</f>
        <v>0</v>
      </c>
      <c r="J88" s="1647"/>
      <c r="K88" s="1647"/>
      <c r="L88" s="1665" t="s">
        <v>4715</v>
      </c>
      <c r="M88" s="1647"/>
      <c r="N88" s="1647"/>
      <c r="O88" s="1647"/>
      <c r="P88" s="1681">
        <f>'Part VI-Revenues &amp; Expenses'!$O$148</f>
        <v>0</v>
      </c>
    </row>
    <row r="89" spans="1:16">
      <c r="A89" s="1651"/>
      <c r="B89" s="1647"/>
      <c r="C89" s="1647"/>
      <c r="D89" s="1665" t="s">
        <v>4718</v>
      </c>
      <c r="E89" s="1665"/>
      <c r="F89" s="1647"/>
      <c r="G89" s="1647"/>
      <c r="H89" s="1681">
        <f>'Part VI-Revenues &amp; Expenses'!$O$60</f>
        <v>0</v>
      </c>
      <c r="I89" s="1681">
        <f>'Part VI-Revenues &amp; Expenses'!$O$85</f>
        <v>0</v>
      </c>
      <c r="J89" s="1647"/>
      <c r="K89" s="1647"/>
      <c r="L89" s="1665" t="s">
        <v>4718</v>
      </c>
      <c r="M89" s="1647"/>
      <c r="N89" s="1647"/>
      <c r="O89" s="1647"/>
      <c r="P89" s="1681">
        <f>'Part VI-Revenues &amp; Expenses'!$O$149</f>
        <v>0</v>
      </c>
    </row>
    <row r="90" spans="1:16">
      <c r="A90" s="1651"/>
      <c r="B90" s="1647"/>
      <c r="C90" s="1647"/>
      <c r="D90" s="1665" t="s">
        <v>4719</v>
      </c>
      <c r="E90" s="1665"/>
      <c r="F90" s="1647"/>
      <c r="G90" s="1647"/>
      <c r="H90" s="1681">
        <f>'Part VI-Revenues &amp; Expenses'!$O$61</f>
        <v>0</v>
      </c>
      <c r="I90" s="1681">
        <f>'Part VI-Revenues &amp; Expenses'!$O$86</f>
        <v>0</v>
      </c>
      <c r="J90" s="1647"/>
      <c r="K90" s="1647"/>
      <c r="L90" s="1665" t="s">
        <v>4719</v>
      </c>
      <c r="M90" s="1647"/>
      <c r="N90" s="1647"/>
      <c r="O90" s="1647"/>
      <c r="P90" s="1681">
        <f>'Part VI-Revenues &amp; Expenses'!$O$150</f>
        <v>0</v>
      </c>
    </row>
    <row r="91" spans="1:16">
      <c r="A91" s="1651"/>
      <c r="B91" s="1647"/>
      <c r="C91" s="1647"/>
      <c r="D91" s="1665" t="s">
        <v>4720</v>
      </c>
      <c r="E91" s="1665"/>
      <c r="F91" s="1647"/>
      <c r="G91" s="1647"/>
      <c r="H91" s="1681">
        <f>'Part VI-Revenues &amp; Expenses'!$O$62</f>
        <v>0</v>
      </c>
      <c r="I91" s="1681">
        <f>'Part VI-Revenues &amp; Expenses'!$O$87</f>
        <v>0</v>
      </c>
      <c r="J91" s="1647"/>
      <c r="K91" s="1647"/>
      <c r="L91" s="1665" t="s">
        <v>4720</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c r="A93" s="1651"/>
      <c r="B93" s="1647"/>
      <c r="C93" s="1653" t="s">
        <v>2407</v>
      </c>
      <c r="D93" s="1647"/>
      <c r="E93" s="1647"/>
      <c r="F93" s="1647"/>
      <c r="G93" s="1647"/>
      <c r="H93" s="1681">
        <f>H84+H92</f>
        <v>76</v>
      </c>
      <c r="I93" s="1647"/>
      <c r="J93" s="1651"/>
      <c r="K93" s="1653" t="s">
        <v>2774</v>
      </c>
      <c r="L93" s="1647"/>
      <c r="M93" s="1647"/>
      <c r="N93" s="1647"/>
      <c r="O93" s="1647"/>
      <c r="P93" s="1681">
        <f>P84+P92</f>
        <v>64272</v>
      </c>
    </row>
    <row r="94" spans="1:16">
      <c r="A94" s="1651"/>
      <c r="B94" s="1647"/>
      <c r="C94" s="1653" t="s">
        <v>2408</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c r="A95" s="1651"/>
      <c r="B95" s="1647"/>
      <c r="C95" s="1653" t="s">
        <v>1793</v>
      </c>
      <c r="D95" s="1647"/>
      <c r="E95" s="1647"/>
      <c r="F95" s="1647"/>
      <c r="G95" s="1647"/>
      <c r="H95" s="1681">
        <f>+H93+H94</f>
        <v>76</v>
      </c>
      <c r="I95" s="1647"/>
      <c r="J95" s="1647"/>
      <c r="K95" s="1653" t="s">
        <v>1420</v>
      </c>
      <c r="L95" s="1647"/>
      <c r="M95" s="1647"/>
      <c r="N95" s="1647"/>
      <c r="O95" s="1647"/>
      <c r="P95" s="1681">
        <f>+P93+P94</f>
        <v>64272</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10</v>
      </c>
      <c r="I97" s="1647"/>
      <c r="J97" s="1647"/>
      <c r="K97" s="1653" t="s">
        <v>5144</v>
      </c>
      <c r="L97" s="1647"/>
      <c r="M97" s="1647"/>
      <c r="N97" s="1647"/>
      <c r="O97" s="1647"/>
      <c r="P97" s="1681">
        <f>'Part I-Project Information'!P74</f>
        <v>1230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65502</v>
      </c>
    </row>
    <row r="99" spans="1:16">
      <c r="A99" s="1651"/>
      <c r="B99" s="1651"/>
      <c r="C99" s="1647"/>
      <c r="D99" s="1680" t="s">
        <v>1998</v>
      </c>
      <c r="E99" s="1647"/>
      <c r="F99" s="1647"/>
      <c r="G99" s="1647"/>
      <c r="H99" s="1681">
        <f>+H97+H98</f>
        <v>10</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2842</v>
      </c>
      <c r="D101" s="1647"/>
      <c r="E101" s="1647"/>
      <c r="F101" s="1647"/>
      <c r="G101" s="1647"/>
      <c r="H101" s="1681">
        <f>'Part I-Project Information'!H78</f>
        <v>121</v>
      </c>
      <c r="I101" s="1647"/>
      <c r="J101" s="1647"/>
      <c r="K101" s="1682" t="s">
        <v>3855</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4493</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2910</v>
      </c>
      <c r="M107" s="1681">
        <f>'Part I-Project Information'!M84</f>
        <v>76</v>
      </c>
      <c r="N107" s="1685" t="s">
        <v>2911</v>
      </c>
      <c r="O107" s="1681">
        <f>'Part I-Project Information'!O84</f>
        <v>0</v>
      </c>
      <c r="P107" s="1654" t="s">
        <v>4964</v>
      </c>
    </row>
    <row r="108" spans="1:16">
      <c r="A108" s="1651"/>
      <c r="B108" s="1651"/>
      <c r="C108" s="1647"/>
      <c r="D108" s="1654"/>
      <c r="E108" s="1680"/>
      <c r="F108" s="1647"/>
      <c r="G108" s="1647"/>
      <c r="H108" s="1647"/>
      <c r="I108" s="1647"/>
      <c r="J108" s="1682"/>
      <c r="K108" s="1682"/>
      <c r="L108" s="1657" t="s">
        <v>2912</v>
      </c>
      <c r="M108" s="1681">
        <f>'Part I-Project Information'!M85</f>
        <v>0</v>
      </c>
      <c r="N108" s="1657" t="s">
        <v>3876</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4941</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2707</v>
      </c>
      <c r="D123" s="1647"/>
      <c r="E123" s="1647"/>
      <c r="F123" s="1665" t="s">
        <v>2599</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Yes</v>
      </c>
      <c r="I124" s="1647"/>
      <c r="J124" s="1647"/>
      <c r="K124" s="1654" t="s">
        <v>4732</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2708</v>
      </c>
      <c r="D126" s="1647"/>
      <c r="E126" s="1647"/>
      <c r="F126" s="1654" t="s">
        <v>2678</v>
      </c>
      <c r="G126" s="1647"/>
      <c r="H126" s="1651" t="str">
        <f>'Part I-Project Information'!H103</f>
        <v>No</v>
      </c>
      <c r="I126" s="1689" t="s">
        <v>2709</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Milledgeville and Sparta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43948</v>
      </c>
      <c r="P132" s="2123">
        <f>'Part I-Project Information'!P109</f>
        <v>0</v>
      </c>
    </row>
    <row r="133" spans="1:16">
      <c r="A133" s="1647"/>
      <c r="B133" s="1647"/>
      <c r="C133" s="1654" t="s">
        <v>1021</v>
      </c>
      <c r="D133" s="1657"/>
      <c r="E133" s="1647" t="str">
        <f>'Part I-Project Information'!E110</f>
        <v>545 West Martin Luther King Jr. Dr.</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Milledgeville</v>
      </c>
      <c r="F134" s="1665">
        <f>'Part I-Project Information'!F111</f>
        <v>0</v>
      </c>
      <c r="G134" s="1665">
        <f>'Part I-Project Information'!G111</f>
        <v>0</v>
      </c>
      <c r="H134" s="1651" t="s">
        <v>1799</v>
      </c>
      <c r="I134" s="1654" t="str">
        <f>'Part I-Project Information'!I111</f>
        <v>GA</v>
      </c>
      <c r="J134" s="1651" t="s">
        <v>2229</v>
      </c>
      <c r="K134" s="2115">
        <f>'Part I-Project Information'!K111</f>
        <v>310612740</v>
      </c>
      <c r="L134" s="1665">
        <f>'Part I-Project Information'!L111</f>
        <v>0</v>
      </c>
      <c r="M134" s="1653" t="s">
        <v>3663</v>
      </c>
      <c r="N134" s="1653"/>
      <c r="O134" s="1766">
        <f>'Part I-Project Information'!O111</f>
        <v>13000000</v>
      </c>
      <c r="P134" s="1766">
        <f>'Part I-Project Information'!P111</f>
        <v>0</v>
      </c>
    </row>
    <row r="135" spans="1:16">
      <c r="A135" s="1647"/>
      <c r="B135" s="1647"/>
      <c r="C135" s="1647" t="s">
        <v>2194</v>
      </c>
      <c r="D135" s="1647"/>
      <c r="E135" s="1647" t="str">
        <f>'Part I-Project Information'!E112</f>
        <v>John Corcoran</v>
      </c>
      <c r="F135" s="1665">
        <f>'Part I-Project Information'!F112</f>
        <v>0</v>
      </c>
      <c r="G135" s="1665">
        <f>'Part I-Project Information'!G112</f>
        <v>0</v>
      </c>
      <c r="H135" s="1651" t="s">
        <v>1980</v>
      </c>
      <c r="I135" s="1647" t="str">
        <f>'Part I-Project Information'!I112</f>
        <v>Interim Executive Director</v>
      </c>
      <c r="J135" s="1665">
        <f>'Part I-Project Information'!J112</f>
        <v>0</v>
      </c>
      <c r="K135" s="1665">
        <f>'Part I-Project Information'!K112</f>
        <v>0</v>
      </c>
      <c r="L135" s="1651" t="s">
        <v>1984</v>
      </c>
      <c r="M135" s="1647" t="str">
        <f>'Part I-Project Information'!M112</f>
        <v>jcorcoran@mhahomes.org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4784452880</v>
      </c>
      <c r="F136" s="2116">
        <f>'Part I-Project Information'!F113</f>
        <v>0</v>
      </c>
      <c r="G136" s="2116">
        <f>'Part I-Project Information'!G113</f>
        <v>0</v>
      </c>
      <c r="H136" s="1651" t="s">
        <v>1802</v>
      </c>
      <c r="I136" s="2116">
        <f>'Part I-Project Information'!I113</f>
        <v>4784452880</v>
      </c>
      <c r="J136" s="1665">
        <f>'Part I-Project Information'!J113</f>
        <v>0</v>
      </c>
      <c r="K136" s="1651" t="s">
        <v>2703</v>
      </c>
      <c r="L136" s="2023" t="str">
        <f>'Part I-Project Information'!L113</f>
        <v>www.mhahomes.org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999607</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t="str">
        <f>'Part I-Project Information'!C125</f>
        <v>Housing Authority of DeKalb County</v>
      </c>
      <c r="D148" s="1710">
        <f>'Part I-Project Information'!D125</f>
        <v>0</v>
      </c>
      <c r="E148" s="1710">
        <f>'Part I-Project Information'!E125</f>
        <v>0</v>
      </c>
      <c r="F148" s="1710" t="str">
        <f>'Part I-Project Information'!F125</f>
        <v>Veranda at Assembly</v>
      </c>
      <c r="G148" s="1710">
        <f>'Part I-Project Information'!G125</f>
        <v>0</v>
      </c>
      <c r="H148" s="1710">
        <f>'Part I-Project Information'!H125</f>
        <v>0</v>
      </c>
      <c r="I148" s="2133" t="str">
        <f>'Part I-Project Information'!I125</f>
        <v>Indirect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5097</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2419</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2420</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2418</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2700</v>
      </c>
      <c r="D175" s="1680"/>
      <c r="E175" s="1665" t="s">
        <v>5145</v>
      </c>
      <c r="F175" s="1665"/>
      <c r="G175" s="1665"/>
      <c r="H175" s="1647"/>
      <c r="I175" s="1661" t="str">
        <f>'Part I-Project Information'!I152</f>
        <v>Yes</v>
      </c>
      <c r="J175" s="1647"/>
      <c r="K175" s="1665" t="s">
        <v>5059</v>
      </c>
      <c r="L175" s="1665"/>
      <c r="M175" s="1665"/>
      <c r="N175" s="1647"/>
      <c r="O175" s="1661" t="str">
        <f>'Part I-Project Information'!O152</f>
        <v>Yes</v>
      </c>
      <c r="P175" s="1660"/>
    </row>
    <row r="176" spans="1:16">
      <c r="A176" s="1651"/>
      <c r="B176" s="1647"/>
      <c r="C176" s="1680"/>
      <c r="D176" s="1680"/>
      <c r="E176" s="1665" t="s">
        <v>5146</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5056</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5088</v>
      </c>
      <c r="D184" s="1682"/>
      <c r="E184" s="1682"/>
      <c r="F184" s="1682"/>
      <c r="G184" s="1647" t="s">
        <v>4785</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4784</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4786</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4730</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4731</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4787</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2701</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2702</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2752</v>
      </c>
      <c r="K199" s="1647"/>
      <c r="L199" s="1647" t="s">
        <v>4496</v>
      </c>
      <c r="M199" s="1647"/>
      <c r="N199" s="1654"/>
      <c r="O199" s="1654"/>
      <c r="P199" s="1681">
        <f>'Part I-Project Information'!P176</f>
        <v>76</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73</v>
      </c>
    </row>
    <row r="201" spans="1:16">
      <c r="A201" s="1651"/>
      <c r="B201" s="1651"/>
      <c r="C201" s="1647"/>
      <c r="D201" s="1647"/>
      <c r="E201" s="1647"/>
      <c r="F201" s="1647"/>
      <c r="G201" s="1647"/>
      <c r="H201" s="1647"/>
      <c r="I201" s="1647"/>
      <c r="J201" s="1647"/>
      <c r="K201" s="1647"/>
      <c r="L201" s="1647" t="s">
        <v>1791</v>
      </c>
      <c r="M201" s="1647"/>
      <c r="N201" s="1680"/>
      <c r="O201" s="1680"/>
      <c r="P201" s="2721">
        <f>IF(P199="","",P200/P199)</f>
        <v>0.96052631578947367</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Yes</v>
      </c>
      <c r="J204" s="1647"/>
      <c r="K204" s="1647"/>
      <c r="L204" s="1647" t="s">
        <v>2845</v>
      </c>
      <c r="M204" s="1647"/>
      <c r="N204" s="1647"/>
      <c r="O204" s="1647"/>
      <c r="P204" s="1661" t="str">
        <f>'Part I-Project Information'!P181</f>
        <v>No</v>
      </c>
    </row>
    <row r="205" spans="1:16" ht="13.5">
      <c r="A205" s="1651"/>
      <c r="B205" s="1647"/>
      <c r="C205" s="1647" t="s">
        <v>2721</v>
      </c>
      <c r="D205" s="1647"/>
      <c r="E205" s="1647"/>
      <c r="F205" s="1647"/>
      <c r="G205" s="1647"/>
      <c r="H205" s="1647"/>
      <c r="I205" s="1661" t="str">
        <f>'Part I-Project Information'!I182</f>
        <v>No</v>
      </c>
      <c r="J205" s="1647"/>
      <c r="K205" s="1647"/>
      <c r="L205" s="1647" t="s">
        <v>2689</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44105</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44197</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2781</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GP entity name has been changed from HDC Milledgveville Manor GP, LLC to HDC Enclave at Milledgeville GP, LLC. A second GP, HADC Enclave at Milledgeville GP, LLC (affiliated with the Housing Authority of DeKalb County), has been added in the org structure. Certifying for both GP entities is E. P. Walker, Jr. Revised Perf. WB has been included under folder 19 Qualification.</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Enclave at Milledgeville,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HDC Milledgeville Manor LP</v>
      </c>
      <c r="I223" s="1665"/>
      <c r="J223" s="1665"/>
      <c r="K223" s="1665"/>
      <c r="L223" s="1665"/>
      <c r="M223" s="1665"/>
      <c r="N223" s="1665"/>
      <c r="O223" s="1654" t="s">
        <v>1989</v>
      </c>
      <c r="P223" s="1654"/>
      <c r="Q223" s="1647" t="str">
        <f>'Part II-Development Team'!Q5</f>
        <v xml:space="preserve">E. P. Walker, Jr. </v>
      </c>
      <c r="R223" s="1665"/>
      <c r="S223" s="1665"/>
    </row>
    <row r="224" spans="1:19">
      <c r="A224" s="1647"/>
      <c r="B224" s="1647"/>
      <c r="C224" s="1647"/>
      <c r="D224" s="1663"/>
      <c r="E224" s="1654" t="s">
        <v>1021</v>
      </c>
      <c r="F224" s="1657"/>
      <c r="G224" s="1647"/>
      <c r="H224" s="1647" t="str">
        <f>'Part II-Development Team'!H6</f>
        <v>750 Commerce Dr., Suite 110</v>
      </c>
      <c r="I224" s="1665"/>
      <c r="J224" s="1665"/>
      <c r="K224" s="1665"/>
      <c r="L224" s="1665"/>
      <c r="M224" s="1665"/>
      <c r="N224" s="1665"/>
      <c r="O224" s="1654" t="s">
        <v>1747</v>
      </c>
      <c r="P224" s="1647"/>
      <c r="Q224" s="1647" t="str">
        <f>'Part II-Development Team'!Q6</f>
        <v>President &amp; CEO</v>
      </c>
      <c r="R224" s="1665"/>
      <c r="S224" s="1665"/>
    </row>
    <row r="225" spans="1:19">
      <c r="A225" s="1647"/>
      <c r="B225" s="1647"/>
      <c r="C225" s="1647"/>
      <c r="D225" s="1663"/>
      <c r="E225" s="1654" t="s">
        <v>618</v>
      </c>
      <c r="F225" s="1647"/>
      <c r="G225" s="1647"/>
      <c r="H225" s="1647" t="str">
        <f>'Part II-Development Team'!H7</f>
        <v>Decatur</v>
      </c>
      <c r="I225" s="1665"/>
      <c r="J225" s="1665"/>
      <c r="K225" s="1651" t="s">
        <v>762</v>
      </c>
      <c r="L225" s="1647" t="str">
        <f>'Part II-Development Team'!L7</f>
        <v>85-0526911</v>
      </c>
      <c r="M225" s="1665"/>
      <c r="N225" s="1665"/>
      <c r="O225" s="1654" t="s">
        <v>1721</v>
      </c>
      <c r="P225" s="1647"/>
      <c r="Q225" s="1647">
        <f>'Part II-Development Team'!Q7</f>
        <v>4042702503</v>
      </c>
      <c r="R225" s="1665"/>
      <c r="S225" s="1665"/>
    </row>
    <row r="226" spans="1:19">
      <c r="A226" s="1647"/>
      <c r="B226" s="1647"/>
      <c r="C226" s="1647"/>
      <c r="D226" s="1663"/>
      <c r="E226" s="1654" t="s">
        <v>1799</v>
      </c>
      <c r="F226" s="1647"/>
      <c r="G226" s="1647"/>
      <c r="H226" s="1654" t="str">
        <f>'Part II-Development Team'!H8</f>
        <v>GA</v>
      </c>
      <c r="I226" s="1651" t="s">
        <v>2229</v>
      </c>
      <c r="J226" s="2115">
        <f>'Part II-Development Team'!J8</f>
        <v>300302612</v>
      </c>
      <c r="K226" s="1665"/>
      <c r="L226" s="1647" t="s">
        <v>3687</v>
      </c>
      <c r="M226" s="1647" t="str">
        <f>'Part II-Development Team'!M8</f>
        <v>For Profit</v>
      </c>
      <c r="N226" s="1647"/>
      <c r="O226" s="1654" t="s">
        <v>1979</v>
      </c>
      <c r="P226" s="1647"/>
      <c r="Q226" s="1647">
        <f>'Part II-Development Team'!Q8</f>
        <v>4042702633</v>
      </c>
      <c r="R226" s="1665"/>
      <c r="S226" s="1665"/>
    </row>
    <row r="227" spans="1:19">
      <c r="A227" s="1647"/>
      <c r="B227" s="1647"/>
      <c r="C227" s="1647"/>
      <c r="D227" s="1663"/>
      <c r="E227" s="1654" t="s">
        <v>4259</v>
      </c>
      <c r="F227" s="1647"/>
      <c r="G227" s="1647"/>
      <c r="H227" s="2116">
        <f>'Part II-Development Team'!H9</f>
        <v>4704408610</v>
      </c>
      <c r="I227" s="2116"/>
      <c r="J227" s="1661">
        <f>'Part II-Development Team'!J9</f>
        <v>0</v>
      </c>
      <c r="K227" s="1651" t="s">
        <v>1984</v>
      </c>
      <c r="L227" s="2023" t="str">
        <f>'Part II-Development Team'!L9</f>
        <v>pete.walker@dekalbhousing.org</v>
      </c>
      <c r="M227" s="2023"/>
      <c r="N227" s="2023"/>
      <c r="O227" s="2023"/>
      <c r="P227" s="2023"/>
      <c r="Q227" s="2023"/>
      <c r="R227" s="2023"/>
      <c r="S227" s="2023"/>
    </row>
    <row r="228" spans="1:19" ht="13.5">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HDC Enclave at Milledgeville GP, LLC</v>
      </c>
      <c r="I232" s="1665"/>
      <c r="J232" s="1665"/>
      <c r="K232" s="1665"/>
      <c r="L232" s="1665"/>
      <c r="M232" s="1665"/>
      <c r="N232" s="1665"/>
      <c r="O232" s="1654" t="s">
        <v>1989</v>
      </c>
      <c r="P232" s="1654"/>
      <c r="Q232" s="1647" t="str">
        <f>'Part II-Development Team'!Q14</f>
        <v>E. P. Walker, Jr.</v>
      </c>
      <c r="R232" s="1665"/>
      <c r="S232" s="1665"/>
    </row>
    <row r="233" spans="1:19">
      <c r="A233" s="1647"/>
      <c r="B233" s="1647"/>
      <c r="C233" s="1647"/>
      <c r="D233" s="1663"/>
      <c r="E233" s="1654" t="s">
        <v>1021</v>
      </c>
      <c r="F233" s="1657"/>
      <c r="G233" s="1647"/>
      <c r="H233" s="1647" t="str">
        <f>'Part II-Development Team'!H15</f>
        <v>750 Commerce Dr., Suite 110</v>
      </c>
      <c r="I233" s="1665"/>
      <c r="J233" s="1665"/>
      <c r="K233" s="1665"/>
      <c r="L233" s="1665"/>
      <c r="M233" s="1665"/>
      <c r="N233" s="1665"/>
      <c r="O233" s="1654" t="s">
        <v>1747</v>
      </c>
      <c r="P233" s="1647"/>
      <c r="Q233" s="1647" t="str">
        <f>'Part II-Development Team'!Q15</f>
        <v>President &amp; CEO</v>
      </c>
      <c r="R233" s="1665"/>
      <c r="S233" s="1665"/>
    </row>
    <row r="234" spans="1:19">
      <c r="A234" s="1647"/>
      <c r="B234" s="1647"/>
      <c r="C234" s="1647"/>
      <c r="D234" s="1663"/>
      <c r="E234" s="1654" t="s">
        <v>618</v>
      </c>
      <c r="F234" s="1647"/>
      <c r="G234" s="1647"/>
      <c r="H234" s="1647" t="str">
        <f>'Part II-Development Team'!H16</f>
        <v>Decatur</v>
      </c>
      <c r="I234" s="1665"/>
      <c r="J234" s="1665"/>
      <c r="K234" s="1651" t="s">
        <v>2703</v>
      </c>
      <c r="L234" s="1647" t="str">
        <f>'Part II-Development Team'!L16</f>
        <v>N/A</v>
      </c>
      <c r="M234" s="1665"/>
      <c r="N234" s="1665"/>
      <c r="O234" s="1654" t="s">
        <v>1721</v>
      </c>
      <c r="P234" s="1647"/>
      <c r="Q234" s="2116">
        <f>'Part II-Development Team'!Q16</f>
        <v>4042702503</v>
      </c>
      <c r="R234" s="2116"/>
      <c r="S234" s="2116"/>
    </row>
    <row r="235" spans="1:19">
      <c r="A235" s="1647"/>
      <c r="B235" s="1647"/>
      <c r="C235" s="1647"/>
      <c r="D235" s="1647"/>
      <c r="E235" s="1654" t="s">
        <v>1799</v>
      </c>
      <c r="F235" s="1647"/>
      <c r="G235" s="1647"/>
      <c r="H235" s="1654" t="str">
        <f>'Part II-Development Team'!H17</f>
        <v>GA</v>
      </c>
      <c r="I235" s="1647"/>
      <c r="J235" s="1647"/>
      <c r="K235" s="1651" t="s">
        <v>2229</v>
      </c>
      <c r="L235" s="2115">
        <f>'Part II-Development Team'!L17</f>
        <v>300302612</v>
      </c>
      <c r="M235" s="1665"/>
      <c r="N235" s="1647"/>
      <c r="O235" s="1654" t="s">
        <v>1979</v>
      </c>
      <c r="P235" s="1647"/>
      <c r="Q235" s="2116">
        <f>'Part II-Development Team'!Q17</f>
        <v>4042702633</v>
      </c>
      <c r="R235" s="2116"/>
      <c r="S235" s="2116"/>
    </row>
    <row r="236" spans="1:19">
      <c r="A236" s="1647"/>
      <c r="B236" s="1647"/>
      <c r="C236" s="1647"/>
      <c r="D236" s="1663"/>
      <c r="E236" s="1654" t="s">
        <v>4259</v>
      </c>
      <c r="F236" s="1647"/>
      <c r="G236" s="1647"/>
      <c r="H236" s="2116">
        <f>'Part II-Development Team'!H18</f>
        <v>4704408610</v>
      </c>
      <c r="I236" s="2116"/>
      <c r="J236" s="1661">
        <f>'Part II-Development Team'!J18</f>
        <v>0</v>
      </c>
      <c r="K236" s="1651" t="s">
        <v>1984</v>
      </c>
      <c r="L236" s="2023" t="str">
        <f>'Part II-Development Team'!L18</f>
        <v>pete.walker@dekalbhousing.org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t="str">
        <f>'Part II-Development Team'!Q20</f>
        <v>E. P. Walker, Jr.</v>
      </c>
      <c r="R238" s="1665"/>
      <c r="S238" s="1665"/>
    </row>
    <row r="239" spans="1:19">
      <c r="A239" s="1647"/>
      <c r="B239" s="1647"/>
      <c r="C239" s="1647"/>
      <c r="D239" s="1663"/>
      <c r="E239" s="1654" t="s">
        <v>1021</v>
      </c>
      <c r="F239" s="1657"/>
      <c r="G239" s="1647"/>
      <c r="H239" s="1647" t="str">
        <f>'Part II-Development Team'!H21</f>
        <v>750 Commerce Dr., Suite 110</v>
      </c>
      <c r="I239" s="1665"/>
      <c r="J239" s="1665"/>
      <c r="K239" s="1665"/>
      <c r="L239" s="1665"/>
      <c r="M239" s="1665"/>
      <c r="N239" s="1665"/>
      <c r="O239" s="1654" t="s">
        <v>1747</v>
      </c>
      <c r="P239" s="1647"/>
      <c r="Q239" s="1647" t="str">
        <f>'Part II-Development Team'!Q21</f>
        <v>Presdient &amp; CEO</v>
      </c>
      <c r="R239" s="1665"/>
      <c r="S239" s="1665"/>
    </row>
    <row r="240" spans="1:19">
      <c r="A240" s="1647"/>
      <c r="B240" s="1647"/>
      <c r="C240" s="1647"/>
      <c r="D240" s="1663"/>
      <c r="E240" s="1654" t="s">
        <v>618</v>
      </c>
      <c r="F240" s="1647"/>
      <c r="G240" s="1647"/>
      <c r="H240" s="1647" t="str">
        <f>'Part II-Development Team'!H22</f>
        <v>Decatur</v>
      </c>
      <c r="I240" s="1665"/>
      <c r="J240" s="1665"/>
      <c r="K240" s="1651" t="s">
        <v>2703</v>
      </c>
      <c r="L240" s="1647" t="str">
        <f>'Part II-Development Team'!L22</f>
        <v>N/A</v>
      </c>
      <c r="M240" s="1665"/>
      <c r="N240" s="1665"/>
      <c r="O240" s="1654" t="s">
        <v>1721</v>
      </c>
      <c r="P240" s="1647"/>
      <c r="Q240" s="2116">
        <f>'Part II-Development Team'!Q22</f>
        <v>4042702503</v>
      </c>
      <c r="R240" s="2116"/>
      <c r="S240" s="2116"/>
    </row>
    <row r="241" spans="1:19">
      <c r="A241" s="1647"/>
      <c r="B241" s="1647"/>
      <c r="C241" s="1647"/>
      <c r="D241" s="1647"/>
      <c r="E241" s="1654" t="s">
        <v>1799</v>
      </c>
      <c r="F241" s="1647"/>
      <c r="G241" s="1647"/>
      <c r="H241" s="1654" t="str">
        <f>'Part II-Development Team'!H23</f>
        <v>GA</v>
      </c>
      <c r="I241" s="1647"/>
      <c r="J241" s="1647"/>
      <c r="K241" s="1651" t="s">
        <v>2229</v>
      </c>
      <c r="L241" s="2115">
        <f>'Part II-Development Team'!L23</f>
        <v>300302612</v>
      </c>
      <c r="M241" s="1665"/>
      <c r="N241" s="1647"/>
      <c r="O241" s="1654" t="s">
        <v>1979</v>
      </c>
      <c r="P241" s="1647"/>
      <c r="Q241" s="2116">
        <f>'Part II-Development Team'!Q23</f>
        <v>4042702633</v>
      </c>
      <c r="R241" s="2116"/>
      <c r="S241" s="2116"/>
    </row>
    <row r="242" spans="1:19">
      <c r="A242" s="1647"/>
      <c r="B242" s="1647"/>
      <c r="C242" s="1647"/>
      <c r="D242" s="1663"/>
      <c r="E242" s="1654" t="s">
        <v>4259</v>
      </c>
      <c r="F242" s="1647"/>
      <c r="G242" s="1647"/>
      <c r="H242" s="2116">
        <f>'Part II-Development Team'!H24</f>
        <v>4704408610</v>
      </c>
      <c r="I242" s="2116"/>
      <c r="J242" s="1661">
        <f>'Part II-Development Team'!J24</f>
        <v>0</v>
      </c>
      <c r="K242" s="1651" t="s">
        <v>1984</v>
      </c>
      <c r="L242" s="2023" t="str">
        <f>'Part II-Development Team'!L24</f>
        <v>pete.walker@dekalbhousing.org</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2703</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RBC Capital Markets</v>
      </c>
      <c r="I251" s="1665"/>
      <c r="J251" s="1665"/>
      <c r="K251" s="1665"/>
      <c r="L251" s="1665"/>
      <c r="M251" s="1665"/>
      <c r="N251" s="1665"/>
      <c r="O251" s="1654" t="s">
        <v>1989</v>
      </c>
      <c r="P251" s="1654"/>
      <c r="Q251" s="1647" t="str">
        <f>'Part II-Development Team'!Q33</f>
        <v>Brian Flanagan</v>
      </c>
      <c r="R251" s="1665"/>
      <c r="S251" s="1665"/>
    </row>
    <row r="252" spans="1:19">
      <c r="A252" s="1647"/>
      <c r="B252" s="1647"/>
      <c r="C252" s="1647"/>
      <c r="D252" s="1663"/>
      <c r="E252" s="1654" t="s">
        <v>1021</v>
      </c>
      <c r="F252" s="1657"/>
      <c r="G252" s="1647"/>
      <c r="H252" s="1647" t="str">
        <f>'Part II-Development Team'!H34</f>
        <v>4720 Piedmont Row Drive, Suite 240</v>
      </c>
      <c r="I252" s="1665"/>
      <c r="J252" s="1665"/>
      <c r="K252" s="1665"/>
      <c r="L252" s="1665"/>
      <c r="M252" s="1665"/>
      <c r="N252" s="1665"/>
      <c r="O252" s="1654" t="s">
        <v>1747</v>
      </c>
      <c r="P252" s="1647"/>
      <c r="Q252" s="1647" t="str">
        <f>'Part II-Development Team'!Q34</f>
        <v>Director - Acquisitions</v>
      </c>
      <c r="R252" s="1665"/>
      <c r="S252" s="1665"/>
    </row>
    <row r="253" spans="1:19">
      <c r="A253" s="1647"/>
      <c r="B253" s="1647"/>
      <c r="C253" s="1647"/>
      <c r="D253" s="1663"/>
      <c r="E253" s="1654" t="s">
        <v>618</v>
      </c>
      <c r="F253" s="1647"/>
      <c r="G253" s="1647"/>
      <c r="H253" s="1647" t="str">
        <f>'Part II-Development Team'!H35</f>
        <v>Charlotte</v>
      </c>
      <c r="I253" s="1665"/>
      <c r="J253" s="1665"/>
      <c r="K253" s="1651" t="s">
        <v>2703</v>
      </c>
      <c r="L253" s="1647" t="str">
        <f>'Part II-Development Team'!L35</f>
        <v>www.rbccm.com</v>
      </c>
      <c r="M253" s="1665"/>
      <c r="N253" s="1665"/>
      <c r="O253" s="1654" t="s">
        <v>1721</v>
      </c>
      <c r="P253" s="1647"/>
      <c r="Q253" s="2116">
        <f>'Part II-Development Team'!Q35</f>
        <v>9802336462</v>
      </c>
      <c r="R253" s="2116"/>
      <c r="S253" s="2116"/>
    </row>
    <row r="254" spans="1:19">
      <c r="A254" s="1647"/>
      <c r="B254" s="1647"/>
      <c r="C254" s="1647"/>
      <c r="D254" s="1647"/>
      <c r="E254" s="1654" t="s">
        <v>1799</v>
      </c>
      <c r="F254" s="1647"/>
      <c r="G254" s="1647"/>
      <c r="H254" s="1654" t="str">
        <f>'Part II-Development Team'!H36</f>
        <v>NC</v>
      </c>
      <c r="I254" s="1647"/>
      <c r="J254" s="1647"/>
      <c r="K254" s="1651" t="s">
        <v>2229</v>
      </c>
      <c r="L254" s="2115">
        <f>'Part II-Development Team'!L36</f>
        <v>282104272</v>
      </c>
      <c r="M254" s="1665"/>
      <c r="N254" s="1647"/>
      <c r="O254" s="1654" t="s">
        <v>1979</v>
      </c>
      <c r="P254" s="1647"/>
      <c r="Q254" s="2116">
        <f>'Part II-Development Team'!Q36</f>
        <v>7044918511</v>
      </c>
      <c r="R254" s="2116"/>
      <c r="S254" s="2116"/>
    </row>
    <row r="255" spans="1:19">
      <c r="A255" s="1647"/>
      <c r="B255" s="1647"/>
      <c r="C255" s="1647"/>
      <c r="D255" s="1663"/>
      <c r="E255" s="1654" t="s">
        <v>4259</v>
      </c>
      <c r="F255" s="1647"/>
      <c r="G255" s="1647"/>
      <c r="H255" s="2116">
        <f>'Part II-Development Team'!H37</f>
        <v>9802336500</v>
      </c>
      <c r="I255" s="2116"/>
      <c r="J255" s="1661">
        <f>'Part II-Development Team'!J37</f>
        <v>0</v>
      </c>
      <c r="K255" s="1651" t="s">
        <v>1984</v>
      </c>
      <c r="L255" s="2023" t="str">
        <f>'Part II-Development Team'!L37</f>
        <v>brian.flanagan@rbc.com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RBC Capital Markets</v>
      </c>
      <c r="I257" s="1665"/>
      <c r="J257" s="1665"/>
      <c r="K257" s="1665"/>
      <c r="L257" s="1665"/>
      <c r="M257" s="1665"/>
      <c r="N257" s="1665"/>
      <c r="O257" s="1654" t="s">
        <v>1989</v>
      </c>
      <c r="P257" s="1654"/>
      <c r="Q257" s="1647" t="str">
        <f>'Part II-Development Team'!Q39</f>
        <v>Brian Flanagan</v>
      </c>
      <c r="R257" s="1665"/>
      <c r="S257" s="1665"/>
    </row>
    <row r="258" spans="1:19">
      <c r="A258" s="1647"/>
      <c r="B258" s="1647"/>
      <c r="C258" s="1647"/>
      <c r="D258" s="1663"/>
      <c r="E258" s="1654" t="s">
        <v>1021</v>
      </c>
      <c r="F258" s="1657"/>
      <c r="G258" s="1647"/>
      <c r="H258" s="1647" t="str">
        <f>'Part II-Development Team'!H40</f>
        <v>4720 Piedmont Row Drive, Suite 240</v>
      </c>
      <c r="I258" s="1665"/>
      <c r="J258" s="1665"/>
      <c r="K258" s="1665"/>
      <c r="L258" s="1665"/>
      <c r="M258" s="1665"/>
      <c r="N258" s="1665"/>
      <c r="O258" s="1654" t="s">
        <v>1747</v>
      </c>
      <c r="P258" s="1647"/>
      <c r="Q258" s="1647" t="str">
        <f>'Part II-Development Team'!Q40</f>
        <v>Director - Acquisitions</v>
      </c>
      <c r="R258" s="1665"/>
      <c r="S258" s="1665"/>
    </row>
    <row r="259" spans="1:19">
      <c r="A259" s="1647"/>
      <c r="B259" s="1647"/>
      <c r="C259" s="1647"/>
      <c r="D259" s="1663"/>
      <c r="E259" s="1654" t="s">
        <v>618</v>
      </c>
      <c r="F259" s="1647"/>
      <c r="G259" s="1647"/>
      <c r="H259" s="1647" t="str">
        <f>'Part II-Development Team'!H41</f>
        <v>Charlotte</v>
      </c>
      <c r="I259" s="1665"/>
      <c r="J259" s="1665"/>
      <c r="K259" s="1651" t="s">
        <v>2703</v>
      </c>
      <c r="L259" s="1647" t="str">
        <f>'Part II-Development Team'!L41</f>
        <v>www.rbccm.com</v>
      </c>
      <c r="M259" s="1665"/>
      <c r="N259" s="1665"/>
      <c r="O259" s="1654" t="s">
        <v>1721</v>
      </c>
      <c r="P259" s="1647"/>
      <c r="Q259" s="2116">
        <f>'Part II-Development Team'!Q41</f>
        <v>9802336462</v>
      </c>
      <c r="R259" s="2116"/>
      <c r="S259" s="2116"/>
    </row>
    <row r="260" spans="1:19">
      <c r="A260" s="1647"/>
      <c r="B260" s="1647"/>
      <c r="C260" s="1647"/>
      <c r="D260" s="1647"/>
      <c r="E260" s="1654" t="s">
        <v>1799</v>
      </c>
      <c r="F260" s="1647"/>
      <c r="G260" s="1647"/>
      <c r="H260" s="1654" t="str">
        <f>'Part II-Development Team'!H42</f>
        <v>NC</v>
      </c>
      <c r="I260" s="1647"/>
      <c r="J260" s="1647"/>
      <c r="K260" s="1651" t="s">
        <v>2229</v>
      </c>
      <c r="L260" s="2115">
        <f>'Part II-Development Team'!L42</f>
        <v>282104272</v>
      </c>
      <c r="M260" s="1665"/>
      <c r="N260" s="1647"/>
      <c r="O260" s="1654" t="s">
        <v>1979</v>
      </c>
      <c r="P260" s="1647"/>
      <c r="Q260" s="2116">
        <f>'Part II-Development Team'!Q42</f>
        <v>7044918511</v>
      </c>
      <c r="R260" s="2116"/>
      <c r="S260" s="2116"/>
    </row>
    <row r="261" spans="1:19">
      <c r="A261" s="1647"/>
      <c r="B261" s="1647"/>
      <c r="C261" s="1647"/>
      <c r="D261" s="1663"/>
      <c r="E261" s="1654" t="s">
        <v>4259</v>
      </c>
      <c r="F261" s="1647"/>
      <c r="G261" s="1647"/>
      <c r="H261" s="2116">
        <f>'Part II-Development Team'!H43</f>
        <v>9802336500</v>
      </c>
      <c r="I261" s="2116"/>
      <c r="J261" s="1661">
        <f>'Part II-Development Team'!J43</f>
        <v>0</v>
      </c>
      <c r="K261" s="1651" t="s">
        <v>1984</v>
      </c>
      <c r="L261" s="2023" t="str">
        <f>'Part II-Development Team'!L43</f>
        <v>brian.flanagan@rbc.com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2533</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t="str">
        <f>'Part II-Development Team'!H46</f>
        <v>Housing Development Corporation</v>
      </c>
      <c r="I264" s="1665"/>
      <c r="J264" s="1665"/>
      <c r="K264" s="1665"/>
      <c r="L264" s="1665"/>
      <c r="M264" s="1665"/>
      <c r="N264" s="1665"/>
      <c r="O264" s="1654" t="s">
        <v>1989</v>
      </c>
      <c r="P264" s="1654"/>
      <c r="Q264" s="1647" t="str">
        <f>'Part II-Development Team'!Q46</f>
        <v>E. P. Walker, Jr.</v>
      </c>
      <c r="R264" s="1665"/>
      <c r="S264" s="1665"/>
    </row>
    <row r="265" spans="1:19">
      <c r="A265" s="1647"/>
      <c r="B265" s="1647"/>
      <c r="C265" s="1647"/>
      <c r="D265" s="1663"/>
      <c r="E265" s="1654" t="s">
        <v>1021</v>
      </c>
      <c r="F265" s="1657"/>
      <c r="G265" s="1647"/>
      <c r="H265" s="1647" t="str">
        <f>'Part II-Development Team'!H47</f>
        <v>750 Commerce Dr., Suite 110</v>
      </c>
      <c r="I265" s="1665"/>
      <c r="J265" s="1665"/>
      <c r="K265" s="1665"/>
      <c r="L265" s="1665"/>
      <c r="M265" s="1665"/>
      <c r="N265" s="1665"/>
      <c r="O265" s="1654" t="s">
        <v>1747</v>
      </c>
      <c r="P265" s="1647"/>
      <c r="Q265" s="1647" t="str">
        <f>'Part II-Development Team'!Q47</f>
        <v>President &amp; CEO</v>
      </c>
      <c r="R265" s="1665"/>
      <c r="S265" s="1665"/>
    </row>
    <row r="266" spans="1:19">
      <c r="A266" s="1647"/>
      <c r="B266" s="1647"/>
      <c r="C266" s="1647"/>
      <c r="D266" s="1663"/>
      <c r="E266" s="1654" t="s">
        <v>618</v>
      </c>
      <c r="F266" s="1647"/>
      <c r="G266" s="1647"/>
      <c r="H266" s="1647" t="str">
        <f>'Part II-Development Team'!H48</f>
        <v>Decatur</v>
      </c>
      <c r="I266" s="1665"/>
      <c r="J266" s="1665"/>
      <c r="K266" s="1651" t="s">
        <v>2703</v>
      </c>
      <c r="L266" s="1647" t="str">
        <f>'Part II-Development Team'!L48</f>
        <v>www.housingdevelopmentcorp.org</v>
      </c>
      <c r="M266" s="1665"/>
      <c r="N266" s="1665"/>
      <c r="O266" s="1654" t="s">
        <v>1721</v>
      </c>
      <c r="P266" s="1647"/>
      <c r="Q266" s="2116">
        <f>'Part II-Development Team'!Q48</f>
        <v>4042702503</v>
      </c>
      <c r="R266" s="2116"/>
      <c r="S266" s="2116"/>
    </row>
    <row r="267" spans="1:19">
      <c r="A267" s="1647"/>
      <c r="B267" s="1647"/>
      <c r="C267" s="1647"/>
      <c r="D267" s="1647"/>
      <c r="E267" s="1654" t="s">
        <v>1799</v>
      </c>
      <c r="F267" s="1647"/>
      <c r="G267" s="1647"/>
      <c r="H267" s="1654" t="str">
        <f>'Part II-Development Team'!H49</f>
        <v>GA</v>
      </c>
      <c r="I267" s="1647"/>
      <c r="J267" s="1647"/>
      <c r="K267" s="1651" t="s">
        <v>2229</v>
      </c>
      <c r="L267" s="2115">
        <f>'Part II-Development Team'!L49</f>
        <v>300302612</v>
      </c>
      <c r="M267" s="1665"/>
      <c r="N267" s="1647"/>
      <c r="O267" s="1654" t="s">
        <v>1979</v>
      </c>
      <c r="P267" s="1647"/>
      <c r="Q267" s="2116">
        <f>'Part II-Development Team'!Q49</f>
        <v>4042702633</v>
      </c>
      <c r="R267" s="2116"/>
      <c r="S267" s="2116"/>
    </row>
    <row r="268" spans="1:19">
      <c r="A268" s="1647"/>
      <c r="B268" s="1647"/>
      <c r="C268" s="1647"/>
      <c r="D268" s="1663"/>
      <c r="E268" s="1654" t="s">
        <v>4259</v>
      </c>
      <c r="F268" s="1647"/>
      <c r="G268" s="1647"/>
      <c r="H268" s="2116">
        <f>'Part II-Development Team'!H50</f>
        <v>4704408610</v>
      </c>
      <c r="I268" s="2116"/>
      <c r="J268" s="1661">
        <f>'Part II-Development Team'!J50</f>
        <v>0</v>
      </c>
      <c r="K268" s="1651" t="s">
        <v>1984</v>
      </c>
      <c r="L268" s="2023" t="str">
        <f>'Part II-Development Team'!L50</f>
        <v>pete.walker@dekalbhousing.org</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HDC Residential, LLC</v>
      </c>
      <c r="I272" s="1665"/>
      <c r="J272" s="1665"/>
      <c r="K272" s="1665"/>
      <c r="L272" s="1665"/>
      <c r="M272" s="1665"/>
      <c r="N272" s="1665"/>
      <c r="O272" s="1654" t="s">
        <v>1989</v>
      </c>
      <c r="P272" s="1654"/>
      <c r="Q272" s="1647" t="str">
        <f>'Part II-Development Team'!Q54</f>
        <v>E. P. Walker, Jr.</v>
      </c>
      <c r="R272" s="1665"/>
      <c r="S272" s="1665"/>
    </row>
    <row r="273" spans="1:19">
      <c r="A273" s="1647"/>
      <c r="B273" s="1647"/>
      <c r="C273" s="1647"/>
      <c r="D273" s="1663"/>
      <c r="E273" s="1654" t="s">
        <v>1021</v>
      </c>
      <c r="F273" s="1657"/>
      <c r="G273" s="1647"/>
      <c r="H273" s="1647" t="str">
        <f>'Part II-Development Team'!H55</f>
        <v>750 Commerce Drive, Suite 110</v>
      </c>
      <c r="I273" s="1665"/>
      <c r="J273" s="1665"/>
      <c r="K273" s="1665"/>
      <c r="L273" s="1665"/>
      <c r="M273" s="1665"/>
      <c r="N273" s="1665"/>
      <c r="O273" s="1654" t="s">
        <v>1747</v>
      </c>
      <c r="P273" s="1647"/>
      <c r="Q273" s="1647" t="str">
        <f>'Part II-Development Team'!Q55</f>
        <v>President &amp; CEO</v>
      </c>
      <c r="R273" s="1665"/>
      <c r="S273" s="1665"/>
    </row>
    <row r="274" spans="1:19">
      <c r="A274" s="1647"/>
      <c r="B274" s="1647"/>
      <c r="C274" s="1647"/>
      <c r="D274" s="1663"/>
      <c r="E274" s="1654" t="s">
        <v>618</v>
      </c>
      <c r="F274" s="1647"/>
      <c r="G274" s="1647"/>
      <c r="H274" s="1647" t="str">
        <f>'Part II-Development Team'!H56</f>
        <v>Decatur</v>
      </c>
      <c r="I274" s="1665"/>
      <c r="J274" s="1665"/>
      <c r="K274" s="1651" t="s">
        <v>2703</v>
      </c>
      <c r="L274" s="1647" t="str">
        <f>'Part II-Development Team'!L56</f>
        <v>N/A</v>
      </c>
      <c r="M274" s="1665"/>
      <c r="N274" s="1665"/>
      <c r="O274" s="1654" t="s">
        <v>1721</v>
      </c>
      <c r="P274" s="1647"/>
      <c r="Q274" s="2116">
        <f>'Part II-Development Team'!Q56</f>
        <v>4042702503</v>
      </c>
      <c r="R274" s="2116"/>
      <c r="S274" s="2116"/>
    </row>
    <row r="275" spans="1:19">
      <c r="A275" s="1647"/>
      <c r="B275" s="1647"/>
      <c r="C275" s="1647"/>
      <c r="D275" s="1647"/>
      <c r="E275" s="1654" t="s">
        <v>1799</v>
      </c>
      <c r="F275" s="1647"/>
      <c r="G275" s="1647"/>
      <c r="H275" s="1654" t="str">
        <f>'Part II-Development Team'!H57</f>
        <v>GA</v>
      </c>
      <c r="I275" s="1647"/>
      <c r="J275" s="1647"/>
      <c r="K275" s="1651" t="s">
        <v>2229</v>
      </c>
      <c r="L275" s="2115">
        <f>'Part II-Development Team'!L57</f>
        <v>300302612</v>
      </c>
      <c r="M275" s="1665"/>
      <c r="N275" s="1647"/>
      <c r="O275" s="1654" t="s">
        <v>1979</v>
      </c>
      <c r="P275" s="1647"/>
      <c r="Q275" s="2116">
        <f>'Part II-Development Team'!Q57</f>
        <v>4042702633</v>
      </c>
      <c r="R275" s="2116"/>
      <c r="S275" s="2116"/>
    </row>
    <row r="276" spans="1:19">
      <c r="A276" s="1647"/>
      <c r="B276" s="1647"/>
      <c r="C276" s="1647"/>
      <c r="D276" s="1663"/>
      <c r="E276" s="1654" t="s">
        <v>4259</v>
      </c>
      <c r="F276" s="1647"/>
      <c r="G276" s="1647"/>
      <c r="H276" s="2116">
        <f>'Part II-Development Team'!H58</f>
        <v>4704408610</v>
      </c>
      <c r="I276" s="2116"/>
      <c r="J276" s="1661">
        <f>'Part II-Development Team'!J58</f>
        <v>0</v>
      </c>
      <c r="K276" s="1651" t="s">
        <v>1984</v>
      </c>
      <c r="L276" s="2023" t="str">
        <f>'Part II-Development Team'!L58</f>
        <v>pete.walker@dekalbhousing.org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2703</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4259</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2703</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4259</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2703</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4259</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2703</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Bluepoint Construction Southeast</v>
      </c>
      <c r="I304" s="1665"/>
      <c r="J304" s="1665"/>
      <c r="K304" s="1665"/>
      <c r="L304" s="1665"/>
      <c r="M304" s="1665"/>
      <c r="N304" s="1665"/>
      <c r="O304" s="1654" t="s">
        <v>1989</v>
      </c>
      <c r="P304" s="1654"/>
      <c r="Q304" s="1647" t="str">
        <f>'Part II-Development Team'!Q86</f>
        <v>Ed Frayer</v>
      </c>
      <c r="R304" s="1665"/>
      <c r="S304" s="1665"/>
    </row>
    <row r="305" spans="1:19">
      <c r="A305" s="1647"/>
      <c r="B305" s="1647"/>
      <c r="C305" s="1647"/>
      <c r="D305" s="1663"/>
      <c r="E305" s="1654" t="s">
        <v>1021</v>
      </c>
      <c r="F305" s="1657"/>
      <c r="G305" s="1647"/>
      <c r="H305" s="1647" t="str">
        <f>'Part II-Development Team'!H87</f>
        <v>410 Plasters Ave. NE</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Atlanta</v>
      </c>
      <c r="I306" s="1665"/>
      <c r="J306" s="1665"/>
      <c r="K306" s="1651" t="s">
        <v>2703</v>
      </c>
      <c r="L306" s="1647" t="str">
        <f>'Part II-Development Team'!L88</f>
        <v>bluepointse.com</v>
      </c>
      <c r="M306" s="1665"/>
      <c r="N306" s="1665"/>
      <c r="O306" s="1654" t="s">
        <v>1721</v>
      </c>
      <c r="P306" s="1647"/>
      <c r="Q306" s="2116">
        <f>'Part II-Development Team'!Q88</f>
        <v>4045789953</v>
      </c>
      <c r="R306" s="2116"/>
      <c r="S306" s="2116"/>
    </row>
    <row r="307" spans="1:19">
      <c r="A307" s="1647"/>
      <c r="B307" s="1647"/>
      <c r="C307" s="1647"/>
      <c r="D307" s="1647"/>
      <c r="E307" s="1654" t="s">
        <v>1799</v>
      </c>
      <c r="F307" s="1647"/>
      <c r="G307" s="1647"/>
      <c r="H307" s="1654" t="str">
        <f>'Part II-Development Team'!H89</f>
        <v>GA</v>
      </c>
      <c r="I307" s="1647"/>
      <c r="J307" s="1647"/>
      <c r="K307" s="1651" t="s">
        <v>2229</v>
      </c>
      <c r="L307" s="2115">
        <f>'Part II-Development Team'!L89</f>
        <v>303243951</v>
      </c>
      <c r="M307" s="1665"/>
      <c r="N307" s="1647"/>
      <c r="O307" s="1654" t="s">
        <v>1979</v>
      </c>
      <c r="P307" s="1647"/>
      <c r="Q307" s="2116">
        <f>'Part II-Development Team'!Q89</f>
        <v>0</v>
      </c>
      <c r="R307" s="2116"/>
      <c r="S307" s="2116"/>
    </row>
    <row r="308" spans="1:19">
      <c r="A308" s="1647"/>
      <c r="B308" s="1647"/>
      <c r="C308" s="1647"/>
      <c r="D308" s="1663"/>
      <c r="E308" s="1654" t="s">
        <v>4259</v>
      </c>
      <c r="F308" s="1647"/>
      <c r="G308" s="1647"/>
      <c r="H308" s="2116">
        <f>'Part II-Development Team'!H90</f>
        <v>4044752553</v>
      </c>
      <c r="I308" s="2116"/>
      <c r="J308" s="1661">
        <f>'Part II-Development Team'!J90</f>
        <v>0</v>
      </c>
      <c r="K308" s="1651" t="s">
        <v>1984</v>
      </c>
      <c r="L308" s="2023" t="str">
        <f>'Part II-Development Team'!L90</f>
        <v>efrayer@bluepointse.com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HDC Management</v>
      </c>
      <c r="I310" s="1665"/>
      <c r="J310" s="1665"/>
      <c r="K310" s="1665"/>
      <c r="L310" s="1665"/>
      <c r="M310" s="1665"/>
      <c r="N310" s="1665"/>
      <c r="O310" s="1654" t="s">
        <v>1989</v>
      </c>
      <c r="P310" s="1654"/>
      <c r="Q310" s="1647" t="str">
        <f>'Part II-Development Team'!Q92</f>
        <v>John Corcoran</v>
      </c>
      <c r="R310" s="1665"/>
      <c r="S310" s="1665"/>
    </row>
    <row r="311" spans="1:19">
      <c r="A311" s="1647"/>
      <c r="B311" s="1647"/>
      <c r="C311" s="1647"/>
      <c r="D311" s="1663"/>
      <c r="E311" s="1654" t="s">
        <v>1021</v>
      </c>
      <c r="F311" s="1657"/>
      <c r="G311" s="1647"/>
      <c r="H311" s="1647" t="str">
        <f>'Part II-Development Team'!H93</f>
        <v>750 Commerce Dr., Suite 110</v>
      </c>
      <c r="I311" s="1665"/>
      <c r="J311" s="1665"/>
      <c r="K311" s="1665"/>
      <c r="L311" s="1665"/>
      <c r="M311" s="1665"/>
      <c r="N311" s="1665"/>
      <c r="O311" s="1654" t="s">
        <v>1747</v>
      </c>
      <c r="P311" s="1647"/>
      <c r="Q311" s="1647" t="str">
        <f>'Part II-Development Team'!Q93</f>
        <v>Executive Vice President</v>
      </c>
      <c r="R311" s="1665"/>
      <c r="S311" s="1665"/>
    </row>
    <row r="312" spans="1:19">
      <c r="A312" s="1647"/>
      <c r="B312" s="1647"/>
      <c r="C312" s="1647"/>
      <c r="D312" s="1663"/>
      <c r="E312" s="1654" t="s">
        <v>618</v>
      </c>
      <c r="F312" s="1647"/>
      <c r="G312" s="1647"/>
      <c r="H312" s="1647" t="str">
        <f>'Part II-Development Team'!H94</f>
        <v>Decatur</v>
      </c>
      <c r="I312" s="1665"/>
      <c r="J312" s="1665"/>
      <c r="K312" s="1651" t="s">
        <v>2703</v>
      </c>
      <c r="L312" s="1647" t="str">
        <f>'Part II-Development Team'!L94</f>
        <v>N/A</v>
      </c>
      <c r="M312" s="1665"/>
      <c r="N312" s="1665"/>
      <c r="O312" s="1654" t="s">
        <v>1721</v>
      </c>
      <c r="P312" s="1647"/>
      <c r="Q312" s="2116">
        <f>'Part II-Development Team'!Q94</f>
        <v>4704408594</v>
      </c>
      <c r="R312" s="2116"/>
      <c r="S312" s="2116"/>
    </row>
    <row r="313" spans="1:19">
      <c r="A313" s="1647"/>
      <c r="B313" s="1647"/>
      <c r="C313" s="1647"/>
      <c r="D313" s="1663"/>
      <c r="E313" s="1654" t="s">
        <v>1799</v>
      </c>
      <c r="F313" s="1647"/>
      <c r="G313" s="1647"/>
      <c r="H313" s="1654" t="str">
        <f>'Part II-Development Team'!H95</f>
        <v>GA</v>
      </c>
      <c r="I313" s="1647"/>
      <c r="J313" s="1647"/>
      <c r="K313" s="1651" t="s">
        <v>2229</v>
      </c>
      <c r="L313" s="2115">
        <f>'Part II-Development Team'!L95</f>
        <v>300302612</v>
      </c>
      <c r="M313" s="1665"/>
      <c r="N313" s="1647"/>
      <c r="O313" s="1654" t="s">
        <v>1979</v>
      </c>
      <c r="P313" s="1647"/>
      <c r="Q313" s="2116">
        <f>'Part II-Development Team'!Q95</f>
        <v>6783081424</v>
      </c>
      <c r="R313" s="2116"/>
      <c r="S313" s="2116"/>
    </row>
    <row r="314" spans="1:19">
      <c r="A314" s="1647"/>
      <c r="B314" s="1647"/>
      <c r="C314" s="1647"/>
      <c r="D314" s="1663"/>
      <c r="E314" s="1654" t="s">
        <v>4259</v>
      </c>
      <c r="F314" s="1647"/>
      <c r="G314" s="1647"/>
      <c r="H314" s="2116">
        <f>'Part II-Development Team'!H96</f>
        <v>4704408610</v>
      </c>
      <c r="I314" s="2116"/>
      <c r="J314" s="1661">
        <f>'Part II-Development Team'!J96</f>
        <v>0</v>
      </c>
      <c r="K314" s="1651" t="s">
        <v>1984</v>
      </c>
      <c r="L314" s="2023" t="str">
        <f>'Part II-Development Team'!L96</f>
        <v>john.corcoran@thehdc.org</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Coleman Talley LLP</v>
      </c>
      <c r="I316" s="1665"/>
      <c r="J316" s="1665"/>
      <c r="K316" s="1665"/>
      <c r="L316" s="1665"/>
      <c r="M316" s="1665"/>
      <c r="N316" s="1665"/>
      <c r="O316" s="1654" t="s">
        <v>1989</v>
      </c>
      <c r="P316" s="1654"/>
      <c r="Q316" s="1647" t="str">
        <f>'Part II-Development Team'!Q98</f>
        <v>L. Lake Jordan</v>
      </c>
      <c r="R316" s="1665"/>
      <c r="S316" s="1665"/>
    </row>
    <row r="317" spans="1:19">
      <c r="A317" s="1647"/>
      <c r="B317" s="1647"/>
      <c r="C317" s="1647"/>
      <c r="D317" s="1663"/>
      <c r="E317" s="1654" t="s">
        <v>1021</v>
      </c>
      <c r="F317" s="1657"/>
      <c r="G317" s="1647"/>
      <c r="H317" s="1647" t="str">
        <f>'Part II-Development Team'!H99</f>
        <v>3475 Lenox Rd NE, #400</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Atlanta</v>
      </c>
      <c r="I318" s="1665"/>
      <c r="J318" s="1665"/>
      <c r="K318" s="1651" t="s">
        <v>2703</v>
      </c>
      <c r="L318" s="1647" t="str">
        <f>'Part II-Development Team'!L100</f>
        <v>www.colemantalley.com</v>
      </c>
      <c r="M318" s="1665"/>
      <c r="N318" s="1665"/>
      <c r="O318" s="1654" t="s">
        <v>1721</v>
      </c>
      <c r="P318" s="1647"/>
      <c r="Q318" s="2116">
        <f>'Part II-Development Team'!Q100</f>
        <v>2296718233</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303263229</v>
      </c>
      <c r="M319" s="1665"/>
      <c r="N319" s="1647"/>
      <c r="O319" s="1654" t="s">
        <v>1979</v>
      </c>
      <c r="P319" s="1647"/>
      <c r="Q319" s="2116">
        <f>'Part II-Development Team'!Q101</f>
        <v>0</v>
      </c>
      <c r="R319" s="2116"/>
      <c r="S319" s="2116"/>
    </row>
    <row r="320" spans="1:19">
      <c r="A320" s="1653"/>
      <c r="B320" s="1653"/>
      <c r="C320" s="1653"/>
      <c r="D320" s="1653"/>
      <c r="E320" s="1654" t="s">
        <v>4259</v>
      </c>
      <c r="F320" s="1647"/>
      <c r="G320" s="1647"/>
      <c r="H320" s="2116">
        <f>'Part II-Development Team'!H102</f>
        <v>7706989556</v>
      </c>
      <c r="I320" s="2116"/>
      <c r="J320" s="1661">
        <f>'Part II-Development Team'!J102</f>
        <v>0</v>
      </c>
      <c r="K320" s="1651" t="s">
        <v>1984</v>
      </c>
      <c r="L320" s="2023" t="str">
        <f>'Part II-Development Team'!L102</f>
        <v>lake.jordan@colemantalley.com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CohnReznick LLP</v>
      </c>
      <c r="I322" s="1665"/>
      <c r="J322" s="1665"/>
      <c r="K322" s="1665"/>
      <c r="L322" s="1665"/>
      <c r="M322" s="1665"/>
      <c r="N322" s="1665"/>
      <c r="O322" s="1654" t="s">
        <v>1989</v>
      </c>
      <c r="P322" s="1654"/>
      <c r="Q322" s="1647" t="str">
        <f>'Part II-Development Team'!Q104</f>
        <v>Deanne Rareshide</v>
      </c>
      <c r="R322" s="1665"/>
      <c r="S322" s="1665"/>
    </row>
    <row r="323" spans="1:19">
      <c r="A323" s="1647"/>
      <c r="B323" s="1647"/>
      <c r="C323" s="1647"/>
      <c r="D323" s="1663"/>
      <c r="E323" s="1654" t="s">
        <v>1021</v>
      </c>
      <c r="F323" s="1657"/>
      <c r="G323" s="1647"/>
      <c r="H323" s="1647" t="str">
        <f>'Part II-Development Team'!H105</f>
        <v>3560 Lenox Rd NE, #2800</v>
      </c>
      <c r="I323" s="1665"/>
      <c r="J323" s="1665"/>
      <c r="K323" s="1665"/>
      <c r="L323" s="1665"/>
      <c r="M323" s="1665"/>
      <c r="N323" s="1665"/>
      <c r="O323" s="1654" t="s">
        <v>1747</v>
      </c>
      <c r="P323" s="1647"/>
      <c r="Q323" s="1647" t="str">
        <f>'Part II-Development Team'!Q105</f>
        <v>Director</v>
      </c>
      <c r="R323" s="1665"/>
      <c r="S323" s="1665"/>
    </row>
    <row r="324" spans="1:19">
      <c r="A324" s="1647"/>
      <c r="B324" s="1647"/>
      <c r="C324" s="1647"/>
      <c r="D324" s="1663"/>
      <c r="E324" s="1654" t="s">
        <v>618</v>
      </c>
      <c r="F324" s="1647"/>
      <c r="G324" s="1647"/>
      <c r="H324" s="1647" t="str">
        <f>'Part II-Development Team'!H106</f>
        <v>Atlanta</v>
      </c>
      <c r="I324" s="1665"/>
      <c r="J324" s="1665"/>
      <c r="K324" s="1651" t="s">
        <v>2703</v>
      </c>
      <c r="L324" s="1647" t="str">
        <f>'Part II-Development Team'!L106</f>
        <v>www.cohnreznick.com</v>
      </c>
      <c r="M324" s="1665"/>
      <c r="N324" s="1665"/>
      <c r="O324" s="1654" t="s">
        <v>1721</v>
      </c>
      <c r="P324" s="1647"/>
      <c r="Q324" s="2116">
        <f>'Part II-Development Team'!Q106</f>
        <v>4048477647</v>
      </c>
      <c r="R324" s="2116"/>
      <c r="S324" s="2116"/>
    </row>
    <row r="325" spans="1:19">
      <c r="A325" s="1647"/>
      <c r="B325" s="1647"/>
      <c r="C325" s="1647"/>
      <c r="D325" s="1663"/>
      <c r="E325" s="1654" t="s">
        <v>1799</v>
      </c>
      <c r="F325" s="1647"/>
      <c r="G325" s="1647"/>
      <c r="H325" s="1654" t="str">
        <f>'Part II-Development Team'!H107</f>
        <v>GA</v>
      </c>
      <c r="I325" s="1647"/>
      <c r="J325" s="1647"/>
      <c r="K325" s="1651" t="s">
        <v>2229</v>
      </c>
      <c r="L325" s="2115">
        <f>'Part II-Development Team'!L107</f>
        <v>303264276</v>
      </c>
      <c r="M325" s="1665"/>
      <c r="N325" s="1647"/>
      <c r="O325" s="1654" t="s">
        <v>1979</v>
      </c>
      <c r="P325" s="1647"/>
      <c r="Q325" s="2116">
        <f>'Part II-Development Team'!Q107</f>
        <v>4048477647</v>
      </c>
      <c r="R325" s="2116"/>
      <c r="S325" s="2116"/>
    </row>
    <row r="326" spans="1:19">
      <c r="A326" s="1653"/>
      <c r="B326" s="1653"/>
      <c r="C326" s="1653"/>
      <c r="D326" s="1653"/>
      <c r="E326" s="1654" t="s">
        <v>4259</v>
      </c>
      <c r="F326" s="1647"/>
      <c r="G326" s="1647"/>
      <c r="H326" s="2116">
        <f>'Part II-Development Team'!H108</f>
        <v>4048479447</v>
      </c>
      <c r="I326" s="2116"/>
      <c r="J326" s="1661">
        <f>'Part II-Development Team'!J108</f>
        <v>0</v>
      </c>
      <c r="K326" s="1651" t="s">
        <v>1984</v>
      </c>
      <c r="L326" s="2023">
        <f>'Part II-Development Team'!L108</f>
        <v>0</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Rosemann &amp; Associates</v>
      </c>
      <c r="I328" s="1665"/>
      <c r="J328" s="1665"/>
      <c r="K328" s="1665"/>
      <c r="L328" s="1665"/>
      <c r="M328" s="1665"/>
      <c r="N328" s="1665"/>
      <c r="O328" s="1654" t="s">
        <v>1989</v>
      </c>
      <c r="P328" s="1654"/>
      <c r="Q328" s="1647" t="str">
        <f>'Part II-Development Team'!Q110</f>
        <v>Jarrett Cooper</v>
      </c>
      <c r="R328" s="1665"/>
      <c r="S328" s="1665"/>
    </row>
    <row r="329" spans="1:19">
      <c r="A329" s="1647"/>
      <c r="B329" s="1647"/>
      <c r="C329" s="1647"/>
      <c r="D329" s="1663"/>
      <c r="E329" s="1654" t="s">
        <v>1021</v>
      </c>
      <c r="F329" s="1657"/>
      <c r="G329" s="1647"/>
      <c r="H329" s="1647" t="str">
        <f>'Part II-Development Team'!H111</f>
        <v>3290 Northside Pkwy NW, #850</v>
      </c>
      <c r="I329" s="1665"/>
      <c r="J329" s="1665"/>
      <c r="K329" s="1665"/>
      <c r="L329" s="1665"/>
      <c r="M329" s="1665"/>
      <c r="N329" s="1665"/>
      <c r="O329" s="1654" t="s">
        <v>1747</v>
      </c>
      <c r="P329" s="1647"/>
      <c r="Q329" s="1647" t="str">
        <f>'Part II-Development Team'!Q111</f>
        <v>Vice President</v>
      </c>
      <c r="R329" s="1665"/>
      <c r="S329" s="1665"/>
    </row>
    <row r="330" spans="1:19">
      <c r="A330" s="1647"/>
      <c r="B330" s="1647"/>
      <c r="C330" s="1647"/>
      <c r="D330" s="1663"/>
      <c r="E330" s="1654" t="s">
        <v>618</v>
      </c>
      <c r="F330" s="1647"/>
      <c r="G330" s="1647"/>
      <c r="H330" s="1647" t="str">
        <f>'Part II-Development Team'!H112</f>
        <v>Atlanta</v>
      </c>
      <c r="I330" s="1665"/>
      <c r="J330" s="1665"/>
      <c r="K330" s="1651" t="s">
        <v>2703</v>
      </c>
      <c r="L330" s="1647" t="str">
        <f>'Part II-Development Team'!L112</f>
        <v>www.rosemann.com</v>
      </c>
      <c r="M330" s="1665"/>
      <c r="N330" s="1665"/>
      <c r="O330" s="1654" t="s">
        <v>1721</v>
      </c>
      <c r="P330" s="1647"/>
      <c r="Q330" s="2116">
        <f>'Part II-Development Team'!Q112</f>
        <v>3146781448</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303272284</v>
      </c>
      <c r="M331" s="1665"/>
      <c r="N331" s="1647"/>
      <c r="O331" s="1654" t="s">
        <v>1979</v>
      </c>
      <c r="P331" s="1647"/>
      <c r="Q331" s="2116">
        <f>'Part II-Development Team'!Q113</f>
        <v>3143784641</v>
      </c>
      <c r="R331" s="2116"/>
      <c r="S331" s="2116"/>
    </row>
    <row r="332" spans="1:19">
      <c r="A332" s="1647"/>
      <c r="B332" s="1647"/>
      <c r="C332" s="1647"/>
      <c r="D332" s="1663"/>
      <c r="E332" s="1654" t="s">
        <v>4259</v>
      </c>
      <c r="F332" s="1647"/>
      <c r="G332" s="1647"/>
      <c r="H332" s="2116">
        <f>'Part II-Development Team'!H114</f>
        <v>6785903200</v>
      </c>
      <c r="I332" s="2116"/>
      <c r="J332" s="1661">
        <f>'Part II-Development Team'!J114</f>
        <v>0</v>
      </c>
      <c r="K332" s="1651" t="s">
        <v>1984</v>
      </c>
      <c r="L332" s="2023" t="str">
        <f>'Part II-Development Team'!L114</f>
        <v>jcooper@rosemann.com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5098</v>
      </c>
      <c r="D335" s="1647"/>
      <c r="E335" s="1647"/>
      <c r="F335" s="1647"/>
      <c r="G335" s="1647"/>
      <c r="H335" s="1647" t="str">
        <f>'Part II-Development Team'!H117</f>
        <v>Milledgeville Manor Partners, LLC</v>
      </c>
      <c r="I335" s="1647"/>
      <c r="J335" s="1647"/>
      <c r="K335" s="1651" t="s">
        <v>2473</v>
      </c>
      <c r="L335" s="1647" t="str">
        <f>'Part II-Development Team'!L117</f>
        <v>Richard Sims</v>
      </c>
      <c r="M335" s="1665"/>
      <c r="N335" s="1665"/>
      <c r="O335" s="1654" t="s">
        <v>3578</v>
      </c>
      <c r="P335" s="1647"/>
      <c r="Q335" s="2116">
        <f>'Part II-Development Team'!Q117</f>
        <v>4042616154</v>
      </c>
      <c r="R335" s="2724"/>
      <c r="S335" s="2724"/>
    </row>
    <row r="336" spans="1:19">
      <c r="A336" s="1647"/>
      <c r="B336" s="1647"/>
      <c r="C336" s="1647"/>
      <c r="D336" s="1663"/>
      <c r="E336" s="1654" t="s">
        <v>1021</v>
      </c>
      <c r="F336" s="1657"/>
      <c r="G336" s="1647"/>
      <c r="H336" s="1647" t="str">
        <f>'Part II-Development Team'!H118</f>
        <v>12600 Deerfield Parkway, Suite 100</v>
      </c>
      <c r="I336" s="1665"/>
      <c r="J336" s="1665"/>
      <c r="K336" s="1665"/>
      <c r="L336" s="1665"/>
      <c r="M336" s="1665"/>
      <c r="N336" s="1665"/>
      <c r="O336" s="1654" t="s">
        <v>618</v>
      </c>
      <c r="P336" s="1647"/>
      <c r="Q336" s="1647" t="str">
        <f>'Part II-Development Team'!Q118</f>
        <v>Alpharetta</v>
      </c>
      <c r="R336" s="1665"/>
      <c r="S336" s="1665"/>
    </row>
    <row r="337" spans="1:19">
      <c r="A337" s="1647"/>
      <c r="B337" s="1647"/>
      <c r="C337" s="1647"/>
      <c r="D337" s="1663"/>
      <c r="E337" s="1654" t="s">
        <v>1799</v>
      </c>
      <c r="F337" s="1647"/>
      <c r="G337" s="1647"/>
      <c r="H337" s="1654" t="str">
        <f>'Part II-Development Team'!H119</f>
        <v>GA</v>
      </c>
      <c r="I337" s="1651" t="s">
        <v>2229</v>
      </c>
      <c r="J337" s="2115">
        <f>'Part II-Development Team'!J119</f>
        <v>300046130</v>
      </c>
      <c r="K337" s="1665"/>
      <c r="L337" s="1651" t="s">
        <v>1984</v>
      </c>
      <c r="M337" s="2023" t="str">
        <f>'Part II-Development Team'!M119</f>
        <v>richard.sims@comcast.net</v>
      </c>
      <c r="N337" s="2023"/>
      <c r="O337" s="2023"/>
      <c r="P337" s="2023"/>
      <c r="Q337" s="2023"/>
      <c r="R337" s="2023"/>
      <c r="S337" s="2023"/>
    </row>
    <row r="338" spans="1:19">
      <c r="A338" s="1653"/>
      <c r="B338" s="1647" t="s">
        <v>1985</v>
      </c>
      <c r="C338" s="1647" t="s">
        <v>5089</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2533</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5035</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5034</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5147</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5090</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3447</v>
      </c>
      <c r="F352" s="1682"/>
      <c r="G352" s="1682"/>
      <c r="H352" s="1682"/>
      <c r="I352" s="1682"/>
      <c r="J352" s="1682" t="s">
        <v>3448</v>
      </c>
      <c r="K352" s="1682" t="s">
        <v>5099</v>
      </c>
      <c r="L352" s="1682" t="s">
        <v>5100</v>
      </c>
      <c r="M352" s="1682" t="s">
        <v>5101</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5148</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8.0000000000000007E-5</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For Profit</v>
      </c>
      <c r="L358" s="2131">
        <f>'Part II-Development Team'!L140</f>
        <v>2.0000000000000002E-5</v>
      </c>
      <c r="M358" s="2129" t="str">
        <f>'Part II-Development Team'!M140</f>
        <v>No</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No</v>
      </c>
      <c r="J362" s="2129" t="str">
        <f>'Part II-Development Team'!J144</f>
        <v>No</v>
      </c>
      <c r="K362" s="2130" t="str">
        <f>'Part II-Development Team'!K144</f>
        <v>Nonprofit</v>
      </c>
      <c r="L362" s="2131">
        <f>'Part II-Development Team'!L144</f>
        <v>0</v>
      </c>
      <c r="M362" s="2129" t="str">
        <f>'Part II-Development Team'!M144</f>
        <v>No</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Enclave at Milledgeville, Milledgeville, Baldwin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2490</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ht="13.5">
      <c r="A382" s="1651"/>
      <c r="B382" s="1651" t="str">
        <f>'Part III-Sources of Funds'!B5</f>
        <v>Yes</v>
      </c>
      <c r="C382" s="1654" t="s">
        <v>2410</v>
      </c>
      <c r="D382" s="1647"/>
      <c r="E382" s="1651" t="str">
        <f>'Part III-Sources of Funds'!E5</f>
        <v>No</v>
      </c>
      <c r="F382" s="1654" t="s">
        <v>4504</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5009</v>
      </c>
      <c r="D383" s="1647"/>
      <c r="E383" s="1651" t="str">
        <f>'Part III-Sources of Funds'!E6</f>
        <v>No</v>
      </c>
      <c r="F383" s="1654" t="s">
        <v>4505</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5149</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2600</v>
      </c>
      <c r="D385" s="1710"/>
      <c r="E385" s="1651" t="str">
        <f>'Part III-Sources of Funds'!E8</f>
        <v>Yes</v>
      </c>
      <c r="F385" s="1654" t="s">
        <v>2608</v>
      </c>
      <c r="G385" s="1710"/>
      <c r="H385" s="1710"/>
      <c r="I385" s="1710"/>
      <c r="J385" s="1710"/>
      <c r="K385" s="1710"/>
      <c r="L385" s="1651" t="str">
        <f>'Part III-Sources of Funds'!L8</f>
        <v>No</v>
      </c>
      <c r="M385" s="1654" t="s">
        <v>5010</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2601</v>
      </c>
      <c r="D386" s="1710"/>
      <c r="E386" s="1651" t="str">
        <f>'Part III-Sources of Funds'!E9</f>
        <v>No</v>
      </c>
      <c r="F386" s="1654" t="s">
        <v>3721</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2609</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2607</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2795</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3889</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5007</v>
      </c>
      <c r="G391" s="1710"/>
      <c r="H391" s="1710"/>
      <c r="I391" s="1766">
        <f>'Part III-Sources of Funds'!I14</f>
        <v>13000000</v>
      </c>
      <c r="J391" s="1766">
        <f>'Part III-Sources of Funds'!J14</f>
        <v>0</v>
      </c>
      <c r="K391" s="1710"/>
      <c r="L391" s="1651" t="str">
        <f>'Part III-Sources of Funds'!L14</f>
        <v>No</v>
      </c>
      <c r="M391" s="1649" t="s">
        <v>5150</v>
      </c>
      <c r="N391" s="1710"/>
      <c r="O391" s="1710"/>
      <c r="P391" s="1710"/>
      <c r="Q391" s="1710"/>
      <c r="R391" s="1710"/>
      <c r="S391" s="1710"/>
      <c r="T391" s="1710"/>
    </row>
    <row r="392" spans="1:20" ht="13.5">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4963</v>
      </c>
      <c r="M396" s="1647"/>
      <c r="N396" s="1647" t="s">
        <v>1507</v>
      </c>
      <c r="O396" s="1647"/>
      <c r="P396" s="1647" t="s">
        <v>1630</v>
      </c>
      <c r="Q396" s="1647"/>
      <c r="R396" s="1710"/>
      <c r="S396" s="2111" t="s">
        <v>2682</v>
      </c>
      <c r="T396" s="2111"/>
    </row>
    <row r="397" spans="1:20" ht="13.5">
      <c r="A397" s="1647"/>
      <c r="B397" s="1647" t="s">
        <v>1591</v>
      </c>
      <c r="C397" s="1647"/>
      <c r="D397" s="1647"/>
      <c r="E397" s="1647"/>
      <c r="F397" s="1647"/>
      <c r="G397" s="1647"/>
      <c r="H397" s="1703" t="str">
        <f>'Part III-Sources of Funds'!H20</f>
        <v>Bank OZK</v>
      </c>
      <c r="I397" s="1703">
        <f>'Part III-Sources of Funds'!I20</f>
        <v>0</v>
      </c>
      <c r="J397" s="1703">
        <f>'Part III-Sources of Funds'!J20</f>
        <v>0</v>
      </c>
      <c r="K397" s="1703">
        <f>'Part III-Sources of Funds'!K20</f>
        <v>0</v>
      </c>
      <c r="L397" s="1729">
        <f>'Part III-Sources of Funds'!L20</f>
        <v>12082864</v>
      </c>
      <c r="M397" s="1729">
        <f>'Part III-Sources of Funds'!M20</f>
        <v>0</v>
      </c>
      <c r="N397" s="1712">
        <f>'Part III-Sources of Funds'!N20</f>
        <v>4.1000000000000002E-2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t="str">
        <f>'Part III-Sources of Funds'!H25</f>
        <v xml:space="preserve">HDC </v>
      </c>
      <c r="I402" s="1703">
        <f>'Part III-Sources of Funds'!I25</f>
        <v>0</v>
      </c>
      <c r="J402" s="1703">
        <f>'Part III-Sources of Funds'!J25</f>
        <v>0</v>
      </c>
      <c r="K402" s="1703">
        <f>'Part III-Sources of Funds'!K25</f>
        <v>0</v>
      </c>
      <c r="L402" s="1729">
        <f>'Part III-Sources of Funds'!L25</f>
        <v>1330000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Aegon</v>
      </c>
      <c r="I403" s="1703">
        <f>'Part III-Sources of Funds'!I26</f>
        <v>0</v>
      </c>
      <c r="J403" s="1703">
        <f>'Part III-Sources of Funds'!J26</f>
        <v>0</v>
      </c>
      <c r="K403" s="1703">
        <f>'Part III-Sources of Funds'!K26</f>
        <v>0</v>
      </c>
      <c r="L403" s="1729">
        <f>'Part III-Sources of Funds'!L26</f>
        <v>1199400</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Twain</v>
      </c>
      <c r="I404" s="1703">
        <f>'Part III-Sources of Funds'!I27</f>
        <v>0</v>
      </c>
      <c r="J404" s="1703">
        <f>'Part III-Sources of Funds'!J27</f>
        <v>0</v>
      </c>
      <c r="K404" s="1703">
        <f>'Part III-Sources of Funds'!K27</f>
        <v>0</v>
      </c>
      <c r="L404" s="1729">
        <f>'Part III-Sources of Funds'!L27</f>
        <v>845770</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15458034</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11920838.560000001</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3537195.4399999995</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4962</v>
      </c>
      <c r="J414" s="1647"/>
      <c r="K414" s="1651" t="s">
        <v>1806</v>
      </c>
      <c r="L414" s="1651" t="s">
        <v>2214</v>
      </c>
      <c r="M414" s="1651" t="s">
        <v>2214</v>
      </c>
      <c r="N414" s="1647" t="s">
        <v>74</v>
      </c>
      <c r="O414" s="1647"/>
      <c r="P414" s="1658"/>
      <c r="Q414" s="1658"/>
      <c r="R414" s="1710"/>
      <c r="S414" s="2111" t="s">
        <v>2682</v>
      </c>
      <c r="T414" s="2111"/>
    </row>
    <row r="415" spans="1:20" ht="25.5">
      <c r="A415" s="1647"/>
      <c r="B415" s="1647" t="s">
        <v>2613</v>
      </c>
      <c r="C415" s="1647"/>
      <c r="D415" s="1647"/>
      <c r="E415" s="1703" t="str">
        <f>'Part III-Sources of Funds'!E38</f>
        <v>JLL/Freddie Mac</v>
      </c>
      <c r="F415" s="1703">
        <f>'Part III-Sources of Funds'!F38</f>
        <v>0</v>
      </c>
      <c r="G415" s="1703">
        <f>'Part III-Sources of Funds'!G38</f>
        <v>0</v>
      </c>
      <c r="H415" s="1703">
        <f>'Part III-Sources of Funds'!H38</f>
        <v>0</v>
      </c>
      <c r="I415" s="1779">
        <f>'Part III-Sources of Funds'!I38</f>
        <v>8640000</v>
      </c>
      <c r="J415" s="1647">
        <f>'Part III-Sources of Funds'!J38</f>
        <v>0</v>
      </c>
      <c r="K415" s="1716">
        <f>'Part III-Sources of Funds'!K38</f>
        <v>3.3599999999999998E-2</v>
      </c>
      <c r="L415" s="1651">
        <f>'Part III-Sources of Funds'!L38</f>
        <v>35</v>
      </c>
      <c r="M415" s="1651">
        <f>'Part III-Sources of Funds'!M38</f>
        <v>35</v>
      </c>
      <c r="N415" s="1647" t="str">
        <f>'Part III-Sources of Funds'!N38</f>
        <v>Amortizing</v>
      </c>
      <c r="O415" s="1647">
        <f>'Part III-Sources of Funds'!O38</f>
        <v>0</v>
      </c>
      <c r="P415" s="1717">
        <f>'Part III-Sources of Funds'!P38</f>
        <v>420132.3350591315</v>
      </c>
      <c r="Q415" s="1717">
        <f>'Part III-Sources of Funds'!Q38</f>
        <v>0</v>
      </c>
      <c r="R415" s="1710"/>
      <c r="S415" s="1708">
        <f>'Part III-Sources of Funds'!S38</f>
        <v>0</v>
      </c>
      <c r="T415" s="1708">
        <f>'Part III-Sources of Funds'!T38</f>
        <v>0</v>
      </c>
    </row>
    <row r="416" spans="1:20" ht="13.5">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5">
      <c r="A420" s="1647"/>
      <c r="B420" s="1647" t="s">
        <v>228</v>
      </c>
      <c r="C420" s="1647"/>
      <c r="D420" s="1718">
        <f>'Part III-Sources of Funds'!D43</f>
        <v>4.2105263157894739E-4</v>
      </c>
      <c r="E420" s="1703" t="str">
        <f>'Part III-Sources of Funds'!E43</f>
        <v>HDC</v>
      </c>
      <c r="F420" s="1703">
        <f>'Part III-Sources of Funds'!F43</f>
        <v>0</v>
      </c>
      <c r="G420" s="1703">
        <f>'Part III-Sources of Funds'!G43</f>
        <v>0</v>
      </c>
      <c r="H420" s="1703">
        <f>'Part III-Sources of Funds'!H43</f>
        <v>0</v>
      </c>
      <c r="I420" s="1766">
        <f>'Part III-Sources of Funds'!I43</f>
        <v>800</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4186</v>
      </c>
      <c r="C422" s="1647"/>
      <c r="D422" s="1710"/>
      <c r="E422" s="1710" t="s">
        <v>4088</v>
      </c>
      <c r="F422" s="1719" t="e">
        <f>'Part III-Sources of Funds'!F45</f>
        <v>#N/A</v>
      </c>
      <c r="G422" s="1710">
        <f>'Part III-Sources of Funds'!G45</f>
        <v>0</v>
      </c>
      <c r="H422" s="1711" t="s">
        <v>4185</v>
      </c>
      <c r="I422" s="1719" t="str">
        <f>'Part III-Sources of Funds'!I45</f>
        <v/>
      </c>
      <c r="J422" s="1710">
        <f>'Part III-Sources of Funds'!J45</f>
        <v>0</v>
      </c>
      <c r="K422" s="1711" t="s">
        <v>4187</v>
      </c>
      <c r="L422" s="1720" t="e">
        <f>'Part III-Sources of Funds'!L45</f>
        <v>#N/A</v>
      </c>
      <c r="M422" s="1720">
        <f>'Part III-Sources of Funds'!M45</f>
        <v>0</v>
      </c>
      <c r="N422" s="1717" t="s">
        <v>4974</v>
      </c>
      <c r="O422" s="1717"/>
      <c r="P422" s="1766">
        <f>'Part III-Sources of Funds'!P45</f>
        <v>68.010000001639128</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c r="A426" s="1647"/>
      <c r="B426" s="1647" t="s">
        <v>802</v>
      </c>
      <c r="C426" s="1647"/>
      <c r="D426" s="1647"/>
      <c r="E426" s="1703" t="str">
        <f>'Part III-Sources of Funds'!E49</f>
        <v>Aegon</v>
      </c>
      <c r="F426" s="1703">
        <f>'Part III-Sources of Funds'!F49</f>
        <v>0</v>
      </c>
      <c r="G426" s="1703">
        <f>'Part III-Sources of Funds'!G49</f>
        <v>0</v>
      </c>
      <c r="H426" s="1703">
        <f>'Part III-Sources of Funds'!H49</f>
        <v>0</v>
      </c>
      <c r="I426" s="1779">
        <f>'Part III-Sources of Funds'!I49</f>
        <v>3998000</v>
      </c>
      <c r="J426" s="1779">
        <f>'Part III-Sources of Funds'!J49</f>
        <v>0</v>
      </c>
      <c r="K426" s="1710"/>
      <c r="L426" s="1723">
        <f>'Part IV-A-Uses of Funds'!$J$175*10*'Part IV-A-Uses of Funds'!$N$168</f>
        <v>3998584.2</v>
      </c>
      <c r="M426" s="1723"/>
      <c r="N426" s="1724">
        <f>I426-L426</f>
        <v>-584.20000000018626</v>
      </c>
      <c r="O426" s="1724"/>
      <c r="P426" s="1725" t="s">
        <v>2559</v>
      </c>
      <c r="Q426" s="1647"/>
      <c r="R426" s="1710"/>
      <c r="S426" s="1708">
        <f>'Part III-Sources of Funds'!S49</f>
        <v>0</v>
      </c>
      <c r="T426" s="1708">
        <f>'Part III-Sources of Funds'!T49</f>
        <v>0</v>
      </c>
    </row>
    <row r="427" spans="1:20" ht="13.5">
      <c r="A427" s="1647"/>
      <c r="B427" s="1647" t="s">
        <v>803</v>
      </c>
      <c r="C427" s="1647"/>
      <c r="D427" s="1647"/>
      <c r="E427" s="1703" t="str">
        <f>'Part III-Sources of Funds'!E50</f>
        <v>Twain</v>
      </c>
      <c r="F427" s="1703">
        <f>'Part III-Sources of Funds'!F50</f>
        <v>0</v>
      </c>
      <c r="G427" s="1703">
        <f>'Part III-Sources of Funds'!G50</f>
        <v>0</v>
      </c>
      <c r="H427" s="1703">
        <f>'Part III-Sources of Funds'!H50</f>
        <v>0</v>
      </c>
      <c r="I427" s="1779">
        <f>'Part III-Sources of Funds'!I50</f>
        <v>2819234</v>
      </c>
      <c r="J427" s="1779">
        <f>'Part III-Sources of Funds'!J50</f>
        <v>0</v>
      </c>
      <c r="K427" s="1710"/>
      <c r="L427" s="1723">
        <f>'Part IV-A-Uses of Funds'!$J$175*10*'Part IV-A-Uses of Funds'!$Q$168</f>
        <v>2819514.5</v>
      </c>
      <c r="M427" s="1723"/>
      <c r="N427" s="1724">
        <f>I427-L427</f>
        <v>-280.5</v>
      </c>
      <c r="O427" s="1724"/>
      <c r="P427" s="1726">
        <f>I426/I436</f>
        <v>0.25863459805179534</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0.18237905262730245</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0.44101365067909781</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15458034</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15458102.010000002</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-68.010000001639128</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2692</v>
      </c>
      <c r="T441" s="2727"/>
    </row>
    <row r="446" spans="1:24">
      <c r="A446" s="1647" t="str">
        <f>CONCATENATE("PART FOUR -  USES OF FUNDS","  -  ",'Part I-Project Information'!$O$6," ",'Part I-Project Information'!$F$34,", ",'Part I-Project Information'!F483,", ",'Part I-Project Information'!J484," County")</f>
        <v>PART FOUR -  USES OF FUNDS  -  2019-5 Enclave at Milledgeville,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Enclave at Milledgeville,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2682</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13000</v>
      </c>
      <c r="H453" s="1729"/>
      <c r="I453" s="1647"/>
      <c r="J453" s="1729">
        <f>'Part IV-A-Uses of Funds'!J8</f>
        <v>0</v>
      </c>
      <c r="K453" s="1729"/>
      <c r="L453" s="1664"/>
      <c r="M453" s="1729">
        <f>'Part IV-A-Uses of Funds'!M8</f>
        <v>0</v>
      </c>
      <c r="N453" s="1729"/>
      <c r="O453" s="1647"/>
      <c r="P453" s="1729">
        <f>'Part IV-A-Uses of Funds'!P8</f>
        <v>13000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6000</v>
      </c>
      <c r="H454" s="1729"/>
      <c r="I454" s="1647"/>
      <c r="J454" s="1729">
        <f>'Part IV-A-Uses of Funds'!J9</f>
        <v>0</v>
      </c>
      <c r="K454" s="1729"/>
      <c r="L454" s="1664"/>
      <c r="M454" s="1729">
        <f>'Part IV-A-Uses of Funds'!M9</f>
        <v>0</v>
      </c>
      <c r="N454" s="1729"/>
      <c r="O454" s="1647"/>
      <c r="P454" s="1729">
        <f>'Part IV-A-Uses of Funds'!P9</f>
        <v>6000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18097</v>
      </c>
      <c r="H455" s="1729"/>
      <c r="I455" s="1647"/>
      <c r="J455" s="1729">
        <f>'Part IV-A-Uses of Funds'!J10</f>
        <v>0</v>
      </c>
      <c r="K455" s="1729"/>
      <c r="L455" s="1664"/>
      <c r="M455" s="1729">
        <f>'Part IV-A-Uses of Funds'!M10</f>
        <v>0</v>
      </c>
      <c r="N455" s="1729"/>
      <c r="O455" s="1647"/>
      <c r="P455" s="1729">
        <f>'Part IV-A-Uses of Funds'!P10</f>
        <v>18097</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2499</v>
      </c>
      <c r="C457" s="1647"/>
      <c r="D457" s="1647"/>
      <c r="E457" s="1647"/>
      <c r="F457" s="1647"/>
      <c r="G457" s="1729">
        <f>'Part IV-A-Uses of Funds'!G12</f>
        <v>10000</v>
      </c>
      <c r="H457" s="1729"/>
      <c r="I457" s="1647"/>
      <c r="J457" s="1729">
        <f>'Part IV-A-Uses of Funds'!J12</f>
        <v>0</v>
      </c>
      <c r="K457" s="1729"/>
      <c r="L457" s="1664"/>
      <c r="M457" s="1729">
        <f>'Part IV-A-Uses of Funds'!M12</f>
        <v>0</v>
      </c>
      <c r="N457" s="1729"/>
      <c r="O457" s="1647"/>
      <c r="P457" s="1729">
        <f>'Part IV-A-Uses of Funds'!P12</f>
        <v>10000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PNA/Energy Audit/EarthCraft/Sewer Inspections</v>
      </c>
      <c r="D459" s="1659"/>
      <c r="E459" s="1659"/>
      <c r="F459" s="1659"/>
      <c r="G459" s="1729">
        <f>'Part IV-A-Uses of Funds'!G14</f>
        <v>62380</v>
      </c>
      <c r="H459" s="1729"/>
      <c r="I459" s="1647"/>
      <c r="J459" s="1729">
        <f>'Part IV-A-Uses of Funds'!J14</f>
        <v>0</v>
      </c>
      <c r="K459" s="1729"/>
      <c r="L459" s="1664"/>
      <c r="M459" s="1729">
        <f>'Part IV-A-Uses of Funds'!M14</f>
        <v>0</v>
      </c>
      <c r="N459" s="1729"/>
      <c r="O459" s="1647"/>
      <c r="P459" s="1729">
        <f>'Part IV-A-Uses of Funds'!P14</f>
        <v>62380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f>'Part IV-A-Uses of Funds'!C15</f>
        <v>0</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f>'Part IV-A-Uses of Funds'!C16</f>
        <v>0</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109477</v>
      </c>
      <c r="H462" s="1729"/>
      <c r="I462" s="1647"/>
      <c r="J462" s="1729">
        <f>SUM(J453:K461)</f>
        <v>0</v>
      </c>
      <c r="K462" s="1665"/>
      <c r="L462" s="1664"/>
      <c r="M462" s="1729">
        <f>SUM(M453:N461)</f>
        <v>0</v>
      </c>
      <c r="N462" s="1729"/>
      <c r="O462" s="1647"/>
      <c r="P462" s="1729">
        <f>SUM(P453:Q461)</f>
        <v>109477</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3726</v>
      </c>
      <c r="F464" s="1736">
        <f>IF('Part I-Project Information'!$O$37="","",G464/'Part I-Project Information'!$O$37)</f>
        <v>0.11665888940737286</v>
      </c>
      <c r="G464" s="1729">
        <f>'Part IV-A-Uses of Funds'!G19</f>
        <v>1</v>
      </c>
      <c r="H464" s="1729"/>
      <c r="I464" s="1647"/>
      <c r="J464" s="1664"/>
      <c r="K464" s="1729"/>
      <c r="L464" s="1664"/>
      <c r="M464" s="1664"/>
      <c r="N464" s="1729"/>
      <c r="O464" s="1647"/>
      <c r="P464" s="1664"/>
      <c r="Q464" s="1729"/>
      <c r="R464" s="1647"/>
      <c r="S464" s="1729">
        <f>'Part IV-A-Uses of Funds'!S19</f>
        <v>1</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3945160</v>
      </c>
      <c r="H467" s="1729"/>
      <c r="I467" s="1647"/>
      <c r="J467" s="1664"/>
      <c r="K467" s="1729"/>
      <c r="L467" s="1664"/>
      <c r="M467" s="1729">
        <f>'Part IV-A-Uses of Funds'!M22</f>
        <v>0</v>
      </c>
      <c r="N467" s="1729"/>
      <c r="O467" s="1647"/>
      <c r="P467" s="1664"/>
      <c r="Q467" s="1729"/>
      <c r="R467" s="1647"/>
      <c r="S467" s="1729">
        <f>'Part IV-A-Uses of Funds'!S22</f>
        <v>3945160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3945161</v>
      </c>
      <c r="H468" s="1729"/>
      <c r="I468" s="1647"/>
      <c r="J468" s="1664"/>
      <c r="K468" s="1729"/>
      <c r="L468" s="1664"/>
      <c r="M468" s="1729">
        <f>SUM(M466:N467)</f>
        <v>0</v>
      </c>
      <c r="N468" s="1729"/>
      <c r="O468" s="1647"/>
      <c r="P468" s="1664"/>
      <c r="Q468" s="1729"/>
      <c r="R468" s="1647"/>
      <c r="S468" s="1729">
        <f>SUM(S464:T467)</f>
        <v>3945161</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3726</v>
      </c>
      <c r="F470" s="1736">
        <f>IF('Part I-Project Information'!$O$37="","",G470/'Part I-Project Information'!$O$37)</f>
        <v>180121.32524498369</v>
      </c>
      <c r="G470" s="1729">
        <f>'Part IV-A-Uses of Funds'!G25</f>
        <v>1544000</v>
      </c>
      <c r="H470" s="1729"/>
      <c r="I470" s="1647"/>
      <c r="J470" s="1729">
        <f>'Part IV-A-Uses of Funds'!J25</f>
        <v>0</v>
      </c>
      <c r="K470" s="1729"/>
      <c r="L470" s="1664"/>
      <c r="M470" s="1729">
        <f>'Part IV-A-Uses of Funds'!M25</f>
        <v>0</v>
      </c>
      <c r="N470" s="1729"/>
      <c r="O470" s="1647"/>
      <c r="P470" s="1729">
        <f>'Part IV-A-Uses of Funds'!P25</f>
        <v>1544000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1544000</v>
      </c>
      <c r="H472" s="1729"/>
      <c r="I472" s="1647"/>
      <c r="J472" s="1729">
        <f>SUM(J470:K471)</f>
        <v>0</v>
      </c>
      <c r="K472" s="1729"/>
      <c r="L472" s="1664"/>
      <c r="M472" s="1729">
        <f>M470</f>
        <v>0</v>
      </c>
      <c r="N472" s="1729"/>
      <c r="O472" s="1647"/>
      <c r="P472" s="1729">
        <f>P470</f>
        <v>1544000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4180000</v>
      </c>
      <c r="H475" s="1729"/>
      <c r="I475" s="1647"/>
      <c r="J475" s="1729">
        <f>'Part IV-A-Uses of Funds'!J30</f>
        <v>0</v>
      </c>
      <c r="K475" s="1729"/>
      <c r="L475" s="1664"/>
      <c r="M475" s="1729">
        <f>'Part IV-A-Uses of Funds'!M30</f>
        <v>0</v>
      </c>
      <c r="N475" s="1729"/>
      <c r="O475" s="1647"/>
      <c r="P475" s="1729">
        <f>'Part IV-A-Uses of Funds'!P30</f>
        <v>4180000</v>
      </c>
      <c r="Q475" s="1729"/>
      <c r="R475" s="1647"/>
      <c r="S475" s="1729">
        <f>'Part IV-A-Uses of Funds'!S30</f>
        <v>0</v>
      </c>
      <c r="T475" s="1729"/>
      <c r="U475" s="1647"/>
      <c r="V475" s="1735">
        <f>'Part IV-A-Uses of Funds'!V30</f>
        <v>0</v>
      </c>
      <c r="W475" s="1485">
        <f>'Part IV-A-Uses of Funds'!W30</f>
        <v>0</v>
      </c>
      <c r="X475" s="1485"/>
    </row>
    <row r="476" spans="1:24">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4180000</v>
      </c>
      <c r="H478" s="1729"/>
      <c r="I478" s="1647"/>
      <c r="J478" s="1729">
        <f>SUM(J474:K477)</f>
        <v>0</v>
      </c>
      <c r="K478" s="1729"/>
      <c r="L478" s="1664"/>
      <c r="M478" s="1729">
        <f>SUM(M474:N477)</f>
        <v>0</v>
      </c>
      <c r="N478" s="1729"/>
      <c r="O478" s="1647"/>
      <c r="P478" s="1729">
        <f>SUM(P474:Q477)</f>
        <v>4180000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343440</v>
      </c>
      <c r="F480" s="1742">
        <f>IF(($G$27+$G$33)=0,0,G480/($G$27+$G$33))</f>
        <v>0</v>
      </c>
      <c r="G480" s="1729">
        <f>'Part IV-A-Uses of Funds'!G35</f>
        <v>343440</v>
      </c>
      <c r="H480" s="1729"/>
      <c r="I480" s="1653"/>
      <c r="J480" s="1729">
        <f>'Part IV-A-Uses of Funds'!J35</f>
        <v>0</v>
      </c>
      <c r="K480" s="1729"/>
      <c r="L480" s="1664"/>
      <c r="M480" s="1729">
        <f>'Part IV-A-Uses of Funds'!M35</f>
        <v>0</v>
      </c>
      <c r="N480" s="1729"/>
      <c r="O480" s="1647"/>
      <c r="P480" s="1729">
        <f>'Part IV-A-Uses of Funds'!P35</f>
        <v>343440</v>
      </c>
      <c r="Q480" s="1729"/>
      <c r="R480" s="1647"/>
      <c r="S480" s="1729">
        <f>'Part IV-A-Uses of Funds'!S35</f>
        <v>0</v>
      </c>
      <c r="T480" s="1729"/>
      <c r="U480" s="1647"/>
      <c r="V480" s="1735">
        <f>'Part IV-A-Uses of Funds'!V35</f>
        <v>0</v>
      </c>
      <c r="W480" s="1485">
        <f>'Part IV-A-Uses of Funds'!W35</f>
        <v>0</v>
      </c>
      <c r="X480" s="1485"/>
    </row>
    <row r="481" spans="1:24" ht="13.5">
      <c r="A481" s="1647"/>
      <c r="B481" s="1647" t="s">
        <v>2735</v>
      </c>
      <c r="C481" s="1647"/>
      <c r="D481" s="1742">
        <f>'DCA Underwriting Assumptions'!$R$74</f>
        <v>0.02</v>
      </c>
      <c r="E481" s="1743">
        <f>D481*(G472+G478)</f>
        <v>114480</v>
      </c>
      <c r="F481" s="1742">
        <f>IF(($G$27+$G$33)=0,0,G481/($G$27+$G$33))</f>
        <v>0</v>
      </c>
      <c r="G481" s="1729">
        <f>'Part IV-A-Uses of Funds'!G36</f>
        <v>114480</v>
      </c>
      <c r="H481" s="1729"/>
      <c r="I481" s="1653"/>
      <c r="J481" s="1729">
        <f>'Part IV-A-Uses of Funds'!J36</f>
        <v>0</v>
      </c>
      <c r="K481" s="1729"/>
      <c r="L481" s="1664"/>
      <c r="M481" s="1729">
        <f>'Part IV-A-Uses of Funds'!M36</f>
        <v>0</v>
      </c>
      <c r="N481" s="1729"/>
      <c r="O481" s="1647"/>
      <c r="P481" s="1729">
        <f>'Part IV-A-Uses of Funds'!P36</f>
        <v>114480</v>
      </c>
      <c r="Q481" s="1729"/>
      <c r="R481" s="1647"/>
      <c r="S481" s="1729">
        <f>'Part IV-A-Uses of Funds'!S36</f>
        <v>0</v>
      </c>
      <c r="T481" s="1729"/>
      <c r="U481" s="1647"/>
      <c r="V481" s="1735">
        <f>'Part IV-A-Uses of Funds'!V36</f>
        <v>0</v>
      </c>
      <c r="W481" s="1485">
        <f>'Part IV-A-Uses of Funds'!W36</f>
        <v>0</v>
      </c>
      <c r="X481" s="1485"/>
    </row>
    <row r="482" spans="1:24" ht="13.5">
      <c r="A482" s="1647"/>
      <c r="B482" s="1647" t="s">
        <v>2736</v>
      </c>
      <c r="C482" s="1647"/>
      <c r="D482" s="1742">
        <f>'DCA Underwriting Assumptions'!$R$75</f>
        <v>0.06</v>
      </c>
      <c r="E482" s="1743">
        <f>D482*(G472+G478)</f>
        <v>343440</v>
      </c>
      <c r="F482" s="1742">
        <f>IF(($G$27+$G$33)=0,0,G482/($G$27+$G$33))</f>
        <v>0</v>
      </c>
      <c r="G482" s="1729">
        <f>'Part IV-A-Uses of Funds'!G37</f>
        <v>343440</v>
      </c>
      <c r="H482" s="1729"/>
      <c r="I482" s="1653"/>
      <c r="J482" s="1729">
        <f>'Part IV-A-Uses of Funds'!J37</f>
        <v>0</v>
      </c>
      <c r="K482" s="1729"/>
      <c r="L482" s="1664"/>
      <c r="M482" s="1729">
        <f>'Part IV-A-Uses of Funds'!M37</f>
        <v>0</v>
      </c>
      <c r="N482" s="1729"/>
      <c r="O482" s="1647"/>
      <c r="P482" s="1729">
        <f>'Part IV-A-Uses of Funds'!P37</f>
        <v>343330</v>
      </c>
      <c r="Q482" s="1729"/>
      <c r="R482" s="1647"/>
      <c r="S482" s="1729">
        <f>'Part IV-A-Uses of Funds'!S37</f>
        <v>0</v>
      </c>
      <c r="T482" s="1729"/>
      <c r="U482" s="1647"/>
      <c r="V482" s="1735">
        <f>'Part IV-A-Uses of Funds'!V37</f>
        <v>0</v>
      </c>
      <c r="W482" s="1485">
        <f>'Part IV-A-Uses of Funds'!W37</f>
        <v>0</v>
      </c>
      <c r="X482" s="1485"/>
    </row>
    <row r="483" spans="1:24" ht="13.5">
      <c r="A483" s="1647"/>
      <c r="B483" s="1652" t="s">
        <v>3731</v>
      </c>
      <c r="C483" s="1647"/>
      <c r="D483" s="2736">
        <f>SUM(D480:D482)</f>
        <v>0.14000000000000001</v>
      </c>
      <c r="E483" s="2737">
        <f>SUM(E480:E482)</f>
        <v>801360</v>
      </c>
      <c r="F483" s="1761" t="s">
        <v>191</v>
      </c>
      <c r="G483" s="1729">
        <f>SUM(G480:H482)</f>
        <v>801360</v>
      </c>
      <c r="H483" s="1729"/>
      <c r="I483" s="1647"/>
      <c r="J483" s="1729">
        <f>SUM(J480:K482)</f>
        <v>0</v>
      </c>
      <c r="K483" s="1729"/>
      <c r="L483" s="1664"/>
      <c r="M483" s="1729">
        <f>SUM(M480:N482)</f>
        <v>0</v>
      </c>
      <c r="N483" s="1729"/>
      <c r="O483" s="1647"/>
      <c r="P483" s="1729">
        <f>SUM(P480:Q482)</f>
        <v>801250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5151</v>
      </c>
      <c r="C488" s="1746"/>
      <c r="D488" s="1647"/>
      <c r="E488" s="1703" t="s">
        <v>2743</v>
      </c>
      <c r="F488" s="1747">
        <f>B489/'Part VI-Revenues &amp; Expenses'!$O$65</f>
        <v>85860</v>
      </c>
      <c r="G488" s="1748" t="s">
        <v>4509</v>
      </c>
      <c r="H488" s="1647"/>
      <c r="I488" s="1647"/>
      <c r="J488" s="1749">
        <f>B489/'Part VI-Revenues &amp; Expenses'!$O$67</f>
        <v>85860</v>
      </c>
      <c r="K488" s="1749"/>
      <c r="L488" s="1647"/>
      <c r="M488" s="1750" t="s">
        <v>1402</v>
      </c>
      <c r="N488" s="1750"/>
      <c r="O488" s="1647"/>
      <c r="P488" s="1749">
        <f>B489/'Part I-Project Information'!$P$75</f>
        <v>99.620774938169831</v>
      </c>
      <c r="Q488" s="1749"/>
      <c r="R488" s="1647"/>
      <c r="S488" s="1671" t="s">
        <v>2777</v>
      </c>
      <c r="T488" s="1671"/>
      <c r="U488" s="1647"/>
      <c r="V488" s="1735"/>
      <c r="W488" s="1485">
        <f>'Part IV-A-Uses of Funds'!W43</f>
        <v>0</v>
      </c>
      <c r="X488" s="1485"/>
    </row>
    <row r="489" spans="1:24">
      <c r="A489" s="1647"/>
      <c r="B489" s="1751">
        <f>G472+G478+G483+G486</f>
        <v>6525360</v>
      </c>
      <c r="C489" s="1751"/>
      <c r="D489" s="1647"/>
      <c r="E489" s="1703"/>
      <c r="F489" s="1747">
        <f>B489/'Part VI-Revenues &amp; Expenses'!$O$154</f>
        <v>101.52725914861837</v>
      </c>
      <c r="G489" s="1671" t="s">
        <v>4510</v>
      </c>
      <c r="H489" s="1647"/>
      <c r="I489" s="1647"/>
      <c r="J489" s="1749">
        <f>B489/'Part VI-Revenues &amp; Expenses'!$O$156</f>
        <v>101.52725914861837</v>
      </c>
      <c r="K489" s="1749"/>
      <c r="L489" s="1647"/>
      <c r="M489" s="1671" t="s">
        <v>2776</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4190</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652536</v>
      </c>
      <c r="F492" s="1755">
        <f>G492/B489</f>
        <v>0.05</v>
      </c>
      <c r="G492" s="1729">
        <f>'Part IV-A-Uses of Funds'!G47</f>
        <v>326268</v>
      </c>
      <c r="H492" s="1729"/>
      <c r="I492" s="1647"/>
      <c r="J492" s="1729">
        <f>'Part IV-A-Uses of Funds'!J47</f>
        <v>0</v>
      </c>
      <c r="K492" s="1729"/>
      <c r="L492" s="1664"/>
      <c r="M492" s="1729">
        <f>'Part IV-A-Uses of Funds'!M47</f>
        <v>0</v>
      </c>
      <c r="N492" s="1729"/>
      <c r="O492" s="1647"/>
      <c r="P492" s="1729">
        <f>'Part IV-A-Uses of Funds'!P47</f>
        <v>326268</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4511</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2682</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120828.64</v>
      </c>
      <c r="H499" s="1729"/>
      <c r="I499" s="1647"/>
      <c r="J499" s="1729">
        <f>'Part IV-A-Uses of Funds'!J54</f>
        <v>0</v>
      </c>
      <c r="K499" s="1729"/>
      <c r="L499" s="1664"/>
      <c r="M499" s="1729">
        <f>'Part IV-A-Uses of Funds'!M54</f>
        <v>0</v>
      </c>
      <c r="N499" s="1729"/>
      <c r="O499" s="1647"/>
      <c r="P499" s="1729">
        <f>'Part IV-A-Uses of Funds'!P54</f>
        <v>120828.64</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262080</v>
      </c>
      <c r="H500" s="1729"/>
      <c r="I500" s="1647"/>
      <c r="J500" s="1729">
        <f>'Part IV-A-Uses of Funds'!J55</f>
        <v>0</v>
      </c>
      <c r="K500" s="1729"/>
      <c r="L500" s="1664"/>
      <c r="M500" s="1729">
        <f>'Part IV-A-Uses of Funds'!M55</f>
        <v>0</v>
      </c>
      <c r="N500" s="1729"/>
      <c r="O500" s="1647"/>
      <c r="P500" s="1729">
        <f>'Part IV-A-Uses of Funds'!P55</f>
        <v>209664</v>
      </c>
      <c r="Q500" s="1729"/>
      <c r="R500" s="1647"/>
      <c r="S500" s="1729">
        <f>'Part IV-A-Uses of Funds'!S55</f>
        <v>52416</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40000</v>
      </c>
      <c r="H501" s="1729"/>
      <c r="I501" s="1647"/>
      <c r="J501" s="1729">
        <f>'Part IV-A-Uses of Funds'!J56</f>
        <v>0</v>
      </c>
      <c r="K501" s="1729"/>
      <c r="L501" s="1664"/>
      <c r="M501" s="1729">
        <f>'Part IV-A-Uses of Funds'!M56</f>
        <v>0</v>
      </c>
      <c r="N501" s="1729"/>
      <c r="O501" s="1647"/>
      <c r="P501" s="1729">
        <f>'Part IV-A-Uses of Funds'!P56</f>
        <v>40000</v>
      </c>
      <c r="Q501" s="1729"/>
      <c r="R501" s="1647"/>
      <c r="S501" s="1729">
        <f>'Part IV-A-Uses of Funds'!S56</f>
        <v>0</v>
      </c>
      <c r="T501" s="1729"/>
      <c r="U501" s="1647"/>
      <c r="V501" s="1735">
        <f>'Part IV-A-Uses of Funds'!V56</f>
        <v>0</v>
      </c>
      <c r="W501" s="1485">
        <f>'Part IV-A-Uses of Funds'!W56</f>
        <v>0</v>
      </c>
      <c r="X501" s="1485"/>
    </row>
    <row r="502" spans="1:24">
      <c r="A502" s="1647"/>
      <c r="B502" s="1647" t="s">
        <v>2686</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20000</v>
      </c>
      <c r="H504" s="1729"/>
      <c r="I504" s="1647"/>
      <c r="J504" s="1729">
        <f>'Part IV-A-Uses of Funds'!J59</f>
        <v>0</v>
      </c>
      <c r="K504" s="1729"/>
      <c r="L504" s="1664"/>
      <c r="M504" s="1729">
        <f>'Part IV-A-Uses of Funds'!M59</f>
        <v>0</v>
      </c>
      <c r="N504" s="1729"/>
      <c r="O504" s="1647"/>
      <c r="P504" s="1729">
        <f>'Part IV-A-Uses of Funds'!P59</f>
        <v>20000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Lender Due Diligence Fee</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442908.64</v>
      </c>
      <c r="H509" s="1729"/>
      <c r="I509" s="1647"/>
      <c r="J509" s="1729">
        <f>SUM(J497:K508)</f>
        <v>0</v>
      </c>
      <c r="K509" s="1729"/>
      <c r="L509" s="1664"/>
      <c r="M509" s="1729">
        <f>SUM(M497:N508)</f>
        <v>0</v>
      </c>
      <c r="N509" s="1729"/>
      <c r="O509" s="1647"/>
      <c r="P509" s="1729">
        <f>SUM(P497:Q508)</f>
        <v>390492.64</v>
      </c>
      <c r="Q509" s="1729"/>
      <c r="R509" s="1647"/>
      <c r="S509" s="1729">
        <f>SUM(S497:T508)</f>
        <v>52416</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283000</v>
      </c>
      <c r="H511" s="1729"/>
      <c r="I511" s="1647"/>
      <c r="J511" s="1729">
        <f>'Part IV-A-Uses of Funds'!J66</f>
        <v>0</v>
      </c>
      <c r="K511" s="1729"/>
      <c r="L511" s="1664"/>
      <c r="M511" s="1729">
        <f>'Part IV-A-Uses of Funds'!M66</f>
        <v>0</v>
      </c>
      <c r="N511" s="1729"/>
      <c r="O511" s="1647"/>
      <c r="P511" s="1729">
        <f>'Part IV-A-Uses of Funds'!P66</f>
        <v>283000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3849</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5000</v>
      </c>
      <c r="H515" s="1729"/>
      <c r="I515" s="1647"/>
      <c r="J515" s="1729">
        <f>'Part IV-A-Uses of Funds'!J70</f>
        <v>0</v>
      </c>
      <c r="K515" s="1729"/>
      <c r="L515" s="1664"/>
      <c r="M515" s="1729">
        <f>'Part IV-A-Uses of Funds'!M70</f>
        <v>0</v>
      </c>
      <c r="N515" s="1729"/>
      <c r="O515" s="1647"/>
      <c r="P515" s="1729">
        <f>'Part IV-A-Uses of Funds'!P70</f>
        <v>5000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58000</v>
      </c>
      <c r="H517" s="1729"/>
      <c r="I517" s="1647"/>
      <c r="J517" s="1729">
        <f>'Part IV-A-Uses of Funds'!J72</f>
        <v>0</v>
      </c>
      <c r="K517" s="1729"/>
      <c r="L517" s="1664"/>
      <c r="M517" s="1729">
        <f>'Part IV-A-Uses of Funds'!M72</f>
        <v>0</v>
      </c>
      <c r="N517" s="1729"/>
      <c r="O517" s="1647"/>
      <c r="P517" s="1729">
        <f>'Part IV-A-Uses of Funds'!P72</f>
        <v>58000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45000</v>
      </c>
      <c r="H518" s="1729"/>
      <c r="I518" s="1647"/>
      <c r="J518" s="1729">
        <f>'Part IV-A-Uses of Funds'!J73</f>
        <v>0</v>
      </c>
      <c r="K518" s="1729"/>
      <c r="L518" s="1664"/>
      <c r="M518" s="1729">
        <f>'Part IV-A-Uses of Funds'!M73</f>
        <v>0</v>
      </c>
      <c r="N518" s="1729"/>
      <c r="O518" s="1647"/>
      <c r="P518" s="1729">
        <f>'Part IV-A-Uses of Funds'!P73</f>
        <v>45000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20000</v>
      </c>
      <c r="H519" s="1729"/>
      <c r="I519" s="1647"/>
      <c r="J519" s="1729">
        <f>'Part IV-A-Uses of Funds'!J74</f>
        <v>0</v>
      </c>
      <c r="K519" s="1729"/>
      <c r="L519" s="1664"/>
      <c r="M519" s="1729">
        <f>'Part IV-A-Uses of Funds'!M74</f>
        <v>0</v>
      </c>
      <c r="N519" s="1729"/>
      <c r="O519" s="1647"/>
      <c r="P519" s="1729">
        <f>'Part IV-A-Uses of Funds'!P74</f>
        <v>20000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411000</v>
      </c>
      <c r="H522" s="1729"/>
      <c r="I522" s="1647"/>
      <c r="J522" s="1729">
        <f>SUM(J511:K521)</f>
        <v>0</v>
      </c>
      <c r="K522" s="1729"/>
      <c r="L522" s="1664"/>
      <c r="M522" s="1729">
        <f>SUM(M511:N521)</f>
        <v>0</v>
      </c>
      <c r="N522" s="1729"/>
      <c r="O522" s="1647"/>
      <c r="P522" s="1729">
        <f>SUM(P511:Q521)</f>
        <v>411000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3736</v>
      </c>
      <c r="E523" s="1760">
        <f>G528/'Part VI-Revenues &amp; Expenses'!$O$67</f>
        <v>900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68400</v>
      </c>
      <c r="H524" s="1729"/>
      <c r="I524" s="1647"/>
      <c r="J524" s="1729">
        <f>'Part IV-A-Uses of Funds'!J79</f>
        <v>0</v>
      </c>
      <c r="K524" s="1729"/>
      <c r="L524" s="1664"/>
      <c r="M524" s="1729">
        <f>'Part IV-A-Uses of Funds'!M79</f>
        <v>0</v>
      </c>
      <c r="N524" s="1729"/>
      <c r="O524" s="1647"/>
      <c r="P524" s="1729">
        <f>'Part IV-A-Uses of Funds'!P79</f>
        <v>68400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68400</v>
      </c>
      <c r="H528" s="1729"/>
      <c r="I528" s="1647"/>
      <c r="J528" s="1729">
        <f>SUM(J524:K527)</f>
        <v>0</v>
      </c>
      <c r="K528" s="1729"/>
      <c r="L528" s="1664"/>
      <c r="M528" s="1729">
        <f>SUM(M524:N527)</f>
        <v>0</v>
      </c>
      <c r="N528" s="1729"/>
      <c r="O528" s="1647"/>
      <c r="P528" s="1729">
        <f>SUM(P524:Q527)</f>
        <v>68400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129600</v>
      </c>
      <c r="H530" s="1729"/>
      <c r="I530" s="1647"/>
      <c r="J530" s="1729"/>
      <c r="K530" s="1729"/>
      <c r="L530" s="1664"/>
      <c r="M530" s="1729"/>
      <c r="N530" s="1729"/>
      <c r="O530" s="1647"/>
      <c r="P530" s="1729"/>
      <c r="Q530" s="1729"/>
      <c r="R530" s="1647"/>
      <c r="S530" s="1729">
        <f>'Part IV-A-Uses of Funds'!S85</f>
        <v>129600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55000</v>
      </c>
      <c r="H531" s="1729"/>
      <c r="I531" s="1647"/>
      <c r="J531" s="1729"/>
      <c r="K531" s="1729"/>
      <c r="L531" s="1664"/>
      <c r="M531" s="1729"/>
      <c r="N531" s="1729"/>
      <c r="O531" s="1647"/>
      <c r="P531" s="1729"/>
      <c r="Q531" s="1729"/>
      <c r="R531" s="1647"/>
      <c r="S531" s="1729">
        <f>'Part IV-A-Uses of Funds'!S86</f>
        <v>55000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70000</v>
      </c>
      <c r="H532" s="1729"/>
      <c r="I532" s="1647"/>
      <c r="J532" s="1729"/>
      <c r="K532" s="1729"/>
      <c r="L532" s="1664"/>
      <c r="M532" s="1729"/>
      <c r="N532" s="1729"/>
      <c r="O532" s="1647"/>
      <c r="P532" s="1729"/>
      <c r="Q532" s="1729"/>
      <c r="R532" s="1647"/>
      <c r="S532" s="1729">
        <f>'Part IV-A-Uses of Funds'!S87</f>
        <v>70000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120828.64</v>
      </c>
      <c r="H534" s="1729"/>
      <c r="I534" s="1647"/>
      <c r="J534" s="1729"/>
      <c r="K534" s="1729"/>
      <c r="L534" s="1664"/>
      <c r="M534" s="1729"/>
      <c r="N534" s="1729"/>
      <c r="O534" s="1647"/>
      <c r="P534" s="1729"/>
      <c r="Q534" s="1729"/>
      <c r="R534" s="1647"/>
      <c r="S534" s="1729">
        <f>'Part IV-A-Uses of Funds'!S89</f>
        <v>120828.64</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Lender Due Diligence Fee/Perm Loan app Fee 0.10%/Standby Fee 0.10%</v>
      </c>
      <c r="D535" s="1659"/>
      <c r="E535" s="1659"/>
      <c r="F535" s="1659"/>
      <c r="G535" s="1729">
        <f>'Part IV-A-Uses of Funds'!G90</f>
        <v>42280</v>
      </c>
      <c r="H535" s="1729"/>
      <c r="I535" s="1647"/>
      <c r="J535" s="1729"/>
      <c r="K535" s="1729"/>
      <c r="L535" s="1664"/>
      <c r="M535" s="1729"/>
      <c r="N535" s="1729"/>
      <c r="O535" s="1647"/>
      <c r="P535" s="1729"/>
      <c r="Q535" s="1729"/>
      <c r="R535" s="1647"/>
      <c r="S535" s="1729">
        <f>'Part IV-A-Uses of Funds'!S90</f>
        <v>25000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417708.64</v>
      </c>
      <c r="H536" s="1729"/>
      <c r="I536" s="1647"/>
      <c r="J536" s="1729"/>
      <c r="K536" s="1729"/>
      <c r="L536" s="1664"/>
      <c r="M536" s="1729"/>
      <c r="N536" s="1729"/>
      <c r="O536" s="1647"/>
      <c r="P536" s="1729"/>
      <c r="Q536" s="1729"/>
      <c r="R536" s="1647"/>
      <c r="S536" s="1729">
        <f>SUM(S530:T535)</f>
        <v>400428.64</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4512</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2682</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41011.120000000003</v>
      </c>
      <c r="F544" s="1763"/>
      <c r="G544" s="1729">
        <f>'Part IV-A-Uses of Funds'!G99</f>
        <v>51263.92</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51264</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60800</v>
      </c>
      <c r="F545" s="1763"/>
      <c r="G545" s="1729">
        <f>'Part IV-A-Uses of Funds'!G100</f>
        <v>60800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60800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16000</v>
      </c>
      <c r="H547" s="1729"/>
      <c r="I547" s="1647"/>
      <c r="J547" s="1653"/>
      <c r="K547" s="1653"/>
      <c r="L547" s="1653"/>
      <c r="M547" s="1653"/>
      <c r="N547" s="1653"/>
      <c r="O547" s="1653"/>
      <c r="P547" s="1653"/>
      <c r="Q547" s="1653"/>
      <c r="R547" s="1647"/>
      <c r="S547" s="1729">
        <f>'Part IV-A-Uses of Funds'!S102</f>
        <v>16000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133063.91999999998</v>
      </c>
      <c r="H550" s="1729"/>
      <c r="I550" s="1647"/>
      <c r="J550" s="1664"/>
      <c r="K550" s="1664"/>
      <c r="L550" s="1664"/>
      <c r="M550" s="1664"/>
      <c r="N550" s="1664"/>
      <c r="O550" s="1647"/>
      <c r="P550" s="1664"/>
      <c r="Q550" s="1664"/>
      <c r="R550" s="1647"/>
      <c r="S550" s="1729">
        <f>SUM(S541:T549)</f>
        <v>133064</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20000</v>
      </c>
      <c r="H553" s="1729"/>
      <c r="I553" s="1647"/>
      <c r="J553" s="1729"/>
      <c r="K553" s="1729"/>
      <c r="L553" s="1664"/>
      <c r="M553" s="1729"/>
      <c r="N553" s="1729"/>
      <c r="O553" s="1647"/>
      <c r="P553" s="1729"/>
      <c r="Q553" s="1729"/>
      <c r="R553" s="1647"/>
      <c r="S553" s="1729">
        <f>'Part IV-A-Uses of Funds'!S108</f>
        <v>20000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f>'Part IV-A-Uses of Funds'!C110</f>
        <v>0</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20000</v>
      </c>
      <c r="H556" s="1729"/>
      <c r="I556" s="1647"/>
      <c r="J556" s="1729"/>
      <c r="K556" s="1729"/>
      <c r="L556" s="1664"/>
      <c r="M556" s="1729"/>
      <c r="N556" s="1729"/>
      <c r="O556" s="1647"/>
      <c r="P556" s="1729"/>
      <c r="Q556" s="1729"/>
      <c r="R556" s="1647"/>
      <c r="S556" s="1729">
        <f>SUM(S552:T555)</f>
        <v>20000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570000</v>
      </c>
      <c r="H558" s="1729"/>
      <c r="I558" s="1647"/>
      <c r="J558" s="1729">
        <f>'Part IV-A-Uses of Funds'!J113</f>
        <v>0</v>
      </c>
      <c r="K558" s="1729"/>
      <c r="L558" s="1664"/>
      <c r="M558" s="1729">
        <f>'Part IV-A-Uses of Funds'!M113</f>
        <v>0</v>
      </c>
      <c r="N558" s="1729"/>
      <c r="O558" s="1647"/>
      <c r="P558" s="1729">
        <f>'Part IV-A-Uses of Funds'!P113</f>
        <v>570000</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1330000</v>
      </c>
      <c r="H562" s="1729"/>
      <c r="I562" s="1647"/>
      <c r="J562" s="1729">
        <f>'Part IV-A-Uses of Funds'!J117</f>
        <v>0</v>
      </c>
      <c r="K562" s="1729"/>
      <c r="L562" s="1664"/>
      <c r="M562" s="1729">
        <f>'Part IV-A-Uses of Funds'!M117</f>
        <v>0</v>
      </c>
      <c r="N562" s="1729"/>
      <c r="O562" s="1647"/>
      <c r="P562" s="1729">
        <f>'Part IV-A-Uses of Funds'!P117</f>
        <v>1330000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1900000</v>
      </c>
      <c r="H563" s="2740"/>
      <c r="I563" s="1647"/>
      <c r="J563" s="1729">
        <f>SUM(J558:K562)</f>
        <v>0</v>
      </c>
      <c r="K563" s="1729"/>
      <c r="L563" s="1664"/>
      <c r="M563" s="1729">
        <f>SUM(M558:N562)</f>
        <v>0</v>
      </c>
      <c r="N563" s="1729"/>
      <c r="O563" s="1647"/>
      <c r="P563" s="1729">
        <f>SUM(P558:Q562)</f>
        <v>1900000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20000</v>
      </c>
      <c r="H565" s="1729"/>
      <c r="I565" s="1647"/>
      <c r="J565" s="1762"/>
      <c r="K565" s="1762"/>
      <c r="L565" s="1762"/>
      <c r="M565" s="1762"/>
      <c r="N565" s="1762"/>
      <c r="O565" s="1647"/>
      <c r="P565" s="1762"/>
      <c r="Q565" s="1762"/>
      <c r="R565" s="1647"/>
      <c r="S565" s="1729">
        <f>'Part IV-A-Uses of Funds'!S120</f>
        <v>20000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93340.25</v>
      </c>
      <c r="G566" s="1729">
        <f>'Part IV-A-Uses of Funds'!G121</f>
        <v>25000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25000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396746.66752956575</v>
      </c>
      <c r="G567" s="1729">
        <f>'Part IV-A-Uses of Funds'!G122</f>
        <v>410046.81</v>
      </c>
      <c r="H567" s="1729"/>
      <c r="I567" s="1647"/>
      <c r="J567" s="1803" t="str">
        <f>IF(E567&gt;G567,"WARNING! ODR proposed is below minimum - add comment.","")</f>
        <v/>
      </c>
      <c r="K567" s="1762"/>
      <c r="L567" s="1762"/>
      <c r="M567" s="1762"/>
      <c r="N567" s="1762"/>
      <c r="O567" s="1647"/>
      <c r="P567" s="1762"/>
      <c r="Q567" s="1762"/>
      <c r="R567" s="1647"/>
      <c r="S567" s="1729">
        <f>'Part IV-A-Uses of Funds'!S122</f>
        <v>410047</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3566</v>
      </c>
      <c r="F569" s="1736">
        <f>IF('Part VI-Revenues &amp; Expenses'!$O$67=0,0,G569/'Part VI-Revenues &amp; Expenses'!$O$67)</f>
        <v>1000</v>
      </c>
      <c r="G569" s="1729">
        <f>'Part IV-A-Uses of Funds'!G124</f>
        <v>76000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76000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531046.81000000006</v>
      </c>
      <c r="H571" s="1729"/>
      <c r="I571" s="1647"/>
      <c r="J571" s="1729">
        <f>SUM(J569:K570)</f>
        <v>0</v>
      </c>
      <c r="K571" s="1729"/>
      <c r="L571" s="1664"/>
      <c r="M571" s="1729">
        <f>SUM(M569:N570)</f>
        <v>0</v>
      </c>
      <c r="N571" s="1729"/>
      <c r="O571" s="1647"/>
      <c r="P571" s="1729">
        <f>SUM(P569:Q570)</f>
        <v>0</v>
      </c>
      <c r="Q571" s="1729"/>
      <c r="R571" s="1647"/>
      <c r="S571" s="1729">
        <f>SUM(S565:T570)</f>
        <v>531047</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627708</v>
      </c>
      <c r="H573" s="1729"/>
      <c r="I573" s="1647"/>
      <c r="J573" s="1729">
        <f>'Part IV-A-Uses of Funds'!J128</f>
        <v>0</v>
      </c>
      <c r="K573" s="1729"/>
      <c r="L573" s="1664"/>
      <c r="M573" s="1729">
        <f>'Part IV-A-Uses of Funds'!M128</f>
        <v>0</v>
      </c>
      <c r="N573" s="1729"/>
      <c r="O573" s="1647"/>
      <c r="P573" s="1729">
        <f>'Part IV-A-Uses of Funds'!P128</f>
        <v>400000</v>
      </c>
      <c r="Q573" s="1729"/>
      <c r="R573" s="1647"/>
      <c r="S573" s="1729">
        <f>'Part IV-A-Uses of Funds'!S128</f>
        <v>227708</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f>'Part IV-A-Uses of Funds'!C129</f>
        <v>0</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627708</v>
      </c>
      <c r="H575" s="1729"/>
      <c r="I575" s="1647"/>
      <c r="J575" s="1729">
        <f>SUM(J573:K574)</f>
        <v>0</v>
      </c>
      <c r="K575" s="1729"/>
      <c r="L575" s="1664"/>
      <c r="M575" s="1729">
        <f>SUM(M573:N574)</f>
        <v>0</v>
      </c>
      <c r="N575" s="1729"/>
      <c r="O575" s="1647"/>
      <c r="P575" s="1729">
        <f>SUM(P573:Q574)</f>
        <v>400000</v>
      </c>
      <c r="Q575" s="1729"/>
      <c r="R575" s="1647"/>
      <c r="S575" s="1729">
        <f>SUM(S573:T574)</f>
        <v>227708</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5152</v>
      </c>
      <c r="C577" s="1647"/>
      <c r="D577" s="1647"/>
      <c r="E577" s="1647"/>
      <c r="F577" s="1647"/>
      <c r="G577" s="1729">
        <f>G462+G468+G472+G478+G483+G486+G492+G509+G522+G528+G536+G550+G556+G563+G571+G575</f>
        <v>15458102.010000002</v>
      </c>
      <c r="H577" s="1729"/>
      <c r="I577" s="1647"/>
      <c r="J577" s="1729">
        <f>J462+J468+J472+J478+J483+J486+J492+J509+J522+J528+J536+J550+J556+J563+J571+J575</f>
        <v>0</v>
      </c>
      <c r="K577" s="1729"/>
      <c r="L577" s="1647"/>
      <c r="M577" s="1729">
        <f>M462+M468+M472+M478+M483+M486+M492+M509+M522+M528+M536+M550+M556+M563+M571+M575</f>
        <v>0</v>
      </c>
      <c r="N577" s="1729"/>
      <c r="O577" s="1647"/>
      <c r="P577" s="1729">
        <f>P462+P468+P472+P478+P483+P486+P492+P509+P522+P528+P536+P550+P556+P563+P571+P575</f>
        <v>10130887.640000001</v>
      </c>
      <c r="Q577" s="1729"/>
      <c r="R577" s="1647"/>
      <c r="S577" s="1729">
        <f>S462+S468+S472+S478+S483+S486+S492+S509+S522+S528+S536+S550+S556+S563+S571+S575</f>
        <v>5309824.6399999997</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5102</v>
      </c>
      <c r="C579" s="1746"/>
      <c r="D579" s="1773">
        <f>IF('Part VI-Revenues &amp; Expenses'!$O$67=0,0,G577/'Part VI-Revenues &amp; Expenses'!$O$67)</f>
        <v>203396.0790789474</v>
      </c>
      <c r="E579" s="1773"/>
      <c r="F579" s="1774" t="s">
        <v>2762</v>
      </c>
      <c r="G579" s="1773">
        <f>IF('Part I-Project Information'!$P$75=0,0,G577/'Part I-Project Information'!$P$75)</f>
        <v>235.99435147018414</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f>'Part IV-A-Uses of Funds'!C145</f>
        <v>0</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0</v>
      </c>
      <c r="N594" s="1779"/>
      <c r="O594" s="1647"/>
      <c r="P594" s="1779">
        <f>P577</f>
        <v>10130887.640000001</v>
      </c>
      <c r="Q594" s="1779"/>
      <c r="R594" s="1785" t="s">
        <v>4733</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0</v>
      </c>
      <c r="N596" s="1779"/>
      <c r="O596" s="1647"/>
      <c r="P596" s="1779">
        <f>P594-P595</f>
        <v>10130887.640000001</v>
      </c>
      <c r="Q596" s="1779"/>
      <c r="R596" s="1785"/>
      <c r="S596" s="1785"/>
      <c r="T596" s="1785"/>
      <c r="U596" s="1785"/>
      <c r="V596" s="1735">
        <f>'Part IV-A-Uses of Funds'!V151</f>
        <v>0</v>
      </c>
      <c r="W596" s="1485">
        <f>'Part IV-A-Uses of Funds'!W151</f>
        <v>0</v>
      </c>
      <c r="X596" s="1485"/>
    </row>
    <row r="597" spans="1:24" ht="89.25">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1.3</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0</v>
      </c>
      <c r="N598" s="1779"/>
      <c r="O598" s="1647"/>
      <c r="P598" s="1779">
        <f>P596*P597</f>
        <v>13170153.932000002</v>
      </c>
      <c r="Q598" s="1779"/>
      <c r="R598" s="1785"/>
      <c r="S598" s="1785"/>
      <c r="T598" s="1785"/>
      <c r="U598" s="1703"/>
      <c r="V598" s="1735">
        <f>'Part IV-A-Uses of Funds'!V153</f>
        <v>0</v>
      </c>
      <c r="W598" s="1485">
        <f>'Part IV-A-Uses of Funds'!W153</f>
        <v>0</v>
      </c>
      <c r="X598" s="1485"/>
    </row>
    <row r="599" spans="1:24">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0</v>
      </c>
      <c r="N600" s="1779"/>
      <c r="O600" s="1647"/>
      <c r="P600" s="1779">
        <f>P598*P599</f>
        <v>13170153.932000002</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1</v>
      </c>
      <c r="K601" s="1780"/>
      <c r="L601" s="1647"/>
      <c r="M601" s="1780">
        <f>'Part IV-A-Uses of Funds'!M156</f>
        <v>1</v>
      </c>
      <c r="N601" s="1780"/>
      <c r="O601" s="1647"/>
      <c r="P601" s="1780">
        <f>'Part IV-A-Uses of Funds'!P156</f>
        <v>1</v>
      </c>
      <c r="Q601" s="1780"/>
      <c r="R601" s="1647"/>
      <c r="S601" s="1647"/>
      <c r="T601" s="1647"/>
      <c r="U601" s="1647"/>
      <c r="V601" s="1735">
        <f>'Part IV-A-Uses of Funds'!V156</f>
        <v>0</v>
      </c>
      <c r="W601" s="1485">
        <f>'Part IV-A-Uses of Funds'!W156</f>
        <v>0</v>
      </c>
      <c r="X601" s="1485"/>
    </row>
    <row r="602" spans="1:24">
      <c r="A602" s="1647"/>
      <c r="B602" s="1647" t="s">
        <v>2541</v>
      </c>
      <c r="C602" s="1647"/>
      <c r="D602" s="1647"/>
      <c r="E602" s="1647"/>
      <c r="F602" s="1647"/>
      <c r="G602" s="1647"/>
      <c r="H602" s="1647"/>
      <c r="I602" s="1647"/>
      <c r="J602" s="1779">
        <f>J600*J601</f>
        <v>0</v>
      </c>
      <c r="K602" s="1779"/>
      <c r="L602" s="1647"/>
      <c r="M602" s="1779">
        <f>M600*M601</f>
        <v>0</v>
      </c>
      <c r="N602" s="1779"/>
      <c r="O602" s="1647"/>
      <c r="P602" s="1779">
        <f>P600*P601</f>
        <v>13170153.932000002</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13170153</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5153</v>
      </c>
      <c r="C607" s="1647"/>
      <c r="D607" s="1647"/>
      <c r="E607" s="1647"/>
      <c r="F607" s="1647"/>
      <c r="G607" s="1652" t="str">
        <f>IF(J608&gt;J607,"TDC exceeds QAP PUCL!","")</f>
        <v/>
      </c>
      <c r="H607" s="1652"/>
      <c r="I607" s="1652"/>
      <c r="J607" s="1784">
        <f>'Part VIII-Threshold Criteria'!$P$63</f>
        <v>16229310</v>
      </c>
      <c r="K607" s="1784"/>
      <c r="L607" s="1784"/>
      <c r="M607" s="1785" t="s">
        <v>2745</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5154</v>
      </c>
      <c r="C608" s="1647"/>
      <c r="D608" s="1647"/>
      <c r="E608" s="1647"/>
      <c r="F608" s="1647"/>
      <c r="G608" s="1647"/>
      <c r="H608" s="1647"/>
      <c r="I608" s="1647"/>
      <c r="J608" s="1779">
        <f>'Part IV-A-Uses of Funds'!J163</f>
        <v>15458102.010000002</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8640000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6818102.0100000016</v>
      </c>
      <c r="K610" s="1779"/>
      <c r="L610" s="1779"/>
      <c r="M610" s="1710" t="s">
        <v>2746</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681810.20100000012</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5103</v>
      </c>
      <c r="C613" s="1647"/>
      <c r="D613" s="1647"/>
      <c r="E613" s="1647"/>
      <c r="F613" s="1647"/>
      <c r="G613" s="1647"/>
      <c r="H613" s="1647"/>
      <c r="I613" s="1647"/>
      <c r="J613" s="1788">
        <f>N613+Q613</f>
        <v>1.33</v>
      </c>
      <c r="K613" s="1788"/>
      <c r="L613" s="1788"/>
      <c r="M613" s="1651" t="s">
        <v>1289</v>
      </c>
      <c r="N613" s="2138">
        <f>'Part IV-A-Uses of Funds'!N168</f>
        <v>0.78</v>
      </c>
      <c r="O613" s="2138"/>
      <c r="P613" s="1651" t="s">
        <v>612</v>
      </c>
      <c r="Q613" s="2138">
        <f>'Part IV-A-Uses of Funds'!Q168</f>
        <v>0.55000000000000004</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512639</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5104</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512639</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5105</v>
      </c>
      <c r="C618" s="1647"/>
      <c r="D618" s="1647"/>
      <c r="E618" s="1647"/>
      <c r="F618" s="1647"/>
      <c r="G618" s="1647"/>
      <c r="H618" s="1647"/>
      <c r="I618" s="1647"/>
      <c r="J618" s="1779">
        <f>'Part IV-A-Uses of Funds'!J173</f>
        <v>512639</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5155</v>
      </c>
      <c r="C620" s="1647"/>
      <c r="D620" s="1653"/>
      <c r="E620" s="1653"/>
      <c r="F620" s="1654"/>
      <c r="G620" s="1647"/>
      <c r="H620" s="1647"/>
      <c r="I620" s="1647"/>
      <c r="J620" s="1779">
        <f>IF(J618="",0,+MIN(J616,J618))</f>
        <v>512639</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2692</v>
      </c>
      <c r="X624" s="2727"/>
    </row>
    <row r="628" spans="1:8" ht="15">
      <c r="A628" s="2745" t="str">
        <f>CONCATENATE("PART FOUR (b) -  OTHER COSTS","  -  ",'Part I-Project Information'!$O$6," - ",'Part I-Project Information'!$F$34,"  -  ",'Part I-Project Information'!$F$38,"  -  ",'Part I-Project Information'!$J$39,",  ","County")</f>
        <v>PART FOUR (b) -  OTHER COSTS  -  2019-5 - Enclave at Milledgeville  -  Milledgeville  -  Baldwin,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5106</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PNA/Energy Audit/EarthCraft/Sewer Inspections</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Funds'!$G$14</f>
        <v>62380</v>
      </c>
      <c r="C639" s="1799" t="s">
        <v>1790</v>
      </c>
      <c r="D639" s="1800">
        <f>'Part IV-A-Uses of Funds'!$J$14+'Part IV-A-Uses of Funds'!$M$14+'Part IV-A-Uses of Funds'!$P$14</f>
        <v>62380</v>
      </c>
      <c r="E639" s="2141"/>
      <c r="F639" s="2142"/>
      <c r="G639" s="1797"/>
      <c r="H639" s="2142"/>
    </row>
    <row r="640" spans="1:8" ht="13.5">
      <c r="A640" s="1797"/>
      <c r="B640" s="1801"/>
      <c r="C640" s="1797"/>
      <c r="D640" s="1797"/>
      <c r="E640" s="2141"/>
      <c r="F640" s="2142"/>
      <c r="G640" s="1802"/>
      <c r="H640" s="2142"/>
    </row>
    <row r="641" spans="1:8" ht="13.5" customHeight="1">
      <c r="A641" s="1798">
        <f>'Part IV-A-Uses of Funds'!$C$15</f>
        <v>0</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f>'Part IV-A-Uses of Funds'!$C$16</f>
        <v>0</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3707</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Lender Due Diligence Fee</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Lender Due Diligence Fee/Perm Loan app Fee 0.10%/Standby Fee 0.10%</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3707</v>
      </c>
      <c r="B678" s="1800">
        <f>'Part IV-A-Uses of Funds'!$G$90</f>
        <v>42280</v>
      </c>
      <c r="C678" s="1804"/>
      <c r="D678" s="1804"/>
      <c r="E678" s="1797"/>
      <c r="F678" s="2142"/>
      <c r="G678" s="1797"/>
      <c r="H678" s="2141"/>
    </row>
    <row r="679" spans="1:8" ht="13.5">
      <c r="A679" s="1797"/>
      <c r="B679" s="1797"/>
      <c r="C679" s="1797"/>
      <c r="D679" s="1797"/>
      <c r="E679" s="1797"/>
      <c r="F679" s="2142"/>
      <c r="G679" s="1802"/>
      <c r="H679" s="2141"/>
    </row>
    <row r="680" spans="1:8" ht="13.5">
      <c r="A680" s="1794" t="s">
        <v>5107</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3707</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5108</v>
      </c>
      <c r="B691" s="1797"/>
      <c r="C691" s="1797"/>
      <c r="D691" s="1797"/>
      <c r="E691" s="1797"/>
      <c r="F691" s="1797"/>
      <c r="G691" s="1797"/>
      <c r="H691" s="2141"/>
    </row>
    <row r="692" spans="1:8" ht="13.5" customHeight="1">
      <c r="A692" s="1798">
        <f>'Part IV-A-Uses of Funds'!$C$110</f>
        <v>0</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3707</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5109</v>
      </c>
      <c r="B703" s="1801"/>
      <c r="C703" s="1797"/>
      <c r="D703" s="1797"/>
      <c r="E703" s="1797"/>
      <c r="F703" s="1797"/>
      <c r="G703" s="1802"/>
      <c r="H703" s="2141"/>
    </row>
    <row r="704" spans="1:8" ht="13.5" customHeight="1">
      <c r="A704" s="1798">
        <f>'Part IV-A-Uses of Funds'!$C$129</f>
        <v>0</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Enclave at Milledgeville,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South</v>
      </c>
    </row>
    <row r="715" spans="1:13">
      <c r="A715" s="1806" t="s">
        <v>3806</v>
      </c>
    </row>
    <row r="717" spans="1:13">
      <c r="A717" s="742" t="s">
        <v>616</v>
      </c>
      <c r="B717" s="742" t="s">
        <v>2227</v>
      </c>
      <c r="F717" s="742" t="s">
        <v>2518</v>
      </c>
      <c r="I717" s="1635" t="str">
        <f>'Part V-Utility Allowances'!I7</f>
        <v>HUD</v>
      </c>
      <c r="J717" s="1635"/>
      <c r="K717" s="1635"/>
      <c r="L717" s="1635"/>
      <c r="M717" s="1635"/>
    </row>
    <row r="718" spans="1:13">
      <c r="F718" s="742" t="s">
        <v>636</v>
      </c>
      <c r="I718" s="2143">
        <f>'Part V-Utility Allowances'!I8</f>
        <v>43891</v>
      </c>
      <c r="J718" s="2143"/>
      <c r="K718" s="1637" t="s">
        <v>540</v>
      </c>
      <c r="L718" s="2111" t="str">
        <f>'Part V-Utility Allowances'!L8</f>
        <v>MF</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Natural Gas</v>
      </c>
      <c r="E722" s="2111"/>
      <c r="F722" s="2749" t="str">
        <f>'Part V-Utility Allowances'!F12</f>
        <v>X</v>
      </c>
      <c r="G722" s="2749">
        <f>'Part V-Utility Allowances'!G12</f>
        <v>0</v>
      </c>
      <c r="I722" s="1637">
        <f>'Part V-Utility Allowances'!I12</f>
        <v>0</v>
      </c>
      <c r="J722" s="1637">
        <f>'Part V-Utility Allowances'!J12</f>
        <v>52</v>
      </c>
      <c r="K722" s="1637">
        <f>'Part V-Utility Allowances'!K12</f>
        <v>84</v>
      </c>
      <c r="L722" s="1637">
        <f>'Part V-Utility Allowances'!L12</f>
        <v>105</v>
      </c>
      <c r="M722" s="1637">
        <f>'Part V-Utility Allowances'!M12</f>
        <v>0</v>
      </c>
    </row>
    <row r="723" spans="1:13">
      <c r="B723" s="742" t="s">
        <v>1597</v>
      </c>
      <c r="D723" s="2111" t="str">
        <f>'Part V-Utility Allowances'!D13</f>
        <v>Natural Gas</v>
      </c>
      <c r="E723" s="2111"/>
      <c r="F723" s="2749" t="str">
        <f>'Part V-Utility Allowances'!F13</f>
        <v>X</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Natural Gas</v>
      </c>
      <c r="E724" s="2111"/>
      <c r="F724" s="2749" t="str">
        <f>'Part V-Utility Allowances'!F14</f>
        <v>X</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3803</v>
      </c>
      <c r="D726" s="742" t="s">
        <v>1596</v>
      </c>
      <c r="F726" s="2749" t="str">
        <f>'Part V-Utility Allowances'!F16</f>
        <v>X</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3804</v>
      </c>
      <c r="D727" s="742" t="s">
        <v>1596</v>
      </c>
      <c r="F727" s="2749" t="str">
        <f>'Part V-Utility Allowances'!F17</f>
        <v>X</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3805</v>
      </c>
      <c r="D728" s="742" t="s">
        <v>1596</v>
      </c>
      <c r="F728" s="2749" t="str">
        <f>'Part V-Utility Allowances'!F18</f>
        <v>X</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4525</v>
      </c>
      <c r="E729" s="1637" t="str">
        <f>'Part V-Utility Allowances'!E19</f>
        <v>Yes</v>
      </c>
      <c r="F729" s="2749" t="str">
        <f>'Part V-Utility Allowances'!F19</f>
        <v>X</v>
      </c>
      <c r="G729" s="2749">
        <f>'Part V-Utility Allowances'!G19</f>
        <v>0</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t="str">
        <f>'Part V-Utility Allowances'!F20</f>
        <v>X</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52</v>
      </c>
      <c r="K732" s="1637">
        <f>IF(SUM(K722:K731)=0,0,IF(OR($D722="&lt;&lt;Select Fuel &gt;&gt;",$D723="&lt;&lt;Select Fuel &gt;&gt;",$D724="&lt;&lt;Select Fuel &gt;&gt;"),"Select Fuel",IF($E729="&lt;Select&gt;","Submeter?",SUM(K722:K731))))</f>
        <v>84</v>
      </c>
      <c r="L732" s="1637">
        <f>IF(SUM(L722:L731)=0,0,IF(OR($D722="&lt;&lt;Select Fuel &gt;&gt;",$D723="&lt;&lt;Select Fuel &gt;&gt;",$D724="&lt;&lt;Select Fuel &gt;&gt;"),"Select Fuel",IF($E729="&lt;Select&gt;","Submeter?",SUM(L722:L731))))</f>
        <v>105</v>
      </c>
      <c r="M732" s="1637">
        <f>IF(SUM(M722:M731)=0,0,IF(OR($D722="&lt;&lt;Select Fuel &gt;&gt;",$D723="&lt;&lt;Select Fuel &gt;&gt;",$D724="&lt;&lt;Select Fuel &gt;&gt;"),"Select Fuel",IF($E729="&lt;Select&gt;","Submeter?",SUM(M722:M731))))</f>
        <v>0</v>
      </c>
    </row>
    <row r="734" spans="1:13">
      <c r="A734" s="742" t="s">
        <v>740</v>
      </c>
      <c r="B734" s="742" t="s">
        <v>2228</v>
      </c>
      <c r="F734" s="742" t="s">
        <v>2518</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3803</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3804</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3805</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Enclave at Milledgeville,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Enclave at Milledgeville,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2439</v>
      </c>
      <c r="IF765" s="1632" t="s">
        <v>2440</v>
      </c>
      <c r="IG765" s="1632" t="s">
        <v>2441</v>
      </c>
      <c r="IH765" s="1632" t="s">
        <v>2442</v>
      </c>
      <c r="II765" s="1632" t="s">
        <v>485</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485</v>
      </c>
      <c r="IY765" s="1632" t="s">
        <v>2439</v>
      </c>
      <c r="IZ765" s="1632" t="s">
        <v>2440</v>
      </c>
      <c r="JA765" s="1632" t="s">
        <v>2441</v>
      </c>
      <c r="JB765" s="1632" t="s">
        <v>2442</v>
      </c>
      <c r="JC765" s="1632" t="s">
        <v>485</v>
      </c>
      <c r="JD765" s="1632" t="s">
        <v>2439</v>
      </c>
      <c r="JE765" s="1632" t="s">
        <v>2440</v>
      </c>
      <c r="JF765" s="1632" t="s">
        <v>2441</v>
      </c>
      <c r="JG765" s="1632" t="s">
        <v>2442</v>
      </c>
      <c r="JH765" s="1632" t="s">
        <v>485</v>
      </c>
      <c r="JI765" s="1632" t="s">
        <v>2439</v>
      </c>
      <c r="JJ765" s="1632" t="s">
        <v>2440</v>
      </c>
      <c r="JK765" s="1632" t="s">
        <v>2441</v>
      </c>
      <c r="JL765" s="1632" t="s">
        <v>2442</v>
      </c>
      <c r="JM765" s="1632" t="s">
        <v>485</v>
      </c>
      <c r="JN765" s="1632" t="s">
        <v>2439</v>
      </c>
      <c r="JO765" s="1632" t="s">
        <v>2440</v>
      </c>
      <c r="JP765" s="1632" t="s">
        <v>2441</v>
      </c>
      <c r="JQ765" s="1632" t="s">
        <v>2442</v>
      </c>
      <c r="JR765" s="1632" t="s">
        <v>485</v>
      </c>
      <c r="JS765" s="1632" t="s">
        <v>2439</v>
      </c>
      <c r="JT765" s="1632" t="s">
        <v>2440</v>
      </c>
      <c r="JU765" s="1632" t="s">
        <v>2441</v>
      </c>
      <c r="JV765" s="1632" t="s">
        <v>2442</v>
      </c>
      <c r="JW765" s="1632" t="s">
        <v>485</v>
      </c>
      <c r="JX765" s="1632" t="s">
        <v>2439</v>
      </c>
      <c r="JY765" s="1632" t="s">
        <v>2440</v>
      </c>
      <c r="JZ765" s="1632" t="s">
        <v>2441</v>
      </c>
      <c r="KA765" s="1632" t="s">
        <v>2442</v>
      </c>
      <c r="KB765" s="1632" t="s">
        <v>485</v>
      </c>
      <c r="KC765" s="1632" t="s">
        <v>2439</v>
      </c>
      <c r="KD765" s="1632" t="s">
        <v>2440</v>
      </c>
      <c r="KE765" s="1632" t="s">
        <v>2441</v>
      </c>
      <c r="KF765" s="1632" t="s">
        <v>2442</v>
      </c>
      <c r="KG765" s="1632" t="s">
        <v>485</v>
      </c>
      <c r="KH765" s="1632" t="s">
        <v>2439</v>
      </c>
      <c r="KI765" s="1632" t="s">
        <v>2440</v>
      </c>
      <c r="KJ765" s="1632" t="s">
        <v>2441</v>
      </c>
      <c r="KK765" s="1632" t="s">
        <v>2442</v>
      </c>
      <c r="KL765" s="1632" t="s">
        <v>485</v>
      </c>
      <c r="KM765" s="1632" t="s">
        <v>2439</v>
      </c>
      <c r="KN765" s="1632" t="s">
        <v>2440</v>
      </c>
      <c r="KO765" s="1632" t="s">
        <v>2441</v>
      </c>
      <c r="KP765" s="1632" t="s">
        <v>2442</v>
      </c>
      <c r="KQ765" s="1632" t="s">
        <v>485</v>
      </c>
      <c r="KR765" s="1632" t="s">
        <v>2439</v>
      </c>
      <c r="KS765" s="1632" t="s">
        <v>2440</v>
      </c>
      <c r="KT765" s="1632" t="s">
        <v>2441</v>
      </c>
      <c r="KU765" s="1632" t="s">
        <v>2442</v>
      </c>
      <c r="KV765" s="1632" t="s">
        <v>485</v>
      </c>
      <c r="KW765" s="1632" t="s">
        <v>2439</v>
      </c>
      <c r="KX765" s="1632" t="s">
        <v>2440</v>
      </c>
      <c r="KY765" s="1632" t="s">
        <v>2441</v>
      </c>
      <c r="KZ765" s="1632" t="s">
        <v>2442</v>
      </c>
      <c r="LA765" s="1632" t="s">
        <v>485</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6"/>
      <c r="R766" s="1636"/>
      <c r="S766" s="1636"/>
      <c r="T766" s="1636"/>
      <c r="U766" s="1636"/>
      <c r="V766" s="1631"/>
      <c r="W766" s="1810" t="s">
        <v>4626</v>
      </c>
      <c r="X766" s="1810" t="s">
        <v>4627</v>
      </c>
      <c r="Y766" s="1810" t="s">
        <v>4628</v>
      </c>
      <c r="Z766" s="1810" t="s">
        <v>4629</v>
      </c>
      <c r="AA766" s="1810" t="s">
        <v>4630</v>
      </c>
      <c r="AB766" s="1810" t="s">
        <v>4631</v>
      </c>
      <c r="AC766" s="1810" t="s">
        <v>4632</v>
      </c>
      <c r="AD766" s="1810" t="s">
        <v>4633</v>
      </c>
      <c r="AE766" s="1810" t="s">
        <v>4634</v>
      </c>
      <c r="AF766" s="1810" t="s">
        <v>4635</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4637</v>
      </c>
      <c r="AR766" s="1810" t="s">
        <v>4638</v>
      </c>
      <c r="AS766" s="1810" t="s">
        <v>4639</v>
      </c>
      <c r="AT766" s="1810" t="s">
        <v>4640</v>
      </c>
      <c r="AU766" s="1810" t="s">
        <v>4636</v>
      </c>
      <c r="AV766" s="1810" t="s">
        <v>921</v>
      </c>
      <c r="AW766" s="1810" t="s">
        <v>2314</v>
      </c>
      <c r="AX766" s="1810" t="s">
        <v>2315</v>
      </c>
      <c r="AY766" s="1810" t="s">
        <v>2316</v>
      </c>
      <c r="AZ766" s="1810" t="s">
        <v>2317</v>
      </c>
      <c r="BA766" s="1810" t="s">
        <v>4641</v>
      </c>
      <c r="BB766" s="1810" t="s">
        <v>4642</v>
      </c>
      <c r="BC766" s="1810" t="s">
        <v>4643</v>
      </c>
      <c r="BD766" s="1810" t="s">
        <v>4644</v>
      </c>
      <c r="BE766" s="1810" t="s">
        <v>4645</v>
      </c>
      <c r="BF766" s="1810" t="s">
        <v>129</v>
      </c>
      <c r="BG766" s="1810" t="s">
        <v>2318</v>
      </c>
      <c r="BH766" s="1810" t="s">
        <v>2319</v>
      </c>
      <c r="BI766" s="1810" t="s">
        <v>2320</v>
      </c>
      <c r="BJ766" s="1810" t="s">
        <v>1148</v>
      </c>
      <c r="BK766" s="1810" t="s">
        <v>4646</v>
      </c>
      <c r="BL766" s="1810" t="s">
        <v>4647</v>
      </c>
      <c r="BM766" s="1810" t="s">
        <v>4648</v>
      </c>
      <c r="BN766" s="1810" t="s">
        <v>4649</v>
      </c>
      <c r="BO766" s="1810" t="s">
        <v>4650</v>
      </c>
      <c r="BP766" s="1810" t="s">
        <v>556</v>
      </c>
      <c r="BQ766" s="1810" t="s">
        <v>557</v>
      </c>
      <c r="BR766" s="1810" t="s">
        <v>577</v>
      </c>
      <c r="BS766" s="1810" t="s">
        <v>578</v>
      </c>
      <c r="BT766" s="1810" t="s">
        <v>579</v>
      </c>
      <c r="BU766" s="1810" t="s">
        <v>4651</v>
      </c>
      <c r="BV766" s="1810" t="s">
        <v>4652</v>
      </c>
      <c r="BW766" s="1810" t="s">
        <v>4653</v>
      </c>
      <c r="BX766" s="1810" t="s">
        <v>4654</v>
      </c>
      <c r="BY766" s="1810" t="s">
        <v>4655</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4661</v>
      </c>
      <c r="CK766" s="1810" t="s">
        <v>4662</v>
      </c>
      <c r="CL766" s="1810" t="s">
        <v>4663</v>
      </c>
      <c r="CM766" s="1810" t="s">
        <v>4664</v>
      </c>
      <c r="CN766" s="1810" t="s">
        <v>4665</v>
      </c>
      <c r="CO766" s="1810" t="s">
        <v>4656</v>
      </c>
      <c r="CP766" s="1810" t="s">
        <v>4657</v>
      </c>
      <c r="CQ766" s="1810" t="s">
        <v>4658</v>
      </c>
      <c r="CR766" s="1810" t="s">
        <v>4659</v>
      </c>
      <c r="CS766" s="1810" t="s">
        <v>4660</v>
      </c>
      <c r="CT766" s="1810" t="s">
        <v>4666</v>
      </c>
      <c r="CU766" s="1810" t="s">
        <v>4667</v>
      </c>
      <c r="CV766" s="1810" t="s">
        <v>4668</v>
      </c>
      <c r="CW766" s="1810" t="s">
        <v>4669</v>
      </c>
      <c r="CX766" s="1810" t="s">
        <v>4670</v>
      </c>
      <c r="CY766" s="1810" t="s">
        <v>496</v>
      </c>
      <c r="CZ766" s="1810" t="s">
        <v>497</v>
      </c>
      <c r="DA766" s="1810" t="s">
        <v>498</v>
      </c>
      <c r="DB766" s="1810" t="s">
        <v>499</v>
      </c>
      <c r="DC766" s="1810" t="s">
        <v>500</v>
      </c>
      <c r="DD766" s="1810" t="s">
        <v>4671</v>
      </c>
      <c r="DE766" s="1810" t="s">
        <v>4672</v>
      </c>
      <c r="DF766" s="1810" t="s">
        <v>4673</v>
      </c>
      <c r="DG766" s="1810" t="s">
        <v>4674</v>
      </c>
      <c r="DH766" s="1810" t="s">
        <v>4675</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4676</v>
      </c>
      <c r="DT766" s="1810" t="s">
        <v>4677</v>
      </c>
      <c r="DU766" s="1810" t="s">
        <v>4678</v>
      </c>
      <c r="DV766" s="1810" t="s">
        <v>4679</v>
      </c>
      <c r="DW766" s="1810" t="s">
        <v>4680</v>
      </c>
      <c r="DX766" s="1810" t="s">
        <v>4681</v>
      </c>
      <c r="DY766" s="1810" t="s">
        <v>4682</v>
      </c>
      <c r="DZ766" s="1810" t="s">
        <v>4683</v>
      </c>
      <c r="EA766" s="1810" t="s">
        <v>4684</v>
      </c>
      <c r="EB766" s="1810" t="s">
        <v>4685</v>
      </c>
      <c r="EC766" s="1810" t="s">
        <v>2429</v>
      </c>
      <c r="ED766" s="1810" t="s">
        <v>2430</v>
      </c>
      <c r="EE766" s="1810" t="s">
        <v>2431</v>
      </c>
      <c r="EF766" s="1810" t="s">
        <v>2432</v>
      </c>
      <c r="EG766" s="1810" t="s">
        <v>2433</v>
      </c>
      <c r="EH766" s="1810" t="s">
        <v>4686</v>
      </c>
      <c r="EI766" s="1810" t="s">
        <v>4687</v>
      </c>
      <c r="EJ766" s="1810" t="s">
        <v>4688</v>
      </c>
      <c r="EK766" s="1810" t="s">
        <v>4689</v>
      </c>
      <c r="EL766" s="1810" t="s">
        <v>4690</v>
      </c>
      <c r="EM766" s="1810" t="s">
        <v>4691</v>
      </c>
      <c r="EN766" s="1810" t="s">
        <v>4692</v>
      </c>
      <c r="EO766" s="1810" t="s">
        <v>4693</v>
      </c>
      <c r="EP766" s="1810" t="s">
        <v>4694</v>
      </c>
      <c r="EQ766" s="1810" t="s">
        <v>4695</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4696</v>
      </c>
      <c r="FC766" s="1810" t="s">
        <v>4697</v>
      </c>
      <c r="FD766" s="1810" t="s">
        <v>4698</v>
      </c>
      <c r="FE766" s="1810" t="s">
        <v>4699</v>
      </c>
      <c r="FF766" s="1810" t="s">
        <v>4700</v>
      </c>
      <c r="FG766" s="1635" t="s">
        <v>131</v>
      </c>
      <c r="FH766" s="1635" t="s">
        <v>911</v>
      </c>
      <c r="FI766" s="1635" t="s">
        <v>912</v>
      </c>
      <c r="FJ766" s="1635" t="s">
        <v>913</v>
      </c>
      <c r="FK766" s="1635" t="s">
        <v>914</v>
      </c>
      <c r="FL766" s="1810" t="s">
        <v>4701</v>
      </c>
      <c r="FM766" s="1810" t="s">
        <v>4702</v>
      </c>
      <c r="FN766" s="1810" t="s">
        <v>4703</v>
      </c>
      <c r="FO766" s="1810" t="s">
        <v>4704</v>
      </c>
      <c r="FP766" s="1810" t="s">
        <v>4705</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2428</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5156</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0"/>
      <c r="B768" s="1843" t="s">
        <v>1805</v>
      </c>
      <c r="C768" s="1631"/>
      <c r="D768" s="1631"/>
      <c r="E768" s="1631"/>
      <c r="F768" s="1630" t="str">
        <f>'Part VI-Revenues &amp; Expenses'!F6</f>
        <v>Yes</v>
      </c>
      <c r="G768" s="1633" t="s">
        <v>3664</v>
      </c>
      <c r="H768" s="1810" t="s">
        <v>3891</v>
      </c>
      <c r="I768" s="1633" t="s">
        <v>798</v>
      </c>
      <c r="J768" s="1633" t="s">
        <v>3667</v>
      </c>
      <c r="K768" s="2752"/>
      <c r="L768" s="2752"/>
      <c r="M768" s="2753" t="str">
        <f>'Part I-Project Information'!$O$40</f>
        <v>Baldwin Co.</v>
      </c>
      <c r="N768" s="2753"/>
      <c r="O768" s="1924">
        <f>VLOOKUP('Part I-Project Information'!$O$40,'DCA Underwriting Assumptions'!$C$158:$D$268,2)</f>
        <v>51500</v>
      </c>
      <c r="P768" s="1810"/>
      <c r="Q768" s="2716"/>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4708</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4709</v>
      </c>
      <c r="C770" s="1633" t="s">
        <v>172</v>
      </c>
      <c r="D770" s="1633" t="s">
        <v>545</v>
      </c>
      <c r="E770" s="1633" t="s">
        <v>1476</v>
      </c>
      <c r="F770" s="1633" t="s">
        <v>1476</v>
      </c>
      <c r="G770" s="1633" t="s">
        <v>1478</v>
      </c>
      <c r="H770" s="1633" t="s">
        <v>3665</v>
      </c>
      <c r="I770" s="2755" t="s">
        <v>5072</v>
      </c>
      <c r="J770" s="1633" t="s">
        <v>5157</v>
      </c>
      <c r="K770" s="1634" t="s">
        <v>145</v>
      </c>
      <c r="L770" s="1634"/>
      <c r="M770" s="1633" t="s">
        <v>2367</v>
      </c>
      <c r="N770" s="1633" t="s">
        <v>532</v>
      </c>
      <c r="O770" s="1633" t="s">
        <v>383</v>
      </c>
      <c r="P770" s="1810"/>
      <c r="Q770" s="1634" t="s">
        <v>3573</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568</v>
      </c>
      <c r="IO770" s="1637" t="s">
        <v>2439</v>
      </c>
      <c r="IP770" s="1637" t="s">
        <v>2440</v>
      </c>
      <c r="IQ770" s="1637" t="s">
        <v>2441</v>
      </c>
      <c r="IR770" s="1637" t="s">
        <v>2442</v>
      </c>
      <c r="IS770" s="1637" t="s">
        <v>568</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5074</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3314</v>
      </c>
      <c r="O771" s="1633" t="s">
        <v>384</v>
      </c>
      <c r="P771" s="1810"/>
      <c r="Q771" s="1633" t="s">
        <v>3574</v>
      </c>
      <c r="R771" s="1633" t="s">
        <v>1040</v>
      </c>
      <c r="S771" s="1633" t="s">
        <v>1478</v>
      </c>
      <c r="T771" s="1633" t="s">
        <v>2696</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14</v>
      </c>
      <c r="F782" s="2148">
        <f>'Part VI-Revenues &amp; Expenses'!F20</f>
        <v>616</v>
      </c>
      <c r="G782" s="2148">
        <f>'Part VI-Revenues &amp; Expenses'!G20</f>
        <v>949</v>
      </c>
      <c r="H782" s="2148">
        <f>'Part VI-Revenues &amp; Expenses'!H20</f>
        <v>949</v>
      </c>
      <c r="I782" s="2148">
        <f>'Part VI-Revenues &amp; Expenses'!I20</f>
        <v>52</v>
      </c>
      <c r="J782" s="2149" t="str">
        <f>'Part VI-Revenues &amp; Expenses'!J20</f>
        <v>HUD</v>
      </c>
      <c r="K782" s="1822">
        <f t="shared" si="1"/>
        <v>897</v>
      </c>
      <c r="L782" s="1822">
        <f t="shared" si="2"/>
        <v>12558</v>
      </c>
      <c r="M782" s="2133" t="str">
        <f>'Part VI-Revenues &amp; Expenses'!M20</f>
        <v>No</v>
      </c>
      <c r="N782" s="2133" t="str">
        <f>'Part VI-Revenues &amp; Expenses'!N20</f>
        <v>2-Story</v>
      </c>
      <c r="O782" s="2133" t="str">
        <f>'Part VI-Revenues &amp; Expenses'!O20</f>
        <v>Acquisition/Rehab</v>
      </c>
      <c r="P782" s="1633" t="str">
        <f>'Part VI-Revenues &amp; Expenses'!P20</f>
        <v>No</v>
      </c>
      <c r="Q782" s="1823">
        <f>'Part VI-Revenues &amp; Expenses'!Q20</f>
        <v>37960</v>
      </c>
      <c r="R782" s="1824">
        <f>'Part VI-Revenues &amp; Expenses'!R20</f>
        <v>0.98278317152103556</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14</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f t="shared" si="64"/>
        <v>14</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8624</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f t="shared" si="148"/>
        <v>8624</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f t="shared" si="173"/>
        <v>14</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14</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f t="shared" si="258"/>
        <v>14</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14</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1</v>
      </c>
      <c r="E783" s="2148">
        <f>'Part VI-Revenues &amp; Expenses'!E21</f>
        <v>30</v>
      </c>
      <c r="F783" s="2148">
        <f>'Part VI-Revenues &amp; Expenses'!F21</f>
        <v>832</v>
      </c>
      <c r="G783" s="2148">
        <f>'Part VI-Revenues &amp; Expenses'!G21</f>
        <v>1116</v>
      </c>
      <c r="H783" s="2148">
        <f>'Part VI-Revenues &amp; Expenses'!H21</f>
        <v>1116</v>
      </c>
      <c r="I783" s="2148">
        <f>'Part VI-Revenues &amp; Expenses'!I21</f>
        <v>84</v>
      </c>
      <c r="J783" s="2149" t="str">
        <f>'Part VI-Revenues &amp; Expenses'!J21</f>
        <v>HUD</v>
      </c>
      <c r="K783" s="1822">
        <f t="shared" si="1"/>
        <v>1032</v>
      </c>
      <c r="L783" s="1822">
        <f t="shared" si="2"/>
        <v>30960</v>
      </c>
      <c r="M783" s="2133" t="str">
        <f>'Part VI-Revenues &amp; Expenses'!M21</f>
        <v>No</v>
      </c>
      <c r="N783" s="2133" t="str">
        <f>'Part VI-Revenues &amp; Expenses'!N21</f>
        <v>2-Story</v>
      </c>
      <c r="O783" s="2133" t="str">
        <f>'Part VI-Revenues &amp; Expenses'!O21</f>
        <v>Acquisition/Rehab</v>
      </c>
      <c r="P783" s="1633" t="str">
        <f>'Part VI-Revenues &amp; Expenses'!P21</f>
        <v>No</v>
      </c>
      <c r="Q783" s="1823">
        <f>'Part VI-Revenues &amp; Expenses'!Q21</f>
        <v>44640</v>
      </c>
      <c r="R783" s="1824">
        <f>'Part VI-Revenues &amp; Expenses'!R21</f>
        <v>0.96310679611650485</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30</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f t="shared" si="65"/>
        <v>30</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24960</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f t="shared" si="149"/>
        <v>24960</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f t="shared" si="174"/>
        <v>30</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30</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f t="shared" si="259"/>
        <v>30</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30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3</v>
      </c>
      <c r="D784" s="2147">
        <f>'Part VI-Revenues &amp; Expenses'!D22</f>
        <v>1</v>
      </c>
      <c r="E784" s="2148">
        <f>'Part VI-Revenues &amp; Expenses'!E22</f>
        <v>32</v>
      </c>
      <c r="F784" s="2148">
        <f>'Part VI-Revenues &amp; Expenses'!F22</f>
        <v>959</v>
      </c>
      <c r="G784" s="2148">
        <f>'Part VI-Revenues &amp; Expenses'!G22</f>
        <v>1262</v>
      </c>
      <c r="H784" s="2148">
        <f>'Part VI-Revenues &amp; Expenses'!H22</f>
        <v>1262</v>
      </c>
      <c r="I784" s="2148">
        <f>'Part VI-Revenues &amp; Expenses'!I22</f>
        <v>105</v>
      </c>
      <c r="J784" s="2149" t="str">
        <f>'Part VI-Revenues &amp; Expenses'!J22</f>
        <v>HUD</v>
      </c>
      <c r="K784" s="1822">
        <f t="shared" si="1"/>
        <v>1157</v>
      </c>
      <c r="L784" s="1822">
        <f t="shared" si="2"/>
        <v>37024</v>
      </c>
      <c r="M784" s="2133" t="str">
        <f>'Part VI-Revenues &amp; Expenses'!M22</f>
        <v>No</v>
      </c>
      <c r="N784" s="2133" t="str">
        <f>'Part VI-Revenues &amp; Expenses'!N22</f>
        <v>2-Story</v>
      </c>
      <c r="O784" s="2133" t="str">
        <f>'Part VI-Revenues &amp; Expenses'!O22</f>
        <v>Acquisition/Rehab</v>
      </c>
      <c r="P784" s="1633" t="str">
        <f>'Part VI-Revenues &amp; Expenses'!P22</f>
        <v>No</v>
      </c>
      <c r="Q784" s="1823">
        <f>'Part VI-Revenues &amp; Expenses'!Q22</f>
        <v>50480</v>
      </c>
      <c r="R784" s="1824">
        <f>'Part VI-Revenues &amp; Expenses'!R22</f>
        <v>0.94249439880507846</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f t="shared" si="16"/>
        <v>32</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f t="shared" si="66"/>
        <v>32</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f t="shared" si="130"/>
        <v>30688</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f t="shared" si="150"/>
        <v>30688</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f t="shared" si="175"/>
        <v>32</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f t="shared" si="205"/>
        <v>32</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f t="shared" si="260"/>
        <v>32</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32</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60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4713</v>
      </c>
      <c r="C810" s="521"/>
      <c r="D810" s="1828" t="s">
        <v>1018</v>
      </c>
      <c r="E810" s="1827">
        <f>SUM(E772:E809)</f>
        <v>76</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64272</v>
      </c>
      <c r="G810" s="2759" t="s">
        <v>4710</v>
      </c>
      <c r="H810" s="1895" t="s">
        <v>4711</v>
      </c>
      <c r="I810" s="2760" t="str">
        <f>IF(O829=0,"",IF(SUM(O818:O824)/O829&gt;=0.4,"Pass","Fail"))</f>
        <v>Pass</v>
      </c>
      <c r="J810" s="522"/>
      <c r="K810" s="1828" t="s">
        <v>1302</v>
      </c>
      <c r="L810" s="1826">
        <f>SUM(L772:L809)</f>
        <v>80542</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14</v>
      </c>
      <c r="AI810" s="1638">
        <f t="shared" si="338"/>
        <v>30</v>
      </c>
      <c r="AJ810" s="1638">
        <f t="shared" si="338"/>
        <v>32</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14</v>
      </c>
      <c r="CG810" s="1638">
        <f t="shared" si="338"/>
        <v>30</v>
      </c>
      <c r="CH810" s="1638">
        <f t="shared" si="338"/>
        <v>32</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8624</v>
      </c>
      <c r="ET810" s="1638">
        <f t="shared" si="338"/>
        <v>24960</v>
      </c>
      <c r="EU810" s="1638">
        <f t="shared" si="338"/>
        <v>30688</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8624</v>
      </c>
      <c r="FX810" s="1638">
        <f t="shared" si="340"/>
        <v>24960</v>
      </c>
      <c r="FY810" s="1638">
        <f t="shared" si="340"/>
        <v>30688</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14</v>
      </c>
      <c r="GW810" s="1638">
        <f t="shared" si="340"/>
        <v>30</v>
      </c>
      <c r="GX810" s="1638">
        <f t="shared" si="340"/>
        <v>32</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14</v>
      </c>
      <c r="IA810" s="1638">
        <f t="shared" si="341"/>
        <v>30</v>
      </c>
      <c r="IB810" s="1638">
        <f t="shared" si="341"/>
        <v>32</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14</v>
      </c>
      <c r="KD810" s="1638">
        <f t="shared" si="341"/>
        <v>30</v>
      </c>
      <c r="KE810" s="1638">
        <f t="shared" si="341"/>
        <v>32</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14</v>
      </c>
      <c r="MG810" s="1638">
        <f t="shared" si="342"/>
        <v>30</v>
      </c>
      <c r="MH810" s="1638">
        <f t="shared" si="342"/>
        <v>32</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4620</v>
      </c>
      <c r="E811" s="1827">
        <f>SUM(E779:E809)</f>
        <v>76</v>
      </c>
      <c r="F811" s="2758">
        <f>(E779*F779+E780*F780+E781*F781+E782*F782+E783*F783+E784*F784+E785*F785+E786*F786+E787*F787+E788*F788+E789*F789+E790*F790+E791*F791+E792*F792+E793*F793+E794*F794+E795*F795+E796*F796+E797*F797+E798*F798+E799*F799+E800*F800+E801*F801+E802*F802+E803*F803+E804*F804+E805*F805+E806*F806+E807*F807+E808*F808+E809*F809)</f>
        <v>64272</v>
      </c>
      <c r="G811" s="2759"/>
      <c r="H811" s="1895" t="s">
        <v>4712</v>
      </c>
      <c r="I811" s="2760" t="str">
        <f>IF(O829=0,"",IF(SUM(O818:O824)/O829&gt;=0.2,"Pass","Fail"))</f>
        <v>Pass</v>
      </c>
      <c r="J811" s="522"/>
      <c r="K811" s="1828" t="s">
        <v>814</v>
      </c>
      <c r="L811" s="1826">
        <f>L810*12</f>
        <v>966504</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5158</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4621</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4622</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14</v>
      </c>
      <c r="L820" s="1833">
        <f>AI810</f>
        <v>30</v>
      </c>
      <c r="M820" s="1833">
        <f>AJ810</f>
        <v>32</v>
      </c>
      <c r="N820" s="1833">
        <f>AK810</f>
        <v>0</v>
      </c>
      <c r="O820" s="1833">
        <f t="shared" si="343"/>
        <v>76</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4623</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4624</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4625</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4707</v>
      </c>
      <c r="D825" s="1631"/>
      <c r="E825" s="1631"/>
      <c r="F825" s="1631"/>
      <c r="H825" s="1216"/>
      <c r="J825" s="1833">
        <f>SUM(J818:J824)</f>
        <v>0</v>
      </c>
      <c r="K825" s="1833">
        <f>SUM(K818:K824)</f>
        <v>14</v>
      </c>
      <c r="L825" s="1833">
        <f>SUM(L818:L824)</f>
        <v>30</v>
      </c>
      <c r="M825" s="1833">
        <f>SUM(M818:M824)</f>
        <v>32</v>
      </c>
      <c r="N825" s="1833">
        <f>SUM(N818:N824)</f>
        <v>0</v>
      </c>
      <c r="O825" s="1833">
        <f t="shared" si="343"/>
        <v>76</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14</v>
      </c>
      <c r="L827" s="2766">
        <f>SUM(L825:L826)</f>
        <v>30</v>
      </c>
      <c r="M827" s="2766">
        <f>SUM(M825:M826)</f>
        <v>32</v>
      </c>
      <c r="N827" s="2766">
        <f>SUM(N825:N826)</f>
        <v>0</v>
      </c>
      <c r="O827" s="2766">
        <f t="shared" si="343"/>
        <v>76</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14</v>
      </c>
      <c r="L829" s="1833">
        <f>SUM(L827:L828)</f>
        <v>30</v>
      </c>
      <c r="M829" s="1833">
        <f>SUM(M827:M828)</f>
        <v>32</v>
      </c>
      <c r="N829" s="1833">
        <f>SUM(N827:N828)</f>
        <v>0</v>
      </c>
      <c r="O829" s="1833">
        <f t="shared" si="343"/>
        <v>76</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4728</v>
      </c>
      <c r="D832" s="1838"/>
      <c r="E832" s="1838"/>
      <c r="F832" s="1838"/>
      <c r="G832" s="1634"/>
      <c r="H832" s="521"/>
      <c r="I832" s="2767" t="s">
        <v>4727</v>
      </c>
      <c r="J832" s="1836"/>
      <c r="O832" s="1836"/>
      <c r="P832" s="1216" t="s">
        <v>4726</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4621</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4622</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5159</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4623</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4624</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4625</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4621</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4622</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14</v>
      </c>
      <c r="L845" s="1833">
        <f>CG810</f>
        <v>30</v>
      </c>
      <c r="M845" s="1833">
        <f>CH810</f>
        <v>32</v>
      </c>
      <c r="N845" s="1833">
        <f>CI810</f>
        <v>0</v>
      </c>
      <c r="O845" s="1833">
        <f t="shared" si="345"/>
        <v>76</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4623</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4624</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4625</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14</v>
      </c>
      <c r="L850" s="1833">
        <f>SUM(L843:L849)</f>
        <v>30</v>
      </c>
      <c r="M850" s="1833">
        <f>SUM(M843:M849)</f>
        <v>32</v>
      </c>
      <c r="N850" s="1833">
        <f>SUM(N843:N849)</f>
        <v>0</v>
      </c>
      <c r="O850" s="1833">
        <f t="shared" si="345"/>
        <v>76</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5160</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4621</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4622</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4623</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4624</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4625</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14</v>
      </c>
      <c r="L866" s="1833">
        <f>GW810</f>
        <v>30</v>
      </c>
      <c r="M866" s="1833">
        <f>GX810</f>
        <v>32</v>
      </c>
      <c r="N866" s="1833">
        <f>GY810</f>
        <v>0</v>
      </c>
      <c r="O866" s="1833">
        <f t="shared" si="347"/>
        <v>76</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14</v>
      </c>
      <c r="L868" s="1833">
        <f>SUM(L866:L867)+HG810</f>
        <v>30</v>
      </c>
      <c r="M868" s="1833">
        <f>SUM(M866:M867)+HH810</f>
        <v>32</v>
      </c>
      <c r="N868" s="1833">
        <f>SUM(N866:N867)+HI810</f>
        <v>0</v>
      </c>
      <c r="O868" s="1833">
        <f t="shared" si="347"/>
        <v>76</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5161</v>
      </c>
      <c r="D877" s="1838"/>
      <c r="E877" s="1634" t="s">
        <v>39</v>
      </c>
      <c r="F877" s="1631"/>
      <c r="G877" s="1652"/>
      <c r="J877" s="1833">
        <f t="shared" ref="J877:O877" si="348">SUM(J878:J885)</f>
        <v>0</v>
      </c>
      <c r="K877" s="1833">
        <f t="shared" si="348"/>
        <v>14</v>
      </c>
      <c r="L877" s="1833">
        <f t="shared" si="348"/>
        <v>30</v>
      </c>
      <c r="M877" s="1833">
        <f t="shared" si="348"/>
        <v>32</v>
      </c>
      <c r="N877" s="1833">
        <f t="shared" si="348"/>
        <v>0</v>
      </c>
      <c r="O877" s="1833">
        <f t="shared" si="348"/>
        <v>76</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14</v>
      </c>
      <c r="L880" s="1833">
        <f>KD810</f>
        <v>30</v>
      </c>
      <c r="M880" s="1833">
        <f>KE810</f>
        <v>32</v>
      </c>
      <c r="N880" s="1833">
        <f>KF810</f>
        <v>0</v>
      </c>
      <c r="O880" s="1833">
        <f t="shared" si="349"/>
        <v>76</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5160</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5162</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14</v>
      </c>
      <c r="L903" s="1833">
        <f t="shared" si="354"/>
        <v>30</v>
      </c>
      <c r="M903" s="1833">
        <f t="shared" si="354"/>
        <v>32</v>
      </c>
      <c r="N903" s="1833">
        <f t="shared" si="354"/>
        <v>0</v>
      </c>
      <c r="O903" s="1833">
        <f t="shared" si="351"/>
        <v>76</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5110</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4621</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4622</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8624</v>
      </c>
      <c r="L909" s="1847">
        <f>ET810</f>
        <v>24960</v>
      </c>
      <c r="M909" s="1847">
        <f>EU810</f>
        <v>30688</v>
      </c>
      <c r="N909" s="1847">
        <f>EV810</f>
        <v>0</v>
      </c>
      <c r="O909" s="1847">
        <f t="shared" si="355"/>
        <v>64272</v>
      </c>
      <c r="P909" s="1924">
        <f>'Part VI-Revenues &amp; Expenses'!P147</f>
        <v>845.68421052631584</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4623</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4624</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4625</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4706</v>
      </c>
      <c r="J914" s="1847">
        <f>SUM(J907:J913)</f>
        <v>0</v>
      </c>
      <c r="K914" s="1847">
        <f>SUM(K907:K913)</f>
        <v>8624</v>
      </c>
      <c r="L914" s="1847">
        <f>SUM(L907:L913)</f>
        <v>24960</v>
      </c>
      <c r="M914" s="1847">
        <f>SUM(M907:M913)</f>
        <v>30688</v>
      </c>
      <c r="N914" s="1847">
        <f>SUM(N907:N913)</f>
        <v>0</v>
      </c>
      <c r="O914" s="1847">
        <f>SUM(J914:N914)</f>
        <v>64272</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8624</v>
      </c>
      <c r="L916" s="1847">
        <f>SUM(L914:L915)</f>
        <v>24960</v>
      </c>
      <c r="M916" s="1847">
        <f>SUM(M914:M915)</f>
        <v>30688</v>
      </c>
      <c r="N916" s="1847">
        <f>SUM(N914:N915)</f>
        <v>0</v>
      </c>
      <c r="O916" s="1847">
        <f>SUM(J916:N916)</f>
        <v>64272</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8624</v>
      </c>
      <c r="L918" s="1847">
        <f>SUM(L916:L917)</f>
        <v>24960</v>
      </c>
      <c r="M918" s="1847">
        <f>SUM(M916:M917)</f>
        <v>30688</v>
      </c>
      <c r="N918" s="1847">
        <f>SUM(N916:N917)</f>
        <v>0</v>
      </c>
      <c r="O918" s="1847">
        <f>SUM(J918:N918)</f>
        <v>64272</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5163</v>
      </c>
      <c r="D921" s="1631"/>
      <c r="E921" s="1631"/>
      <c r="F921" s="1631"/>
      <c r="G921" s="1631"/>
      <c r="H921" s="1631"/>
      <c r="I921" s="1631"/>
      <c r="J921" s="1862" t="str">
        <f>'Part VI-Revenues &amp; Expenses'!J159</f>
        <v/>
      </c>
      <c r="K921" s="1862">
        <f>'Part VI-Revenues &amp; Expenses'!K159</f>
        <v>616</v>
      </c>
      <c r="L921" s="1862">
        <f>'Part VI-Revenues &amp; Expenses'!L159</f>
        <v>832</v>
      </c>
      <c r="M921" s="1862">
        <f>'Part VI-Revenues &amp; Expenses'!M159</f>
        <v>959</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19330.080000000002</v>
      </c>
      <c r="I935" s="2151"/>
      <c r="J935" s="1486"/>
      <c r="K935" s="1849" t="s">
        <v>5111</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5112</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5113</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5112</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5113</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5112</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5113</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5112</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5113</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32000</v>
      </c>
      <c r="G977" s="1847"/>
      <c r="H977" s="1631"/>
      <c r="I977" s="1631" t="s">
        <v>1378</v>
      </c>
      <c r="J977" s="1631"/>
      <c r="K977" s="1847">
        <f>'Part VI-Revenues &amp; Expenses'!K215</f>
        <v>0</v>
      </c>
      <c r="L977" s="1847"/>
      <c r="M977" s="1631"/>
      <c r="N977" s="1631" t="s">
        <v>929</v>
      </c>
      <c r="O977" s="1631"/>
      <c r="P977" s="1862">
        <f>'Part VI-Revenues &amp; Expenses'!P215</f>
        <v>48000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32000</v>
      </c>
      <c r="G978" s="1847"/>
      <c r="H978" s="1631"/>
      <c r="I978" s="1631" t="s">
        <v>1379</v>
      </c>
      <c r="J978" s="1631"/>
      <c r="K978" s="1847">
        <f>'Part VI-Revenues &amp; Expenses'!K216</f>
        <v>3000</v>
      </c>
      <c r="L978" s="1847"/>
      <c r="M978" s="1631"/>
      <c r="N978" s="1631" t="s">
        <v>147</v>
      </c>
      <c r="O978" s="1631"/>
      <c r="P978" s="1862">
        <f>'Part VI-Revenues &amp; Expenses'!P216</f>
        <v>22800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3000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Payroll Burden</v>
      </c>
      <c r="C980" s="521"/>
      <c r="D980" s="521"/>
      <c r="E980" s="521"/>
      <c r="F980" s="1847">
        <f>'Part VI-Revenues &amp; Expenses'!F218</f>
        <v>19200</v>
      </c>
      <c r="G980" s="1847"/>
      <c r="H980" s="1631"/>
      <c r="I980" s="1631"/>
      <c r="J980" s="1631"/>
      <c r="K980" s="1631"/>
      <c r="L980" s="1631"/>
      <c r="M980" s="1631"/>
      <c r="N980" s="2774" t="s">
        <v>191</v>
      </c>
      <c r="O980" s="1631"/>
      <c r="P980" s="1862">
        <f>SUM(P977:P979)</f>
        <v>70800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83200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45841</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1300</v>
      </c>
      <c r="G984" s="1847"/>
      <c r="H984" s="1631"/>
      <c r="I984" s="1631" t="s">
        <v>1602</v>
      </c>
      <c r="J984" s="1631"/>
      <c r="K984" s="1847">
        <f>'Part VI-Revenues &amp; Expenses'!K222</f>
        <v>5000</v>
      </c>
      <c r="L984" s="1847"/>
      <c r="M984" s="1631"/>
      <c r="N984" s="1865">
        <f>+P983/(O829*0.93)</f>
        <v>648.5710243350311</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1200</v>
      </c>
      <c r="G985" s="1847"/>
      <c r="H985" s="1631"/>
      <c r="I985" s="1631" t="s">
        <v>2049</v>
      </c>
      <c r="J985" s="1631"/>
      <c r="K985" s="1847">
        <f>'Part VI-Revenues &amp; Expenses'!K223</f>
        <v>0</v>
      </c>
      <c r="L985" s="1847"/>
      <c r="M985" s="1631"/>
      <c r="N985" s="1865">
        <f>+P983/(O829*0.93)/12</f>
        <v>54.047585361252594</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600</v>
      </c>
      <c r="G986" s="1847"/>
      <c r="H986" s="1631"/>
      <c r="I986" s="1631" t="s">
        <v>1603</v>
      </c>
      <c r="J986" s="1631"/>
      <c r="K986" s="1847">
        <f>'Part VI-Revenues &amp; Expenses'!K224</f>
        <v>12000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1000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17000</v>
      </c>
      <c r="L988" s="1862"/>
      <c r="M988" s="2038" t="str">
        <f>IF(P990="","",IF(P988&lt;P990, "WARNING! OE below required minimum.",""))</f>
        <v/>
      </c>
      <c r="N988" s="1631" t="s">
        <v>2186</v>
      </c>
      <c r="O988" s="1631"/>
      <c r="P988" s="1862">
        <f>F981+F990+F1001+K979+K988+K998+P980+P983</f>
        <v>373361</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Bookkeeping/Compliance</v>
      </c>
      <c r="C989" s="521"/>
      <c r="D989" s="521"/>
      <c r="E989" s="521"/>
      <c r="F989" s="1847">
        <f>'Part VI-Revenues &amp; Expenses'!F227</f>
        <v>9120</v>
      </c>
      <c r="G989" s="1847"/>
      <c r="H989" s="1631"/>
      <c r="I989" s="1631"/>
      <c r="J989" s="1833"/>
      <c r="K989" s="1631"/>
      <c r="L989" s="1631"/>
      <c r="M989" s="2038"/>
      <c r="N989" s="1866" t="s">
        <v>2757</v>
      </c>
      <c r="O989" s="1865">
        <f>+P988/O829</f>
        <v>4912.644736842105</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13220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5017</v>
      </c>
      <c r="K992" s="1631"/>
      <c r="L992" s="1631"/>
      <c r="M992" s="1631"/>
      <c r="N992" s="1631" t="s">
        <v>3480</v>
      </c>
      <c r="O992" s="1631"/>
      <c r="P992" s="2155">
        <f>'Part VI-Revenues &amp; Expenses'!P230</f>
        <v>26600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20000</v>
      </c>
      <c r="G993" s="1847"/>
      <c r="H993" s="1631"/>
      <c r="I993" s="1631" t="s">
        <v>1368</v>
      </c>
      <c r="J993" s="1736">
        <f>K993/12/O829</f>
        <v>8.5526315789473681</v>
      </c>
      <c r="K993" s="1847">
        <f>'Part VI-Revenues &amp; Expenses'!K231</f>
        <v>7800</v>
      </c>
      <c r="L993" s="1847"/>
      <c r="M993" s="2038" t="str">
        <f>IF(P992&lt;P1001, "WARNING! RR proposed is below the DCA required minimum.","")</f>
        <v/>
      </c>
      <c r="N993" s="521" t="s">
        <v>5016</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23500</v>
      </c>
      <c r="G994" s="1847"/>
      <c r="H994" s="1631"/>
      <c r="I994" s="1631" t="s">
        <v>1369</v>
      </c>
      <c r="J994" s="1736">
        <f>K994/12/O829</f>
        <v>0</v>
      </c>
      <c r="K994" s="1847">
        <f>'Part VI-Revenues &amp; Expenses'!K232</f>
        <v>0</v>
      </c>
      <c r="L994" s="1847"/>
      <c r="M994" s="2038"/>
      <c r="N994" s="1870" t="s">
        <v>3738</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7000</v>
      </c>
      <c r="G995" s="1847"/>
      <c r="H995" s="1631"/>
      <c r="I995" s="1631" t="s">
        <v>2352</v>
      </c>
      <c r="J995" s="1736">
        <f>K995/12/O829</f>
        <v>65.78947368421052</v>
      </c>
      <c r="K995" s="1847">
        <f>'Part VI-Revenues &amp; Expenses'!K233</f>
        <v>60000</v>
      </c>
      <c r="L995" s="1847"/>
      <c r="M995" s="2038"/>
      <c r="N995" s="1871" t="s">
        <v>2713</v>
      </c>
      <c r="O995" s="1872" t="s">
        <v>3850</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3500</v>
      </c>
      <c r="G996" s="1847"/>
      <c r="H996" s="1631"/>
      <c r="I996" s="1631" t="s">
        <v>1371</v>
      </c>
      <c r="J996" s="1631"/>
      <c r="K996" s="1847">
        <f>'Part VI-Revenues &amp; Expenses'!K234</f>
        <v>13000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4000</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76 units x $350 =</v>
      </c>
      <c r="P997" s="1874">
        <f>SUM(ME810:MI810)*'DCA Underwriting Assumptions'!$Q$64</f>
        <v>26600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80800</v>
      </c>
      <c r="L998" s="1862"/>
      <c r="M998" s="2038"/>
      <c r="N998" s="1652" t="s">
        <v>3428</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1500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59500</v>
      </c>
      <c r="G1001" s="1847"/>
      <c r="H1001" s="1631"/>
      <c r="I1001" s="1631"/>
      <c r="J1001" s="1833"/>
      <c r="K1001" s="1631"/>
      <c r="L1001" s="1631"/>
      <c r="M1001" s="1631"/>
      <c r="N1001" s="1828" t="s">
        <v>2716</v>
      </c>
      <c r="O1001" s="1823">
        <f>SUM(ME810:MI810)+SUM(MJ810:MN810)+SUM(MO810:MS810)+O875</f>
        <v>76</v>
      </c>
      <c r="P1001" s="1823">
        <f>SUM(P997:P1000)</f>
        <v>26600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399961</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5002</v>
      </c>
      <c r="C1005" s="2774"/>
      <c r="D1005" s="1631"/>
      <c r="E1005" s="1631"/>
      <c r="F1005" s="2775" t="s">
        <v>5003</v>
      </c>
      <c r="G1005" s="1833"/>
      <c r="H1005" s="1862">
        <f>'Part VI-Revenues &amp; Expenses'!H243</f>
        <v>1</v>
      </c>
      <c r="I1005" s="1862"/>
      <c r="J1005" s="1833"/>
      <c r="K1005" s="1941" t="s">
        <v>5004</v>
      </c>
      <c r="L1005" s="1924">
        <f>'Part VI-Revenues &amp; Expenses'!K243</f>
        <v>99</v>
      </c>
      <c r="M1005" s="1631"/>
      <c r="N1005" s="1631" t="s">
        <v>5006</v>
      </c>
      <c r="O1005" s="1631"/>
      <c r="P1005" s="1924">
        <f>'Part VI-Revenues &amp; Expenses'!P243</f>
        <v>99</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5078</v>
      </c>
      <c r="C1007" s="2774"/>
      <c r="F1007" s="1833"/>
      <c r="G1007" s="1833"/>
      <c r="I1007" s="1630" t="str">
        <f>'Part VI-Revenues &amp; Expenses'!I245</f>
        <v>No</v>
      </c>
      <c r="J1007" s="2775" t="s">
        <v>5080</v>
      </c>
      <c r="K1007" s="1630" t="str">
        <f>'Part VI-Revenues &amp; Expenses'!K245</f>
        <v>&lt;&lt;Select&gt;&gt;</v>
      </c>
      <c r="L1007" s="1630" t="s">
        <v>5081</v>
      </c>
      <c r="M1007" s="1924" t="str">
        <f>'Part VI-Revenues &amp; Expenses'!L245</f>
        <v>Yrs in period</v>
      </c>
      <c r="N1007" s="1631" t="s">
        <v>5079</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4107</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Enclave at Milledgeville, ,  County</v>
      </c>
      <c r="B1016" s="2111"/>
      <c r="C1016" s="2111"/>
      <c r="D1016" s="2111"/>
      <c r="E1016" s="2111"/>
      <c r="F1016" s="2111"/>
      <c r="G1016" s="2111"/>
      <c r="H1016" s="2111"/>
      <c r="I1016" s="2111"/>
      <c r="J1016" s="2111"/>
      <c r="K1016" s="2111"/>
      <c r="L1016" s="1631"/>
      <c r="M1016" s="1631"/>
      <c r="N1016" s="1631" t="str">
        <f>A1016</f>
        <v>PART SEVEN - OPERATING PRO FORMA  -  2019-5 Enclave at Milledgeville,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5114</v>
      </c>
      <c r="N1018" s="742" t="str">
        <f>A1018</f>
        <v>I.  OPERATING ASSUMPTIONS</v>
      </c>
      <c r="O1018" s="2111"/>
    </row>
    <row r="1019" spans="1:318">
      <c r="C1019" s="2776"/>
    </row>
    <row r="1020" spans="1:318" ht="12.75" customHeight="1">
      <c r="A1020" s="742" t="s">
        <v>2188</v>
      </c>
      <c r="B1020" s="1876">
        <v>0.02</v>
      </c>
      <c r="C1020" s="2776"/>
      <c r="D1020" s="1838" t="s">
        <v>4538</v>
      </c>
      <c r="E1020" s="1838"/>
      <c r="F1020" s="1838"/>
      <c r="G1020" s="2156">
        <f>'Part VII-Pro Forma'!G5</f>
        <v>7500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2507</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0.05</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2404</v>
      </c>
      <c r="B1029" s="1881">
        <f>'Part VII-Pro Forma'!B14</f>
        <v>966504</v>
      </c>
      <c r="C1029" s="1881">
        <f>'Part VII-Pro Forma'!C14</f>
        <v>985834.08000000007</v>
      </c>
      <c r="D1029" s="1881">
        <f>'Part VII-Pro Forma'!D14</f>
        <v>1005550.7616</v>
      </c>
      <c r="E1029" s="1881">
        <f>'Part VII-Pro Forma'!E14</f>
        <v>1025661.7768319999</v>
      </c>
      <c r="F1029" s="1881">
        <f>'Part VII-Pro Forma'!F14</f>
        <v>1046175.0123686399</v>
      </c>
      <c r="G1029" s="1881">
        <f>'Part VII-Pro Forma'!G14</f>
        <v>1067098.5126160127</v>
      </c>
      <c r="H1029" s="1881">
        <f>'Part VII-Pro Forma'!H14</f>
        <v>1088440.4828683331</v>
      </c>
      <c r="I1029" s="1881">
        <f>'Part VII-Pro Forma'!I14</f>
        <v>1110209.2925256996</v>
      </c>
      <c r="J1029" s="1881">
        <f>'Part VII-Pro Forma'!J14</f>
        <v>1132413.4783762137</v>
      </c>
      <c r="K1029" s="1881">
        <f>'Part VII-Pro Forma'!K14</f>
        <v>1155061.747943738</v>
      </c>
      <c r="N1029" s="1838">
        <f>'Part VII-Pro Forma'!N14</f>
        <v>0</v>
      </c>
      <c r="O1029" s="1838"/>
    </row>
    <row r="1030" spans="1:15">
      <c r="A1030" s="742" t="s">
        <v>1016</v>
      </c>
      <c r="B1030" s="1881">
        <f>'Part VII-Pro Forma'!B15</f>
        <v>19330.080000000002</v>
      </c>
      <c r="C1030" s="1881">
        <f>'Part VII-Pro Forma'!C15</f>
        <v>19716.681600000004</v>
      </c>
      <c r="D1030" s="1881">
        <f>'Part VII-Pro Forma'!D15</f>
        <v>20111.015232000002</v>
      </c>
      <c r="E1030" s="1881">
        <f>'Part VII-Pro Forma'!E15</f>
        <v>20513.235536640001</v>
      </c>
      <c r="F1030" s="1881">
        <f>'Part VII-Pro Forma'!F15</f>
        <v>20923.500247372802</v>
      </c>
      <c r="G1030" s="1881">
        <f>'Part VII-Pro Forma'!G15</f>
        <v>21341.970252320258</v>
      </c>
      <c r="H1030" s="1881">
        <f>'Part VII-Pro Forma'!H15</f>
        <v>21768.809657366666</v>
      </c>
      <c r="I1030" s="1881">
        <f>'Part VII-Pro Forma'!I15</f>
        <v>22204.185850513994</v>
      </c>
      <c r="J1030" s="1881">
        <f>'Part VII-Pro Forma'!J15</f>
        <v>22648.269567524276</v>
      </c>
      <c r="K1030" s="1881">
        <f>'Part VII-Pro Forma'!K15</f>
        <v>23101.23495887476</v>
      </c>
      <c r="N1030" s="1838">
        <f>'Part VII-Pro Forma'!N15</f>
        <v>0</v>
      </c>
      <c r="O1030" s="1838"/>
    </row>
    <row r="1031" spans="1:15">
      <c r="A1031" s="742" t="s">
        <v>2405</v>
      </c>
      <c r="B1031" s="1881">
        <f>'Part VII-Pro Forma'!B16</f>
        <v>-69008.385600000009</v>
      </c>
      <c r="C1031" s="1881">
        <f>'Part VII-Pro Forma'!C16</f>
        <v>-70388.553312000018</v>
      </c>
      <c r="D1031" s="1881">
        <f>'Part VII-Pro Forma'!D16</f>
        <v>-71796.32437824001</v>
      </c>
      <c r="E1031" s="1881">
        <f>'Part VII-Pro Forma'!E16</f>
        <v>-73232.250865804803</v>
      </c>
      <c r="F1031" s="1881">
        <f>'Part VII-Pro Forma'!F16</f>
        <v>-74696.895883120902</v>
      </c>
      <c r="G1031" s="1881">
        <f>'Part VII-Pro Forma'!G16</f>
        <v>-76190.833800783308</v>
      </c>
      <c r="H1031" s="1881">
        <f>'Part VII-Pro Forma'!H16</f>
        <v>-77714.650476798997</v>
      </c>
      <c r="I1031" s="1881">
        <f>'Part VII-Pro Forma'!I16</f>
        <v>-79268.94348633496</v>
      </c>
      <c r="J1031" s="1881">
        <f>'Part VII-Pro Forma'!J16</f>
        <v>-80854.322356061675</v>
      </c>
      <c r="K1031" s="1881">
        <f>'Part VII-Pro Forma'!K16</f>
        <v>-82471.408803182901</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916825.69439999992</v>
      </c>
      <c r="C1034" s="1881">
        <f>'Part VII-Pro Forma'!C19</f>
        <v>935162.20828800008</v>
      </c>
      <c r="D1034" s="1881">
        <f>'Part VII-Pro Forma'!D19</f>
        <v>953865.45245375996</v>
      </c>
      <c r="E1034" s="1881">
        <f>'Part VII-Pro Forma'!E19</f>
        <v>972942.76150283508</v>
      </c>
      <c r="F1034" s="1881">
        <f>'Part VII-Pro Forma'!F19</f>
        <v>992401.61673289177</v>
      </c>
      <c r="G1034" s="1881">
        <f>'Part VII-Pro Forma'!G19</f>
        <v>1012249.6490675496</v>
      </c>
      <c r="H1034" s="1881">
        <f>'Part VII-Pro Forma'!H19</f>
        <v>1032494.6420489008</v>
      </c>
      <c r="I1034" s="1881">
        <f>'Part VII-Pro Forma'!I19</f>
        <v>1053144.5348898787</v>
      </c>
      <c r="J1034" s="1881">
        <f>'Part VII-Pro Forma'!J19</f>
        <v>1074207.4255876762</v>
      </c>
      <c r="K1034" s="1881">
        <f>'Part VII-Pro Forma'!K19</f>
        <v>1095691.5740994299</v>
      </c>
      <c r="N1034" s="1838">
        <f>'Part VII-Pro Forma'!N19</f>
        <v>0</v>
      </c>
      <c r="O1034" s="1838"/>
    </row>
    <row r="1035" spans="1:15">
      <c r="A1035" s="742" t="s">
        <v>614</v>
      </c>
      <c r="B1035" s="1881">
        <f>'Part VII-Pro Forma'!B20</f>
        <v>-327520</v>
      </c>
      <c r="C1035" s="1881">
        <f>'Part VII-Pro Forma'!C20</f>
        <v>-337345.60000000003</v>
      </c>
      <c r="D1035" s="1881">
        <f>'Part VII-Pro Forma'!D20</f>
        <v>-347465.96799999999</v>
      </c>
      <c r="E1035" s="1881">
        <f>'Part VII-Pro Forma'!E20</f>
        <v>-357889.94704</v>
      </c>
      <c r="F1035" s="1881">
        <f>'Part VII-Pro Forma'!F20</f>
        <v>-368626.64545119996</v>
      </c>
      <c r="G1035" s="1881">
        <f>'Part VII-Pro Forma'!G20</f>
        <v>-379685.44481473597</v>
      </c>
      <c r="H1035" s="1881">
        <f>'Part VII-Pro Forma'!H20</f>
        <v>-391076.00815917808</v>
      </c>
      <c r="I1035" s="1881">
        <f>'Part VII-Pro Forma'!I20</f>
        <v>-402808.28840395343</v>
      </c>
      <c r="J1035" s="1881">
        <f>'Part VII-Pro Forma'!J20</f>
        <v>-414892.53705607197</v>
      </c>
      <c r="K1035" s="1881">
        <f>'Part VII-Pro Forma'!K20</f>
        <v>-427339.31316775415</v>
      </c>
      <c r="N1035" s="1838">
        <f>'Part VII-Pro Forma'!N20</f>
        <v>0</v>
      </c>
      <c r="O1035" s="1838"/>
    </row>
    <row r="1036" spans="1:15">
      <c r="A1036" s="742" t="s">
        <v>1115</v>
      </c>
      <c r="B1036" s="1881">
        <f>'Part VII-Pro Forma'!B21</f>
        <v>-45841</v>
      </c>
      <c r="C1036" s="1881">
        <f>'Part VII-Pro Forma'!C21</f>
        <v>-46758</v>
      </c>
      <c r="D1036" s="1881">
        <f>'Part VII-Pro Forma'!D21</f>
        <v>-47693</v>
      </c>
      <c r="E1036" s="1881">
        <f>'Part VII-Pro Forma'!E21</f>
        <v>-48647</v>
      </c>
      <c r="F1036" s="1881">
        <f>'Part VII-Pro Forma'!F21</f>
        <v>-49620</v>
      </c>
      <c r="G1036" s="1881">
        <f>'Part VII-Pro Forma'!G21</f>
        <v>-50612</v>
      </c>
      <c r="H1036" s="1881">
        <f>'Part VII-Pro Forma'!H21</f>
        <v>-51625</v>
      </c>
      <c r="I1036" s="1881">
        <f>'Part VII-Pro Forma'!I21</f>
        <v>-52657</v>
      </c>
      <c r="J1036" s="1881">
        <f>'Part VII-Pro Forma'!J21</f>
        <v>-53710</v>
      </c>
      <c r="K1036" s="1881">
        <f>'Part VII-Pro Forma'!K21</f>
        <v>-54785</v>
      </c>
      <c r="N1036" s="1838">
        <f>'Part VII-Pro Forma'!N21</f>
        <v>0</v>
      </c>
      <c r="O1036" s="1838"/>
    </row>
    <row r="1037" spans="1:15">
      <c r="A1037" s="742" t="s">
        <v>1202</v>
      </c>
      <c r="B1037" s="1881">
        <f>'Part VII-Pro Forma'!B22</f>
        <v>-26600</v>
      </c>
      <c r="C1037" s="1881">
        <f>'Part VII-Pro Forma'!C22</f>
        <v>-27398</v>
      </c>
      <c r="D1037" s="1881">
        <f>'Part VII-Pro Forma'!D22</f>
        <v>-28219.94</v>
      </c>
      <c r="E1037" s="1881">
        <f>'Part VII-Pro Forma'!E22</f>
        <v>-29066.538199999999</v>
      </c>
      <c r="F1037" s="1881">
        <f>'Part VII-Pro Forma'!F22</f>
        <v>-29938.534345999997</v>
      </c>
      <c r="G1037" s="1881">
        <f>'Part VII-Pro Forma'!G22</f>
        <v>-30836.690376379996</v>
      </c>
      <c r="H1037" s="1881">
        <f>'Part VII-Pro Forma'!H22</f>
        <v>-31761.791087671398</v>
      </c>
      <c r="I1037" s="1881">
        <f>'Part VII-Pro Forma'!I22</f>
        <v>-32714.644820301542</v>
      </c>
      <c r="J1037" s="1881">
        <f>'Part VII-Pro Forma'!J22</f>
        <v>-33696.084164910586</v>
      </c>
      <c r="K1037" s="1881">
        <f>'Part VII-Pro Forma'!K22</f>
        <v>-34706.966689857902</v>
      </c>
      <c r="N1037" s="1838">
        <f>'Part VII-Pro Forma'!N22</f>
        <v>0</v>
      </c>
      <c r="O1037" s="1838"/>
    </row>
    <row r="1038" spans="1:15">
      <c r="A1038" s="742" t="s">
        <v>4943</v>
      </c>
      <c r="B1038" s="1881">
        <f>'Part VII-Pro Forma'!B23</f>
        <v>-1</v>
      </c>
      <c r="C1038" s="1881">
        <f>'Part VII-Pro Forma'!C23</f>
        <v>-1</v>
      </c>
      <c r="D1038" s="1881">
        <f>'Part VII-Pro Forma'!D23</f>
        <v>-1</v>
      </c>
      <c r="E1038" s="1881">
        <f>'Part VII-Pro Forma'!E23</f>
        <v>-1</v>
      </c>
      <c r="F1038" s="1881">
        <f>'Part VII-Pro Forma'!F23</f>
        <v>-1</v>
      </c>
      <c r="G1038" s="1881">
        <f>'Part VII-Pro Forma'!G23</f>
        <v>-1</v>
      </c>
      <c r="H1038" s="1881">
        <f>'Part VII-Pro Forma'!H23</f>
        <v>-1</v>
      </c>
      <c r="I1038" s="1881">
        <f>'Part VII-Pro Forma'!I23</f>
        <v>-1</v>
      </c>
      <c r="J1038" s="1881">
        <f>'Part VII-Pro Forma'!J23</f>
        <v>-1</v>
      </c>
      <c r="K1038" s="1881">
        <f>'Part VII-Pro Forma'!K23</f>
        <v>-1</v>
      </c>
      <c r="N1038" s="1838">
        <f>'Part VII-Pro Forma'!N23</f>
        <v>0</v>
      </c>
      <c r="O1038" s="1838"/>
    </row>
    <row r="1039" spans="1:15">
      <c r="A1039" s="742" t="s">
        <v>1203</v>
      </c>
      <c r="B1039" s="1881">
        <f>SUM(B1034:B1038)</f>
        <v>516863.69439999992</v>
      </c>
      <c r="C1039" s="1881">
        <f t="shared" ref="C1039:J1039" si="363">SUM(C1034:C1038)</f>
        <v>523659.6082880001</v>
      </c>
      <c r="D1039" s="1881">
        <f t="shared" si="363"/>
        <v>530485.54445376003</v>
      </c>
      <c r="E1039" s="1881">
        <f t="shared" si="363"/>
        <v>537338.27626283513</v>
      </c>
      <c r="F1039" s="1881">
        <f t="shared" si="363"/>
        <v>544215.43693569186</v>
      </c>
      <c r="G1039" s="1881">
        <f t="shared" si="363"/>
        <v>551114.51387643372</v>
      </c>
      <c r="H1039" s="1881">
        <f t="shared" si="363"/>
        <v>558030.84280205134</v>
      </c>
      <c r="I1039" s="1881">
        <f t="shared" si="363"/>
        <v>564963.60166562372</v>
      </c>
      <c r="J1039" s="1881">
        <f t="shared" si="363"/>
        <v>571907.80436669372</v>
      </c>
      <c r="K1039" s="1881">
        <f>SUM(K1034:K1038)</f>
        <v>578859.2942418179</v>
      </c>
      <c r="N1039" s="1838">
        <f>'Part VII-Pro Forma'!N24</f>
        <v>0</v>
      </c>
      <c r="O1039" s="1838"/>
    </row>
    <row r="1040" spans="1:15">
      <c r="A1040" s="742" t="s">
        <v>1591</v>
      </c>
      <c r="B1040" s="1881">
        <f>'Part VII-Pro Forma'!B25</f>
        <v>-420132.3350591315</v>
      </c>
      <c r="C1040" s="1881">
        <f>'Part VII-Pro Forma'!C25</f>
        <v>-420132.3350591315</v>
      </c>
      <c r="D1040" s="1881">
        <f>'Part VII-Pro Forma'!D25</f>
        <v>-420132.3350591315</v>
      </c>
      <c r="E1040" s="1881">
        <f>'Part VII-Pro Forma'!E25</f>
        <v>-420132.3350591315</v>
      </c>
      <c r="F1040" s="1881">
        <f>'Part VII-Pro Forma'!F25</f>
        <v>-420132.3350591315</v>
      </c>
      <c r="G1040" s="1881">
        <f>'Part VII-Pro Forma'!G25</f>
        <v>-420132.3350591315</v>
      </c>
      <c r="H1040" s="1881">
        <f>'Part VII-Pro Forma'!H25</f>
        <v>-420132.3350591315</v>
      </c>
      <c r="I1040" s="1881">
        <f>'Part VII-Pro Forma'!I25</f>
        <v>-420132.3350591315</v>
      </c>
      <c r="J1040" s="1881">
        <f>'Part VII-Pro Forma'!J25</f>
        <v>-420132.3350591315</v>
      </c>
      <c r="K1040" s="1881">
        <f>'Part VII-Pro Forma'!K25</f>
        <v>-420132.3350591315</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3853</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-7500</v>
      </c>
      <c r="C1045" s="1881">
        <f>'Part VII-Pro Forma'!C30</f>
        <v>-7500</v>
      </c>
      <c r="D1045" s="1881">
        <f>'Part VII-Pro Forma'!D30</f>
        <v>-7500</v>
      </c>
      <c r="E1045" s="1881">
        <f>'Part VII-Pro Forma'!E30</f>
        <v>-7500</v>
      </c>
      <c r="F1045" s="1881">
        <f>'Part VII-Pro Forma'!F30</f>
        <v>-7500</v>
      </c>
      <c r="G1045" s="1881">
        <f>'Part VII-Pro Forma'!G30</f>
        <v>-7500</v>
      </c>
      <c r="H1045" s="1881">
        <f>'Part VII-Pro Forma'!H30</f>
        <v>-7500</v>
      </c>
      <c r="I1045" s="1881">
        <f>'Part VII-Pro Forma'!I30</f>
        <v>-7500</v>
      </c>
      <c r="J1045" s="1881">
        <f>'Part VII-Pro Forma'!J30</f>
        <v>-7500</v>
      </c>
      <c r="K1045" s="1881">
        <f>'Part VII-Pro Forma'!K30</f>
        <v>-7500</v>
      </c>
      <c r="N1045" s="1838">
        <f>'Part VII-Pro Forma'!N30</f>
        <v>0</v>
      </c>
      <c r="O1045" s="1838"/>
    </row>
    <row r="1046" spans="1:15">
      <c r="A1046" s="742" t="s">
        <v>4086</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89231.359340868425</v>
      </c>
      <c r="C1047" s="1881">
        <f>'Part VII-Pro Forma'!C32</f>
        <v>96027.273228868609</v>
      </c>
      <c r="D1047" s="1881">
        <f>'Part VII-Pro Forma'!D32</f>
        <v>102853.20939462853</v>
      </c>
      <c r="E1047" s="1881">
        <f>'Part VII-Pro Forma'!E32</f>
        <v>109705.94120370364</v>
      </c>
      <c r="F1047" s="1881">
        <f>'Part VII-Pro Forma'!F32</f>
        <v>116583.10187656037</v>
      </c>
      <c r="G1047" s="1881">
        <f>'Part VII-Pro Forma'!G32</f>
        <v>123482.17881730222</v>
      </c>
      <c r="H1047" s="1881">
        <f>'Part VII-Pro Forma'!H32</f>
        <v>130398.50774291984</v>
      </c>
      <c r="I1047" s="1881">
        <f>'Part VII-Pro Forma'!I32</f>
        <v>137331.26660649222</v>
      </c>
      <c r="J1047" s="1881">
        <f>'Part VII-Pro Forma'!J32</f>
        <v>144275.46930756222</v>
      </c>
      <c r="K1047" s="1881">
        <f>'Part VII-Pro Forma'!K32</f>
        <v>151226.95918268641</v>
      </c>
      <c r="N1047" s="1838">
        <f>'Part VII-Pro Forma'!N32</f>
        <v>0</v>
      </c>
      <c r="O1047" s="1838"/>
    </row>
    <row r="1048" spans="1:15">
      <c r="A1048" s="742" t="str">
        <f>IF('Part III-Sources of Funds'!$E$38 = "Neither", "", "DCR Mortgage A")</f>
        <v>DCR Mortgage A</v>
      </c>
      <c r="B1048" s="1882">
        <f>'Part VII-Pro Forma'!B33</f>
        <v>1.2302402154484349</v>
      </c>
      <c r="C1048" s="1882">
        <f>'Part VII-Pro Forma'!C33</f>
        <v>1.2464158661206062</v>
      </c>
      <c r="D1048" s="1882">
        <f>'Part VII-Pro Forma'!D33</f>
        <v>1.2626629758909103</v>
      </c>
      <c r="E1048" s="1882">
        <f>'Part VII-Pro Forma'!E33</f>
        <v>1.2789738647162388</v>
      </c>
      <c r="F1048" s="1882">
        <f>'Part VII-Pro Forma'!F33</f>
        <v>1.2953428991822216</v>
      </c>
      <c r="G1048" s="1882">
        <f>'Part VII-Pro Forma'!G33</f>
        <v>1.3117640988020289</v>
      </c>
      <c r="H1048" s="1882">
        <f>'Part VII-Pro Forma'!H33</f>
        <v>1.3282263616379619</v>
      </c>
      <c r="I1048" s="1882">
        <f>'Part VII-Pro Forma'!I33</f>
        <v>1.3447277310519505</v>
      </c>
      <c r="J1048" s="1882">
        <f>'Part VII-Pro Forma'!J33</f>
        <v>1.3612563391156278</v>
      </c>
      <c r="K1048" s="1882">
        <f>'Part VII-Pro Forma'!K33</f>
        <v>1.3778022921286133</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1.2302402154484349</v>
      </c>
      <c r="C1052" s="1882">
        <f>'Part VII-Pro Forma'!C37</f>
        <v>1.2464158661206062</v>
      </c>
      <c r="D1052" s="1882">
        <f>'Part VII-Pro Forma'!D37</f>
        <v>1.2626629758909103</v>
      </c>
      <c r="E1052" s="1882">
        <f>'Part VII-Pro Forma'!E37</f>
        <v>1.2789738647162388</v>
      </c>
      <c r="F1052" s="1882">
        <f>'Part VII-Pro Forma'!F37</f>
        <v>1.2953428991822216</v>
      </c>
      <c r="G1052" s="1882">
        <f>'Part VII-Pro Forma'!G37</f>
        <v>1.3117640988020289</v>
      </c>
      <c r="H1052" s="1882">
        <f>'Part VII-Pro Forma'!H37</f>
        <v>1.3282263616379619</v>
      </c>
      <c r="I1052" s="1882">
        <f>'Part VII-Pro Forma'!I37</f>
        <v>1.3447277310519505</v>
      </c>
      <c r="J1052" s="1882">
        <f>'Part VII-Pro Forma'!J37</f>
        <v>1.3612563391156278</v>
      </c>
      <c r="K1052" s="1882">
        <f>'Part VII-Pro Forma'!K37</f>
        <v>1.3778022921286133</v>
      </c>
      <c r="N1052" s="1838">
        <f>'Part VII-Pro Forma'!N37</f>
        <v>0</v>
      </c>
      <c r="O1052" s="1838"/>
    </row>
    <row r="1053" spans="1:15">
      <c r="A1053" s="742" t="s">
        <v>770</v>
      </c>
      <c r="B1053" s="1883">
        <f>'Part VII-Pro Forma'!B38</f>
        <v>2.2922877340540699</v>
      </c>
      <c r="C1053" s="1883">
        <f>'Part VII-Pro Forma'!C38</f>
        <v>2.2725603212429792</v>
      </c>
      <c r="D1053" s="1883">
        <f>'Part VII-Pro Forma'!D38</f>
        <v>2.2529829295458432</v>
      </c>
      <c r="E1053" s="1883">
        <f>'Part VII-Pro Forma'!E38</f>
        <v>2.2335513706158312</v>
      </c>
      <c r="F1053" s="1883">
        <f>'Part VII-Pro Forma'!F38</f>
        <v>2.2142669179332195</v>
      </c>
      <c r="G1053" s="1883">
        <f>'Part VII-Pro Forma'!G38</f>
        <v>2.1951305961074103</v>
      </c>
      <c r="H1053" s="1883">
        <f>'Part VII-Pro Forma'!H38</f>
        <v>2.176134027131015</v>
      </c>
      <c r="I1053" s="1883">
        <f>'Part VII-Pro Forma'!I38</f>
        <v>2.1572876376426069</v>
      </c>
      <c r="J1053" s="1883">
        <f>'Part VII-Pro Forma'!J38</f>
        <v>2.1385832654218784</v>
      </c>
      <c r="K1053" s="1883">
        <f>'Part VII-Pro Forma'!K38</f>
        <v>2.1200179184226133</v>
      </c>
      <c r="N1053" s="1838">
        <f>'Part VII-Pro Forma'!N38</f>
        <v>0</v>
      </c>
      <c r="O1053" s="1838"/>
    </row>
    <row r="1054" spans="1:15">
      <c r="A1054" s="742" t="s">
        <v>2616</v>
      </c>
      <c r="B1054" s="1881">
        <f>'Part VII-Pro Forma'!B39</f>
        <v>8508153.5298310425</v>
      </c>
      <c r="C1054" s="1881">
        <f>'Part VII-Pro Forma'!C39</f>
        <v>8371808.154852747</v>
      </c>
      <c r="D1054" s="1881">
        <f>'Part VII-Pro Forma'!D39</f>
        <v>8230810.3620855259</v>
      </c>
      <c r="E1054" s="1881">
        <f>'Part VII-Pro Forma'!E39</f>
        <v>8085001.4003338506</v>
      </c>
      <c r="F1054" s="1881">
        <f>'Part VII-Pro Forma'!F39</f>
        <v>7934217.1014462709</v>
      </c>
      <c r="G1054" s="1881">
        <f>'Part VII-Pro Forma'!G39</f>
        <v>7778287.6954764239</v>
      </c>
      <c r="H1054" s="1881">
        <f>'Part VII-Pro Forma'!H39</f>
        <v>7617037.6195369055</v>
      </c>
      <c r="I1054" s="1881">
        <f>'Part VII-Pro Forma'!I39</f>
        <v>7450285.3201307971</v>
      </c>
      <c r="J1054" s="1881">
        <f>'Part VII-Pro Forma'!J39</f>
        <v>7277843.0487382933</v>
      </c>
      <c r="K1054" s="1881">
        <f>'Part VII-Pro Forma'!K39</f>
        <v>7099516.6504282691</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800</v>
      </c>
      <c r="C1058" s="1881">
        <f>'Part VII-Pro Forma'!C43</f>
        <v>800</v>
      </c>
      <c r="D1058" s="1881">
        <f>'Part VII-Pro Forma'!D43</f>
        <v>800</v>
      </c>
      <c r="E1058" s="1881">
        <f>'Part VII-Pro Forma'!E43</f>
        <v>800</v>
      </c>
      <c r="F1058" s="1881">
        <f>'Part VII-Pro Forma'!F43</f>
        <v>800</v>
      </c>
      <c r="G1058" s="1881">
        <f>'Part VII-Pro Forma'!G43</f>
        <v>800</v>
      </c>
      <c r="H1058" s="1881">
        <f>'Part VII-Pro Forma'!H43</f>
        <v>800</v>
      </c>
      <c r="I1058" s="1881">
        <f>'Part VII-Pro Forma'!I43</f>
        <v>800</v>
      </c>
      <c r="J1058" s="1881">
        <f>'Part VII-Pro Forma'!J43</f>
        <v>800</v>
      </c>
      <c r="K1058" s="1881">
        <f>'Part VII-Pro Forma'!K43</f>
        <v>800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2404</v>
      </c>
      <c r="B1061" s="1881">
        <f>'Part VII-Pro Forma'!B46</f>
        <v>1178162.9829026128</v>
      </c>
      <c r="C1061" s="1881">
        <f>'Part VII-Pro Forma'!C46</f>
        <v>1201726.2425606647</v>
      </c>
      <c r="D1061" s="1881">
        <f>'Part VII-Pro Forma'!D46</f>
        <v>1225760.7674118783</v>
      </c>
      <c r="E1061" s="1881">
        <f>'Part VII-Pro Forma'!E46</f>
        <v>1250275.9827601158</v>
      </c>
      <c r="F1061" s="1881">
        <f>'Part VII-Pro Forma'!F46</f>
        <v>1275281.5024153183</v>
      </c>
      <c r="G1061" s="1881">
        <f>'Part VII-Pro Forma'!G46</f>
        <v>1300787.1324636242</v>
      </c>
      <c r="H1061" s="1881">
        <f>'Part VII-Pro Forma'!H46</f>
        <v>1326802.8751128968</v>
      </c>
      <c r="I1061" s="1881">
        <f>'Part VII-Pro Forma'!I46</f>
        <v>1353338.9326151549</v>
      </c>
      <c r="J1061" s="1881">
        <f>'Part VII-Pro Forma'!J46</f>
        <v>1380405.7112674578</v>
      </c>
      <c r="K1061" s="1881">
        <f>'Part VII-Pro Forma'!K46</f>
        <v>1408013.825492807</v>
      </c>
      <c r="N1061" s="1838">
        <f>'Part VII-Pro Forma'!N46</f>
        <v>0</v>
      </c>
      <c r="O1061" s="1838"/>
    </row>
    <row r="1062" spans="1:15">
      <c r="A1062" s="742" t="s">
        <v>1016</v>
      </c>
      <c r="B1062" s="1881">
        <f>'Part VII-Pro Forma'!B47</f>
        <v>23563.259658052255</v>
      </c>
      <c r="C1062" s="1881">
        <f>'Part VII-Pro Forma'!C47</f>
        <v>24034.524851213297</v>
      </c>
      <c r="D1062" s="1881">
        <f>'Part VII-Pro Forma'!D47</f>
        <v>24515.215348237569</v>
      </c>
      <c r="E1062" s="1881">
        <f>'Part VII-Pro Forma'!E47</f>
        <v>25005.519655202315</v>
      </c>
      <c r="F1062" s="1881">
        <f>'Part VII-Pro Forma'!F47</f>
        <v>25505.630048306368</v>
      </c>
      <c r="G1062" s="1881">
        <f>'Part VII-Pro Forma'!G47</f>
        <v>26015.742649272484</v>
      </c>
      <c r="H1062" s="1881">
        <f>'Part VII-Pro Forma'!H47</f>
        <v>26536.05750225794</v>
      </c>
      <c r="I1062" s="1881">
        <f>'Part VII-Pro Forma'!I47</f>
        <v>27066.778652303103</v>
      </c>
      <c r="J1062" s="1881">
        <f>'Part VII-Pro Forma'!J47</f>
        <v>27608.11422534916</v>
      </c>
      <c r="K1062" s="1881">
        <f>'Part VII-Pro Forma'!K47</f>
        <v>28160.276509856143</v>
      </c>
      <c r="N1062" s="1838">
        <f>'Part VII-Pro Forma'!N47</f>
        <v>0</v>
      </c>
      <c r="O1062" s="1838"/>
    </row>
    <row r="1063" spans="1:15">
      <c r="A1063" s="742" t="s">
        <v>2405</v>
      </c>
      <c r="B1063" s="1881">
        <f>'Part VII-Pro Forma'!B48</f>
        <v>-84120.836979246567</v>
      </c>
      <c r="C1063" s="1881">
        <f>'Part VII-Pro Forma'!C48</f>
        <v>-85803.25371883146</v>
      </c>
      <c r="D1063" s="1881">
        <f>'Part VII-Pro Forma'!D48</f>
        <v>-87519.318793208135</v>
      </c>
      <c r="E1063" s="1881">
        <f>'Part VII-Pro Forma'!E48</f>
        <v>-89269.705169072273</v>
      </c>
      <c r="F1063" s="1881">
        <f>'Part VII-Pro Forma'!F48</f>
        <v>-91055.099272453735</v>
      </c>
      <c r="G1063" s="1881">
        <f>'Part VII-Pro Forma'!G48</f>
        <v>-92876.20125790278</v>
      </c>
      <c r="H1063" s="1881">
        <f>'Part VII-Pro Forma'!H48</f>
        <v>-94733.725283060834</v>
      </c>
      <c r="I1063" s="1881">
        <f>'Part VII-Pro Forma'!I48</f>
        <v>-96628.399788722076</v>
      </c>
      <c r="J1063" s="1881">
        <f>'Part VII-Pro Forma'!J48</f>
        <v>-98560.96778449649</v>
      </c>
      <c r="K1063" s="1881">
        <f>'Part VII-Pro Forma'!K48</f>
        <v>-100532.18714018642</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1117605.4055814187</v>
      </c>
      <c r="C1066" s="1881">
        <f>'Part VII-Pro Forma'!C51</f>
        <v>1139957.5136930463</v>
      </c>
      <c r="D1066" s="1881">
        <f>'Part VII-Pro Forma'!D51</f>
        <v>1162756.6639669079</v>
      </c>
      <c r="E1066" s="1881">
        <f>'Part VII-Pro Forma'!E51</f>
        <v>1186011.7972462457</v>
      </c>
      <c r="F1066" s="1881">
        <f>'Part VII-Pro Forma'!F51</f>
        <v>1209732.033191171</v>
      </c>
      <c r="G1066" s="1881">
        <f>'Part VII-Pro Forma'!G51</f>
        <v>1233926.6738549941</v>
      </c>
      <c r="H1066" s="1881">
        <f>'Part VII-Pro Forma'!H51</f>
        <v>1258605.2073320937</v>
      </c>
      <c r="I1066" s="1881">
        <f>'Part VII-Pro Forma'!I51</f>
        <v>1283777.3114787359</v>
      </c>
      <c r="J1066" s="1881">
        <f>'Part VII-Pro Forma'!J51</f>
        <v>1309452.8577083105</v>
      </c>
      <c r="K1066" s="1881">
        <f>'Part VII-Pro Forma'!K51</f>
        <v>1335641.9148624768</v>
      </c>
      <c r="N1066" s="1838">
        <f>'Part VII-Pro Forma'!N51</f>
        <v>0</v>
      </c>
      <c r="O1066" s="1838"/>
    </row>
    <row r="1067" spans="1:15">
      <c r="A1067" s="742" t="s">
        <v>614</v>
      </c>
      <c r="B1067" s="1881">
        <f>'Part VII-Pro Forma'!B52</f>
        <v>-440159.49256278679</v>
      </c>
      <c r="C1067" s="1881">
        <f>'Part VII-Pro Forma'!C52</f>
        <v>-453364.2773396704</v>
      </c>
      <c r="D1067" s="1881">
        <f>'Part VII-Pro Forma'!D52</f>
        <v>-466965.20565986045</v>
      </c>
      <c r="E1067" s="1881">
        <f>'Part VII-Pro Forma'!E52</f>
        <v>-480974.16182965622</v>
      </c>
      <c r="F1067" s="1881">
        <f>'Part VII-Pro Forma'!F52</f>
        <v>-495403.38668454596</v>
      </c>
      <c r="G1067" s="1881">
        <f>'Part VII-Pro Forma'!G52</f>
        <v>-510265.48828508239</v>
      </c>
      <c r="H1067" s="1881">
        <f>'Part VII-Pro Forma'!H52</f>
        <v>-525573.45293363475</v>
      </c>
      <c r="I1067" s="1881">
        <f>'Part VII-Pro Forma'!I52</f>
        <v>-541340.65652164374</v>
      </c>
      <c r="J1067" s="1881">
        <f>'Part VII-Pro Forma'!J52</f>
        <v>-557580.87621729309</v>
      </c>
      <c r="K1067" s="1881">
        <f>'Part VII-Pro Forma'!K52</f>
        <v>-574308.30250381189</v>
      </c>
      <c r="N1067" s="1838">
        <f>'Part VII-Pro Forma'!N52</f>
        <v>0</v>
      </c>
      <c r="O1067" s="1838"/>
    </row>
    <row r="1068" spans="1:15">
      <c r="A1068" s="742" t="s">
        <v>1115</v>
      </c>
      <c r="B1068" s="1881">
        <f>'Part VII-Pro Forma'!B53</f>
        <v>-55880</v>
      </c>
      <c r="C1068" s="1881">
        <f>'Part VII-Pro Forma'!C53</f>
        <v>-56998</v>
      </c>
      <c r="D1068" s="1881">
        <f>'Part VII-Pro Forma'!D53</f>
        <v>-58138</v>
      </c>
      <c r="E1068" s="1881">
        <f>'Part VII-Pro Forma'!E53</f>
        <v>-59301</v>
      </c>
      <c r="F1068" s="1881">
        <f>'Part VII-Pro Forma'!F53</f>
        <v>-60487</v>
      </c>
      <c r="G1068" s="1881">
        <f>'Part VII-Pro Forma'!G53</f>
        <v>-61696</v>
      </c>
      <c r="H1068" s="1881">
        <f>'Part VII-Pro Forma'!H53</f>
        <v>-62930</v>
      </c>
      <c r="I1068" s="1881">
        <f>'Part VII-Pro Forma'!I53</f>
        <v>-64189</v>
      </c>
      <c r="J1068" s="1881">
        <f>'Part VII-Pro Forma'!J53</f>
        <v>-65473</v>
      </c>
      <c r="K1068" s="1881">
        <f>'Part VII-Pro Forma'!K53</f>
        <v>-66782</v>
      </c>
      <c r="N1068" s="1838">
        <f>'Part VII-Pro Forma'!N53</f>
        <v>0</v>
      </c>
      <c r="O1068" s="1838"/>
    </row>
    <row r="1069" spans="1:15">
      <c r="A1069" s="742" t="s">
        <v>1202</v>
      </c>
      <c r="B1069" s="1881">
        <f>'Part VII-Pro Forma'!B54</f>
        <v>-35748.175690553639</v>
      </c>
      <c r="C1069" s="1881">
        <f>'Part VII-Pro Forma'!C54</f>
        <v>-36820.620961270251</v>
      </c>
      <c r="D1069" s="1881">
        <f>'Part VII-Pro Forma'!D54</f>
        <v>-37925.239590108351</v>
      </c>
      <c r="E1069" s="1881">
        <f>'Part VII-Pro Forma'!E54</f>
        <v>-39062.996777811597</v>
      </c>
      <c r="F1069" s="1881">
        <f>'Part VII-Pro Forma'!F54</f>
        <v>-40234.886681145952</v>
      </c>
      <c r="G1069" s="1881">
        <f>'Part VII-Pro Forma'!G54</f>
        <v>-41441.933281580335</v>
      </c>
      <c r="H1069" s="1881">
        <f>'Part VII-Pro Forma'!H54</f>
        <v>-42685.191280027735</v>
      </c>
      <c r="I1069" s="1881">
        <f>'Part VII-Pro Forma'!I54</f>
        <v>-43965.74701842857</v>
      </c>
      <c r="J1069" s="1881">
        <f>'Part VII-Pro Forma'!J54</f>
        <v>-45284.719428981429</v>
      </c>
      <c r="K1069" s="1881">
        <f>'Part VII-Pro Forma'!K54</f>
        <v>-46643.261011850867</v>
      </c>
      <c r="N1069" s="1838">
        <f>'Part VII-Pro Forma'!N54</f>
        <v>0</v>
      </c>
      <c r="O1069" s="1838"/>
    </row>
    <row r="1070" spans="1:15">
      <c r="A1070" s="742" t="s">
        <v>4943</v>
      </c>
      <c r="B1070" s="1881">
        <f>IF(B1060&lt;=+'Part VI-Revenues &amp; Expenses'!$K$243,-'Part VI-Revenues &amp; Expenses'!$H$243,0)</f>
        <v>-1</v>
      </c>
      <c r="C1070" s="1881">
        <f>IF(C1060&lt;=+'Part VI-Revenues &amp; Expenses'!$K$243,-'Part VI-Revenues &amp; Expenses'!$H$243,0)</f>
        <v>-1</v>
      </c>
      <c r="D1070" s="1881">
        <f>IF(D1060&lt;=+'Part VI-Revenues &amp; Expenses'!$K$243,-'Part VI-Revenues &amp; Expenses'!$H$243,0)</f>
        <v>-1</v>
      </c>
      <c r="E1070" s="1881">
        <f>IF(E1060&lt;=+'Part VI-Revenues &amp; Expenses'!$K$243,-'Part VI-Revenues &amp; Expenses'!$H$243,0)</f>
        <v>-1</v>
      </c>
      <c r="F1070" s="1881">
        <f>IF(F1060&lt;=+'Part VI-Revenues &amp; Expenses'!$K$243,-'Part VI-Revenues &amp; Expenses'!$H$243,0)</f>
        <v>-1</v>
      </c>
      <c r="G1070" s="1881">
        <f>IF(G1060&lt;=+'Part VI-Revenues &amp; Expenses'!$K$243,-'Part VI-Revenues &amp; Expenses'!$H$243,0)</f>
        <v>-1</v>
      </c>
      <c r="H1070" s="1881">
        <f>IF(H1060&lt;=+'Part VI-Revenues &amp; Expenses'!$K$243,-'Part VI-Revenues &amp; Expenses'!$H$243,0)</f>
        <v>-1</v>
      </c>
      <c r="I1070" s="1881">
        <f>IF(I1060&lt;=+'Part VI-Revenues &amp; Expenses'!$K$243,-'Part VI-Revenues &amp; Expenses'!$H$243,0)</f>
        <v>-1</v>
      </c>
      <c r="J1070" s="1881">
        <f>IF(J1060&lt;=+'Part VI-Revenues &amp; Expenses'!$K$243,-'Part VI-Revenues &amp; Expenses'!$H$243,0)</f>
        <v>-1</v>
      </c>
      <c r="K1070" s="1881">
        <f>IF(K1060&lt;=+'Part VI-Revenues &amp; Expenses'!$K$243,-'Part VI-Revenues &amp; Expenses'!$H$243,0)</f>
        <v>-1</v>
      </c>
      <c r="N1070" s="1838">
        <f>'Part VII-Pro Forma'!N55</f>
        <v>0</v>
      </c>
      <c r="O1070" s="1838"/>
    </row>
    <row r="1071" spans="1:15">
      <c r="A1071" s="742" t="s">
        <v>1203</v>
      </c>
      <c r="B1071" s="1881">
        <f>SUM(B1066:B1070)</f>
        <v>585816.73732807825</v>
      </c>
      <c r="C1071" s="1881">
        <f t="shared" ref="C1071:J1071" si="365">SUM(C1066:C1070)</f>
        <v>592773.61539210565</v>
      </c>
      <c r="D1071" s="1881">
        <f t="shared" si="365"/>
        <v>599727.21871693898</v>
      </c>
      <c r="E1071" s="1881">
        <f t="shared" si="365"/>
        <v>606672.63863877789</v>
      </c>
      <c r="F1071" s="1881">
        <f t="shared" si="365"/>
        <v>613605.75982547901</v>
      </c>
      <c r="G1071" s="1881">
        <f t="shared" si="365"/>
        <v>620522.25228833139</v>
      </c>
      <c r="H1071" s="1881">
        <f t="shared" si="365"/>
        <v>627415.56311843125</v>
      </c>
      <c r="I1071" s="1881">
        <f t="shared" si="365"/>
        <v>634280.90793866361</v>
      </c>
      <c r="J1071" s="1881">
        <f t="shared" si="365"/>
        <v>641113.26206203597</v>
      </c>
      <c r="K1071" s="1881">
        <f>SUM(K1066:K1070)</f>
        <v>647907.35134681396</v>
      </c>
      <c r="N1071" s="1838">
        <f>'Part VII-Pro Forma'!N56</f>
        <v>0</v>
      </c>
      <c r="O1071" s="1838"/>
    </row>
    <row r="1072" spans="1:15">
      <c r="A1072" s="742" t="str">
        <f>$A1040</f>
        <v>Mortgage A</v>
      </c>
      <c r="B1072" s="1881">
        <f>IF('Part III-Sources of Funds'!$P$38="", 0,-'Part III-Sources of Funds'!$P$38)</f>
        <v>-420132.3350591315</v>
      </c>
      <c r="C1072" s="1881">
        <f>IF('Part III-Sources of Funds'!$P$38="", 0,-'Part III-Sources of Funds'!$P$38)</f>
        <v>-420132.3350591315</v>
      </c>
      <c r="D1072" s="1881">
        <f>IF('Part III-Sources of Funds'!$P$38="", 0,-'Part III-Sources of Funds'!$P$38)</f>
        <v>-420132.3350591315</v>
      </c>
      <c r="E1072" s="1881">
        <f>IF('Part III-Sources of Funds'!$P$38="", 0,-'Part III-Sources of Funds'!$P$38)</f>
        <v>-420132.3350591315</v>
      </c>
      <c r="F1072" s="1881">
        <f>IF('Part III-Sources of Funds'!$P$38="", 0,-'Part III-Sources of Funds'!$P$38)</f>
        <v>-420132.3350591315</v>
      </c>
      <c r="G1072" s="1881">
        <f>IF('Part III-Sources of Funds'!$P$38="", 0,-'Part III-Sources of Funds'!$P$38)</f>
        <v>-420132.3350591315</v>
      </c>
      <c r="H1072" s="1881">
        <f>IF('Part III-Sources of Funds'!$P$38="", 0,-'Part III-Sources of Funds'!$P$38)</f>
        <v>-420132.3350591315</v>
      </c>
      <c r="I1072" s="1881">
        <f>IF('Part III-Sources of Funds'!$P$38="", 0,-'Part III-Sources of Funds'!$P$38)</f>
        <v>-420132.3350591315</v>
      </c>
      <c r="J1072" s="1881">
        <f>IF('Part III-Sources of Funds'!$P$38="", 0,-'Part III-Sources of Funds'!$P$38)</f>
        <v>-420132.3350591315</v>
      </c>
      <c r="K1072" s="1881">
        <f>IF('Part III-Sources of Funds'!$P$38="", 0,-'Part III-Sources of Funds'!$P$38)</f>
        <v>-420132.3350591315</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-7500</v>
      </c>
      <c r="C1077" s="1881">
        <f t="shared" ref="C1077:K1077" si="366">+B1077</f>
        <v>-7500</v>
      </c>
      <c r="D1077" s="1881">
        <f t="shared" si="366"/>
        <v>-7500</v>
      </c>
      <c r="E1077" s="1881">
        <f t="shared" si="366"/>
        <v>-7500</v>
      </c>
      <c r="F1077" s="1881">
        <f t="shared" si="366"/>
        <v>-7500</v>
      </c>
      <c r="G1077" s="1881">
        <f t="shared" si="366"/>
        <v>-7500</v>
      </c>
      <c r="H1077" s="1881">
        <f t="shared" si="366"/>
        <v>-7500</v>
      </c>
      <c r="I1077" s="1881">
        <f t="shared" si="366"/>
        <v>-7500</v>
      </c>
      <c r="J1077" s="1881">
        <f t="shared" si="366"/>
        <v>-7500</v>
      </c>
      <c r="K1077" s="1881">
        <f t="shared" si="366"/>
        <v>-7500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158184.40226894675</v>
      </c>
      <c r="C1079" s="1881">
        <f>'Part VII-Pro Forma'!C64</f>
        <v>165141.28033297416</v>
      </c>
      <c r="D1079" s="1881">
        <f>'Part VII-Pro Forma'!D64</f>
        <v>172094.88365780748</v>
      </c>
      <c r="E1079" s="1881">
        <f>'Part VII-Pro Forma'!E64</f>
        <v>179040.3035796464</v>
      </c>
      <c r="F1079" s="1881">
        <f>'Part VII-Pro Forma'!F64</f>
        <v>185973.42476634751</v>
      </c>
      <c r="G1079" s="1881">
        <f>'Part VII-Pro Forma'!G64</f>
        <v>192889.9172291999</v>
      </c>
      <c r="H1079" s="1881">
        <f>'Part VII-Pro Forma'!H64</f>
        <v>199783.22805929976</v>
      </c>
      <c r="I1079" s="1881">
        <f>'Part VII-Pro Forma'!I64</f>
        <v>206648.57287953212</v>
      </c>
      <c r="J1079" s="1881">
        <f>'Part VII-Pro Forma'!J64</f>
        <v>213480.92700290447</v>
      </c>
      <c r="K1079" s="1881">
        <f>'Part VII-Pro Forma'!K64</f>
        <v>220275.01628768246</v>
      </c>
      <c r="N1079" s="1838">
        <f>'Part VII-Pro Forma'!N64</f>
        <v>0</v>
      </c>
      <c r="O1079" s="1838"/>
    </row>
    <row r="1080" spans="1:15">
      <c r="A1080" s="742" t="str">
        <f>$A1048</f>
        <v>DCR Mortgage A</v>
      </c>
      <c r="B1080" s="1882">
        <f>'Part VII-Pro Forma'!B65</f>
        <v>1.3943624149891427</v>
      </c>
      <c r="C1080" s="1882">
        <f>'Part VII-Pro Forma'!C65</f>
        <v>1.4109211929823868</v>
      </c>
      <c r="D1080" s="1882">
        <f>'Part VII-Pro Forma'!D65</f>
        <v>1.4274721764334812</v>
      </c>
      <c r="E1080" s="1882">
        <f>'Part VII-Pro Forma'!E65</f>
        <v>1.4440036817289768</v>
      </c>
      <c r="F1080" s="1882">
        <f>'Part VII-Pro Forma'!F65</f>
        <v>1.4605059135453526</v>
      </c>
      <c r="G1080" s="1882">
        <f>'Part VII-Pro Forma'!G65</f>
        <v>1.4769685656330072</v>
      </c>
      <c r="H1080" s="1882">
        <f>'Part VII-Pro Forma'!H65</f>
        <v>1.4933760407423191</v>
      </c>
      <c r="I1080" s="1882">
        <f>'Part VII-Pro Forma'!I65</f>
        <v>1.5097169510873087</v>
      </c>
      <c r="J1080" s="1882">
        <f>'Part VII-Pro Forma'!J65</f>
        <v>1.5259793368958439</v>
      </c>
      <c r="K1080" s="1882">
        <f>'Part VII-Pro Forma'!K65</f>
        <v>1.5421506446430129</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1.3943624149891427</v>
      </c>
      <c r="C1084" s="1882">
        <f>'Part VII-Pro Forma'!C69</f>
        <v>1.4109211929823868</v>
      </c>
      <c r="D1084" s="1882">
        <f>'Part VII-Pro Forma'!D69</f>
        <v>1.4274721764334812</v>
      </c>
      <c r="E1084" s="1882">
        <f>'Part VII-Pro Forma'!E69</f>
        <v>1.4440036817289768</v>
      </c>
      <c r="F1084" s="1882">
        <f>'Part VII-Pro Forma'!F69</f>
        <v>1.4605059135453526</v>
      </c>
      <c r="G1084" s="1882">
        <f>'Part VII-Pro Forma'!G69</f>
        <v>1.4769685656330072</v>
      </c>
      <c r="H1084" s="1882">
        <f>'Part VII-Pro Forma'!H69</f>
        <v>1.4933760407423191</v>
      </c>
      <c r="I1084" s="1882">
        <f>'Part VII-Pro Forma'!I69</f>
        <v>1.5097169510873087</v>
      </c>
      <c r="J1084" s="1882">
        <f>'Part VII-Pro Forma'!J69</f>
        <v>1.5259793368958439</v>
      </c>
      <c r="K1084" s="1882">
        <f>'Part VII-Pro Forma'!K69</f>
        <v>1.5421506446430129</v>
      </c>
      <c r="N1084" s="1838">
        <f>'Part VII-Pro Forma'!N69</f>
        <v>0</v>
      </c>
      <c r="O1084" s="1838"/>
    </row>
    <row r="1085" spans="1:15">
      <c r="A1085" s="742" t="s">
        <v>770</v>
      </c>
      <c r="B1085" s="1883">
        <f>'Part VII-Pro Forma'!B70</f>
        <v>2.1016008311215639</v>
      </c>
      <c r="C1085" s="1883">
        <f>'Part VII-Pro Forma'!C70</f>
        <v>2.0833208004722588</v>
      </c>
      <c r="D1085" s="1883">
        <f>'Part VII-Pro Forma'!D70</f>
        <v>2.065182805196772</v>
      </c>
      <c r="E1085" s="1883">
        <f>'Part VII-Pro Forma'!E70</f>
        <v>2.0471839799004701</v>
      </c>
      <c r="F1085" s="1883">
        <f>'Part VII-Pro Forma'!F70</f>
        <v>2.0293251892527344</v>
      </c>
      <c r="G1085" s="1883">
        <f>'Part VII-Pro Forma'!G70</f>
        <v>2.0116070932625125</v>
      </c>
      <c r="H1085" s="1883">
        <f>'Part VII-Pro Forma'!H70</f>
        <v>1.9940238451217218</v>
      </c>
      <c r="I1085" s="1883">
        <f>'Part VII-Pro Forma'!I70</f>
        <v>1.9765764383881894</v>
      </c>
      <c r="J1085" s="1883">
        <f>'Part VII-Pro Forma'!J70</f>
        <v>1.9592656570163915</v>
      </c>
      <c r="K1085" s="1883">
        <f>'Part VII-Pro Forma'!K70</f>
        <v>1.9420920916448163</v>
      </c>
      <c r="N1085" s="1838">
        <f>'Part VII-Pro Forma'!N70</f>
        <v>0</v>
      </c>
      <c r="O1085" s="1838"/>
    </row>
    <row r="1086" spans="1:15">
      <c r="A1086" s="742" t="s">
        <v>2616</v>
      </c>
      <c r="B1086" s="1881">
        <f>'Part VII-Pro Forma'!B71</f>
        <v>6915105.3452567942</v>
      </c>
      <c r="C1086" s="1881">
        <f>'Part VII-Pro Forma'!C71</f>
        <v>6724401.5022064568</v>
      </c>
      <c r="D1086" s="1881">
        <f>'Part VII-Pro Forma'!D71</f>
        <v>6527190.4054119783</v>
      </c>
      <c r="E1086" s="1881">
        <f>'Part VII-Pro Forma'!E71</f>
        <v>6323250.0124089113</v>
      </c>
      <c r="F1086" s="1881">
        <f>'Part VII-Pro Forma'!F71</f>
        <v>6112350.7041332219</v>
      </c>
      <c r="G1086" s="1881">
        <f>'Part VII-Pro Forma'!G71</f>
        <v>5894255.026390288</v>
      </c>
      <c r="H1086" s="1881">
        <f>'Part VII-Pro Forma'!H71</f>
        <v>5668717.4225022215</v>
      </c>
      <c r="I1086" s="1881">
        <f>'Part VII-Pro Forma'!I71</f>
        <v>5435483.9568325039</v>
      </c>
      <c r="J1086" s="1881">
        <f>'Part VII-Pro Forma'!J71</f>
        <v>5194292.0288766455</v>
      </c>
      <c r="K1086" s="1881">
        <f>'Part VII-Pro Forma'!K71</f>
        <v>4944870.0775969625</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800</v>
      </c>
      <c r="C1090" s="1881">
        <f>'Part VII-Pro Forma'!C75</f>
        <v>800</v>
      </c>
      <c r="D1090" s="1881">
        <f>'Part VII-Pro Forma'!D75</f>
        <v>800</v>
      </c>
      <c r="E1090" s="1881">
        <f>'Part VII-Pro Forma'!E75</f>
        <v>800</v>
      </c>
      <c r="F1090" s="1881">
        <f>'Part VII-Pro Forma'!F75</f>
        <v>800</v>
      </c>
      <c r="G1090" s="1881">
        <f>'Part VII-Pro Forma'!G75</f>
        <v>800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2404</v>
      </c>
      <c r="B1093" s="1881">
        <f>'Part VII-Pro Forma'!B78</f>
        <v>1436174.1020026633</v>
      </c>
      <c r="C1093" s="1881">
        <f>'Part VII-Pro Forma'!C78</f>
        <v>1464897.5840427165</v>
      </c>
      <c r="D1093" s="1881">
        <f>'Part VII-Pro Forma'!D78</f>
        <v>1494195.535723571</v>
      </c>
      <c r="E1093" s="1881">
        <f>'Part VII-Pro Forma'!E78</f>
        <v>1524079.446438042</v>
      </c>
      <c r="F1093" s="1881">
        <f>'Part VII-Pro Forma'!F78</f>
        <v>1554561.0353668029</v>
      </c>
      <c r="G1093" s="1881">
        <f>'Part VII-Pro Forma'!G78</f>
        <v>1585652.2560741389</v>
      </c>
      <c r="H1093" s="1881">
        <f>'Part VII-Pro Forma'!H78</f>
        <v>1617365.301195622</v>
      </c>
      <c r="I1093" s="1881">
        <f>'Part VII-Pro Forma'!I78</f>
        <v>1649712.607219534</v>
      </c>
      <c r="J1093" s="1881">
        <f>'Part VII-Pro Forma'!J78</f>
        <v>1682706.8593639252</v>
      </c>
      <c r="K1093" s="1881">
        <f>'Part VII-Pro Forma'!K78</f>
        <v>1716360.9965512033</v>
      </c>
      <c r="N1093" s="1838">
        <f>'Part VII-Pro Forma'!N78</f>
        <v>0</v>
      </c>
      <c r="O1093" s="1838"/>
    </row>
    <row r="1094" spans="1:15">
      <c r="A1094" s="742" t="s">
        <v>1016</v>
      </c>
      <c r="B1094" s="1881">
        <f>'Part VII-Pro Forma'!B79</f>
        <v>28723.48204005327</v>
      </c>
      <c r="C1094" s="1881">
        <f>'Part VII-Pro Forma'!C79</f>
        <v>29297.95168085433</v>
      </c>
      <c r="D1094" s="1881">
        <f>'Part VII-Pro Forma'!D79</f>
        <v>29883.910714471418</v>
      </c>
      <c r="E1094" s="1881">
        <f>'Part VII-Pro Forma'!E79</f>
        <v>30481.588928760844</v>
      </c>
      <c r="F1094" s="1881">
        <f>'Part VII-Pro Forma'!F79</f>
        <v>31091.220707336062</v>
      </c>
      <c r="G1094" s="1881">
        <f>'Part VII-Pro Forma'!G79</f>
        <v>31713.045121482781</v>
      </c>
      <c r="H1094" s="1881">
        <f>'Part VII-Pro Forma'!H79</f>
        <v>32347.306023912442</v>
      </c>
      <c r="I1094" s="1881">
        <f>'Part VII-Pro Forma'!I79</f>
        <v>32994.252144390681</v>
      </c>
      <c r="J1094" s="1881">
        <f>'Part VII-Pro Forma'!J79</f>
        <v>33654.137187278502</v>
      </c>
      <c r="K1094" s="1881">
        <f>'Part VII-Pro Forma'!K79</f>
        <v>34327.219931024069</v>
      </c>
      <c r="N1094" s="1838">
        <f>'Part VII-Pro Forma'!N79</f>
        <v>0</v>
      </c>
      <c r="O1094" s="1838"/>
    </row>
    <row r="1095" spans="1:15">
      <c r="A1095" s="742" t="s">
        <v>2405</v>
      </c>
      <c r="B1095" s="1881">
        <f>'Part VII-Pro Forma'!B80</f>
        <v>-102542.83088299017</v>
      </c>
      <c r="C1095" s="1881">
        <f>'Part VII-Pro Forma'!C80</f>
        <v>-104593.68750064998</v>
      </c>
      <c r="D1095" s="1881">
        <f>'Part VII-Pro Forma'!D80</f>
        <v>-106685.56125066298</v>
      </c>
      <c r="E1095" s="1881">
        <f>'Part VII-Pro Forma'!E80</f>
        <v>-108819.27247567622</v>
      </c>
      <c r="F1095" s="1881">
        <f>'Part VII-Pro Forma'!F80</f>
        <v>-110995.65792518973</v>
      </c>
      <c r="G1095" s="1881">
        <f>'Part VII-Pro Forma'!G80</f>
        <v>-113215.57108369353</v>
      </c>
      <c r="H1095" s="1881">
        <f>'Part VII-Pro Forma'!H80</f>
        <v>-115479.88250536742</v>
      </c>
      <c r="I1095" s="1881">
        <f>'Part VII-Pro Forma'!I80</f>
        <v>-117789.48015547474</v>
      </c>
      <c r="J1095" s="1881">
        <f>'Part VII-Pro Forma'!J80</f>
        <v>-120145.26975858427</v>
      </c>
      <c r="K1095" s="1881">
        <f>'Part VII-Pro Forma'!K80</f>
        <v>-122548.17515375593</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1362354.7531597263</v>
      </c>
      <c r="C1098" s="1881">
        <f>'Part VII-Pro Forma'!C83</f>
        <v>1389601.8482229209</v>
      </c>
      <c r="D1098" s="1881">
        <f>'Part VII-Pro Forma'!D83</f>
        <v>1417393.8851873796</v>
      </c>
      <c r="E1098" s="1881">
        <f>'Part VII-Pro Forma'!E83</f>
        <v>1445741.7628911268</v>
      </c>
      <c r="F1098" s="1881">
        <f>'Part VII-Pro Forma'!F83</f>
        <v>1474656.5981489492</v>
      </c>
      <c r="G1098" s="1881">
        <f>'Part VII-Pro Forma'!G83</f>
        <v>1504149.7301119282</v>
      </c>
      <c r="H1098" s="1881">
        <f>'Part VII-Pro Forma'!H83</f>
        <v>1534232.724714167</v>
      </c>
      <c r="I1098" s="1881">
        <f>'Part VII-Pro Forma'!I83</f>
        <v>1564917.37920845</v>
      </c>
      <c r="J1098" s="1881">
        <f>'Part VII-Pro Forma'!J83</f>
        <v>1596215.7267926196</v>
      </c>
      <c r="K1098" s="1881">
        <f>'Part VII-Pro Forma'!K83</f>
        <v>1628140.0413284716</v>
      </c>
      <c r="N1098" s="1838">
        <f>'Part VII-Pro Forma'!N83</f>
        <v>0</v>
      </c>
      <c r="O1098" s="1838"/>
    </row>
    <row r="1099" spans="1:15">
      <c r="A1099" s="742" t="s">
        <v>614</v>
      </c>
      <c r="B1099" s="1881">
        <f>'Part VII-Pro Forma'!B84</f>
        <v>-591537.55157892627</v>
      </c>
      <c r="C1099" s="1881">
        <f>'Part VII-Pro Forma'!C84</f>
        <v>-609283.67812629393</v>
      </c>
      <c r="D1099" s="1881">
        <f>'Part VII-Pro Forma'!D84</f>
        <v>-627562.18847008282</v>
      </c>
      <c r="E1099" s="1881">
        <f>'Part VII-Pro Forma'!E84</f>
        <v>-646389.05412418535</v>
      </c>
      <c r="F1099" s="1881">
        <f>'Part VII-Pro Forma'!F84</f>
        <v>-665780.72574791079</v>
      </c>
      <c r="G1099" s="1881">
        <f>'Part VII-Pro Forma'!G84</f>
        <v>-685754.14752034808</v>
      </c>
      <c r="H1099" s="1881">
        <f>'Part VII-Pro Forma'!H84</f>
        <v>-706326.77194595861</v>
      </c>
      <c r="I1099" s="1881">
        <f>'Part VII-Pro Forma'!I84</f>
        <v>-727516.5751043373</v>
      </c>
      <c r="J1099" s="1881">
        <f>'Part VII-Pro Forma'!J84</f>
        <v>-749342.07235746749</v>
      </c>
      <c r="K1099" s="1881">
        <f>'Part VII-Pro Forma'!K84</f>
        <v>-771822.33452819136</v>
      </c>
      <c r="N1099" s="1838">
        <f>'Part VII-Pro Forma'!N84</f>
        <v>0</v>
      </c>
      <c r="O1099" s="1838"/>
    </row>
    <row r="1100" spans="1:15">
      <c r="A1100" s="742" t="s">
        <v>1115</v>
      </c>
      <c r="B1100" s="1881">
        <f>'Part VII-Pro Forma'!B85</f>
        <v>-68118</v>
      </c>
      <c r="C1100" s="1881">
        <f>'Part VII-Pro Forma'!C85</f>
        <v>-69480</v>
      </c>
      <c r="D1100" s="1881">
        <f>'Part VII-Pro Forma'!D85</f>
        <v>-70870</v>
      </c>
      <c r="E1100" s="1881">
        <f>'Part VII-Pro Forma'!E85</f>
        <v>-72287</v>
      </c>
      <c r="F1100" s="1881">
        <f>'Part VII-Pro Forma'!F85</f>
        <v>-73733</v>
      </c>
      <c r="G1100" s="1881">
        <f>'Part VII-Pro Forma'!G85</f>
        <v>-75207</v>
      </c>
      <c r="H1100" s="1881">
        <f>'Part VII-Pro Forma'!H85</f>
        <v>-76712</v>
      </c>
      <c r="I1100" s="1881">
        <f>'Part VII-Pro Forma'!I85</f>
        <v>-78246</v>
      </c>
      <c r="J1100" s="1881">
        <f>'Part VII-Pro Forma'!J85</f>
        <v>-79811</v>
      </c>
      <c r="K1100" s="1881">
        <f>'Part VII-Pro Forma'!K85</f>
        <v>-81407</v>
      </c>
      <c r="N1100" s="1838">
        <f>'Part VII-Pro Forma'!N85</f>
        <v>0</v>
      </c>
      <c r="O1100" s="1838"/>
    </row>
    <row r="1101" spans="1:15">
      <c r="A1101" s="742" t="s">
        <v>1202</v>
      </c>
      <c r="B1101" s="1881">
        <f>'Part VII-Pro Forma'!B86</f>
        <v>-48042.558842206396</v>
      </c>
      <c r="C1101" s="1881">
        <f>'Part VII-Pro Forma'!C86</f>
        <v>-49483.835607472582</v>
      </c>
      <c r="D1101" s="1881">
        <f>'Part VII-Pro Forma'!D86</f>
        <v>-50968.350675696762</v>
      </c>
      <c r="E1101" s="1881">
        <f>'Part VII-Pro Forma'!E86</f>
        <v>-52497.401195967665</v>
      </c>
      <c r="F1101" s="1881">
        <f>'Part VII-Pro Forma'!F86</f>
        <v>-54072.323231846691</v>
      </c>
      <c r="G1101" s="1881">
        <f>'Part VII-Pro Forma'!G86</f>
        <v>-55694.492928802087</v>
      </c>
      <c r="H1101" s="1881">
        <f>'Part VII-Pro Forma'!H86</f>
        <v>-57365.327716666157</v>
      </c>
      <c r="I1101" s="1881">
        <f>'Part VII-Pro Forma'!I86</f>
        <v>-59086.287548166139</v>
      </c>
      <c r="J1101" s="1881">
        <f>'Part VII-Pro Forma'!J86</f>
        <v>-60858.876174611119</v>
      </c>
      <c r="K1101" s="1881">
        <f>'Part VII-Pro Forma'!K86</f>
        <v>-62684.642459849449</v>
      </c>
      <c r="N1101" s="1838">
        <f>'Part VII-Pro Forma'!N86</f>
        <v>0</v>
      </c>
      <c r="O1101" s="1838"/>
    </row>
    <row r="1102" spans="1:15">
      <c r="A1102" s="742" t="s">
        <v>4943</v>
      </c>
      <c r="B1102" s="1881">
        <f>IF(B1092&lt;=+'Part VI-Revenues &amp; Expenses'!$K$243,-'Part VI-Revenues &amp; Expenses'!$H$243,0)</f>
        <v>-1</v>
      </c>
      <c r="C1102" s="1881">
        <f>IF(C1092&lt;=+'Part VI-Revenues &amp; Expenses'!$K$243,-'Part VI-Revenues &amp; Expenses'!$H$243,0)</f>
        <v>-1</v>
      </c>
      <c r="D1102" s="1881">
        <f>IF(D1092&lt;=+'Part VI-Revenues &amp; Expenses'!$K$243,-'Part VI-Revenues &amp; Expenses'!$H$243,0)</f>
        <v>-1</v>
      </c>
      <c r="E1102" s="1881">
        <f>IF(E1092&lt;=+'Part VI-Revenues &amp; Expenses'!$K$243,-'Part VI-Revenues &amp; Expenses'!$H$243,0)</f>
        <v>-1</v>
      </c>
      <c r="F1102" s="1881">
        <f>IF(F1092&lt;=+'Part VI-Revenues &amp; Expenses'!$K$243,-'Part VI-Revenues &amp; Expenses'!$H$243,0)</f>
        <v>-1</v>
      </c>
      <c r="G1102" s="1881">
        <f>IF(G1092&lt;=+'Part VI-Revenues &amp; Expenses'!$K$243,-'Part VI-Revenues &amp; Expenses'!$H$243,0)</f>
        <v>-1</v>
      </c>
      <c r="H1102" s="1881">
        <f>IF(H1092&lt;=+'Part VI-Revenues &amp; Expenses'!$K$243,-'Part VI-Revenues &amp; Expenses'!$H$243,0)</f>
        <v>-1</v>
      </c>
      <c r="I1102" s="1881">
        <f>IF(I1092&lt;=+'Part VI-Revenues &amp; Expenses'!$K$243,-'Part VI-Revenues &amp; Expenses'!$H$243,0)</f>
        <v>-1</v>
      </c>
      <c r="J1102" s="1881">
        <f>IF(J1092&lt;=+'Part VI-Revenues &amp; Expenses'!$K$243,-'Part VI-Revenues &amp; Expenses'!$H$243,0)</f>
        <v>-1</v>
      </c>
      <c r="K1102" s="1881">
        <f>IF(K1092&lt;=+'Part VI-Revenues &amp; Expenses'!$K$243,-'Part VI-Revenues &amp; Expenses'!$H$243,0)</f>
        <v>-1</v>
      </c>
      <c r="N1102" s="1838">
        <f>'Part VII-Pro Forma'!N87</f>
        <v>0</v>
      </c>
      <c r="O1102" s="1838"/>
    </row>
    <row r="1103" spans="1:15">
      <c r="A1103" s="742" t="s">
        <v>1203</v>
      </c>
      <c r="B1103" s="1881">
        <f>SUM(B1098:B1102)</f>
        <v>654655.64273859363</v>
      </c>
      <c r="C1103" s="1881">
        <f t="shared" ref="C1103:J1103" si="368">SUM(C1098:C1102)</f>
        <v>661353.3344891544</v>
      </c>
      <c r="D1103" s="1881">
        <f t="shared" si="368"/>
        <v>667992.34604159999</v>
      </c>
      <c r="E1103" s="1881">
        <f t="shared" si="368"/>
        <v>674567.30757097376</v>
      </c>
      <c r="F1103" s="1881">
        <f t="shared" si="368"/>
        <v>681069.54916919174</v>
      </c>
      <c r="G1103" s="1881">
        <f t="shared" si="368"/>
        <v>687493.08966277807</v>
      </c>
      <c r="H1103" s="1881">
        <f t="shared" si="368"/>
        <v>693827.62505154219</v>
      </c>
      <c r="I1103" s="1881">
        <f t="shared" si="368"/>
        <v>700067.51655594655</v>
      </c>
      <c r="J1103" s="1881">
        <f t="shared" si="368"/>
        <v>706202.77826054092</v>
      </c>
      <c r="K1103" s="1881">
        <f>SUM(K1098:K1102)</f>
        <v>712225.06434043078</v>
      </c>
      <c r="N1103" s="1838">
        <f>'Part VII-Pro Forma'!N88</f>
        <v>0</v>
      </c>
      <c r="O1103" s="1838"/>
    </row>
    <row r="1104" spans="1:15">
      <c r="A1104" s="742" t="str">
        <f>$A1072</f>
        <v>Mortgage A</v>
      </c>
      <c r="B1104" s="1881">
        <f>IF('Part III-Sources of Funds'!$P$38="", 0,-'Part III-Sources of Funds'!$P$38)</f>
        <v>-420132.3350591315</v>
      </c>
      <c r="C1104" s="1881">
        <f>IF('Part III-Sources of Funds'!$P$38="", 0,-'Part III-Sources of Funds'!$P$38)</f>
        <v>-420132.3350591315</v>
      </c>
      <c r="D1104" s="1881">
        <f>IF('Part III-Sources of Funds'!$P$38="", 0,-'Part III-Sources of Funds'!$P$38)</f>
        <v>-420132.3350591315</v>
      </c>
      <c r="E1104" s="1881">
        <f>IF('Part III-Sources of Funds'!$P$38="", 0,-'Part III-Sources of Funds'!$P$38)</f>
        <v>-420132.3350591315</v>
      </c>
      <c r="F1104" s="1881">
        <f>IF('Part III-Sources of Funds'!$P$38="", 0,-'Part III-Sources of Funds'!$P$38)</f>
        <v>-420132.3350591315</v>
      </c>
      <c r="G1104" s="1881">
        <f>IF('Part III-Sources of Funds'!$P$38="", 0,-'Part III-Sources of Funds'!$P$38)</f>
        <v>-420132.3350591315</v>
      </c>
      <c r="H1104" s="1881">
        <f>IF('Part III-Sources of Funds'!$P$38="", 0,-'Part III-Sources of Funds'!$P$38)</f>
        <v>-420132.3350591315</v>
      </c>
      <c r="I1104" s="1881">
        <f>IF('Part III-Sources of Funds'!$P$38="", 0,-'Part III-Sources of Funds'!$P$38)</f>
        <v>-420132.3350591315</v>
      </c>
      <c r="J1104" s="1881">
        <f>IF('Part III-Sources of Funds'!$P$38="", 0,-'Part III-Sources of Funds'!$P$38)</f>
        <v>-420132.3350591315</v>
      </c>
      <c r="K1104" s="1881">
        <f>IF('Part III-Sources of Funds'!$P$38="", 0,-'Part III-Sources of Funds'!$P$38)</f>
        <v>-420132.3350591315</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-7500</v>
      </c>
      <c r="C1109" s="1881">
        <f t="shared" ref="C1109:K1109" si="369">+B1109</f>
        <v>-7500</v>
      </c>
      <c r="D1109" s="1881">
        <f t="shared" si="369"/>
        <v>-7500</v>
      </c>
      <c r="E1109" s="1881">
        <f t="shared" si="369"/>
        <v>-7500</v>
      </c>
      <c r="F1109" s="1881">
        <f t="shared" si="369"/>
        <v>-7500</v>
      </c>
      <c r="G1109" s="1881">
        <f t="shared" si="369"/>
        <v>-7500</v>
      </c>
      <c r="H1109" s="1881">
        <f t="shared" si="369"/>
        <v>-7500</v>
      </c>
      <c r="I1109" s="1881">
        <f t="shared" si="369"/>
        <v>-7500</v>
      </c>
      <c r="J1109" s="1881">
        <f t="shared" si="369"/>
        <v>-7500</v>
      </c>
      <c r="K1109" s="1881">
        <f t="shared" si="369"/>
        <v>-7500</v>
      </c>
      <c r="N1109" s="1838">
        <f>'Part VII-Pro Forma'!N94</f>
        <v>0</v>
      </c>
      <c r="O1109" s="1838"/>
    </row>
    <row r="1110" spans="1:15">
      <c r="A1110" s="742" t="s">
        <v>1164</v>
      </c>
      <c r="B1110" s="1881">
        <f>'Part VII-Pro Forma'!B95</f>
        <v>227023.30767946213</v>
      </c>
      <c r="C1110" s="1881">
        <f>'Part VII-Pro Forma'!C95</f>
        <v>233720.9994300229</v>
      </c>
      <c r="D1110" s="1881">
        <f>'Part VII-Pro Forma'!D95</f>
        <v>240360.01098246849</v>
      </c>
      <c r="E1110" s="1881">
        <f>'Part VII-Pro Forma'!E95</f>
        <v>246934.97251184226</v>
      </c>
      <c r="F1110" s="1881">
        <f>'Part VII-Pro Forma'!F95</f>
        <v>253437.21411006025</v>
      </c>
      <c r="G1110" s="1881">
        <f>'Part VII-Pro Forma'!G95</f>
        <v>259860.75460364658</v>
      </c>
      <c r="H1110" s="1881">
        <f>'Part VII-Pro Forma'!H95</f>
        <v>266195.28999241069</v>
      </c>
      <c r="I1110" s="1881">
        <f>'Part VII-Pro Forma'!I95</f>
        <v>272435.18149681506</v>
      </c>
      <c r="J1110" s="1881">
        <f>'Part VII-Pro Forma'!J95</f>
        <v>278570.44320140942</v>
      </c>
      <c r="K1110" s="1881">
        <f>'Part VII-Pro Forma'!K95</f>
        <v>284592.72928129928</v>
      </c>
      <c r="N1110" s="1838">
        <f>'Part VII-Pro Forma'!N95</f>
        <v>0</v>
      </c>
      <c r="O1110" s="1838"/>
    </row>
    <row r="1111" spans="1:15">
      <c r="A1111" s="742" t="str">
        <f>$A1080</f>
        <v>DCR Mortgage A</v>
      </c>
      <c r="B1111" s="1882">
        <f>'Part VII-Pro Forma'!B96</f>
        <v>1.558212944134505</v>
      </c>
      <c r="C1111" s="1882">
        <f>'Part VII-Pro Forma'!C96</f>
        <v>1.5741548062375925</v>
      </c>
      <c r="D1111" s="1882">
        <f>'Part VII-Pro Forma'!D96</f>
        <v>1.5899569975912076</v>
      </c>
      <c r="E1111" s="1882">
        <f>'Part VII-Pro Forma'!E96</f>
        <v>1.605606736925002</v>
      </c>
      <c r="F1111" s="1882">
        <f>'Part VII-Pro Forma'!F96</f>
        <v>1.621083388102786</v>
      </c>
      <c r="G1111" s="1882">
        <f>'Part VII-Pro Forma'!G96</f>
        <v>1.6363727147209866</v>
      </c>
      <c r="H1111" s="1882">
        <f>'Part VII-Pro Forma'!H96</f>
        <v>1.6514501911734298</v>
      </c>
      <c r="I1111" s="1882">
        <f>'Part VII-Pro Forma'!I96</f>
        <v>1.6663023960234233</v>
      </c>
      <c r="J1111" s="1882">
        <f>'Part VII-Pro Forma'!J96</f>
        <v>1.6809055607708616</v>
      </c>
      <c r="K1111" s="1882">
        <f>'Part VII-Pro Forma'!K96</f>
        <v>1.6952398206631458</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1.558212944134505</v>
      </c>
      <c r="C1115" s="1882">
        <f>'Part VII-Pro Forma'!C100</f>
        <v>1.5741548062375925</v>
      </c>
      <c r="D1115" s="1882">
        <f>'Part VII-Pro Forma'!D100</f>
        <v>1.5899569975912076</v>
      </c>
      <c r="E1115" s="1882">
        <f>'Part VII-Pro Forma'!E100</f>
        <v>1.605606736925002</v>
      </c>
      <c r="F1115" s="1882">
        <f>'Part VII-Pro Forma'!F100</f>
        <v>1.621083388102786</v>
      </c>
      <c r="G1115" s="1882">
        <f>'Part VII-Pro Forma'!G100</f>
        <v>1.6363727147209866</v>
      </c>
      <c r="H1115" s="1882">
        <f>'Part VII-Pro Forma'!H100</f>
        <v>1.6514501911734298</v>
      </c>
      <c r="I1115" s="1882">
        <f>'Part VII-Pro Forma'!I100</f>
        <v>1.6663023960234233</v>
      </c>
      <c r="J1115" s="1882">
        <f>'Part VII-Pro Forma'!J100</f>
        <v>1.6809055607708616</v>
      </c>
      <c r="K1115" s="1882">
        <f>'Part VII-Pro Forma'!K100</f>
        <v>1.6952398206631458</v>
      </c>
      <c r="N1115" s="1838">
        <f>'Part VII-Pro Forma'!N100</f>
        <v>0</v>
      </c>
      <c r="O1115" s="1838"/>
    </row>
    <row r="1116" spans="1:15">
      <c r="A1116" s="742" t="s">
        <v>770</v>
      </c>
      <c r="B1116" s="1883">
        <f>'Part VII-Pro Forma'!B101</f>
        <v>1.9250507145610782</v>
      </c>
      <c r="C1116" s="1883">
        <f>'Part VII-Pro Forma'!C101</f>
        <v>1.9081449946850528</v>
      </c>
      <c r="D1116" s="1883">
        <f>'Part VII-Pro Forma'!D101</f>
        <v>1.8913702501509095</v>
      </c>
      <c r="E1116" s="1883">
        <f>'Part VII-Pro Forma'!E101</f>
        <v>1.8747296771138555</v>
      </c>
      <c r="F1116" s="1883">
        <f>'Part VII-Pro Forma'!F101</f>
        <v>1.8582189039799568</v>
      </c>
      <c r="G1116" s="1883">
        <f>'Part VII-Pro Forma'!G101</f>
        <v>1.8418408636529653</v>
      </c>
      <c r="H1116" s="1883">
        <f>'Part VII-Pro Forma'!H101</f>
        <v>1.8255892913064984</v>
      </c>
      <c r="I1116" s="1883">
        <f>'Part VII-Pro Forma'!I101</f>
        <v>1.8094691995186611</v>
      </c>
      <c r="J1116" s="1883">
        <f>'Part VII-Pro Forma'!J101</f>
        <v>1.7934767386272761</v>
      </c>
      <c r="K1116" s="1883">
        <f>'Part VII-Pro Forma'!K101</f>
        <v>1.7776123983636187</v>
      </c>
      <c r="N1116" s="1838">
        <f>'Part VII-Pro Forma'!N101</f>
        <v>0</v>
      </c>
      <c r="O1116" s="1838"/>
    </row>
    <row r="1117" spans="1:15">
      <c r="A1117" s="742" t="s">
        <v>2616</v>
      </c>
      <c r="B1117" s="1881">
        <f>'Part VII-Pro Forma'!B102</f>
        <v>4686937.2756685736</v>
      </c>
      <c r="C1117" s="1881">
        <f>'Part VII-Pro Forma'!C102</f>
        <v>4420203.2132923706</v>
      </c>
      <c r="D1117" s="1881">
        <f>'Part VII-Pro Forma'!D102</f>
        <v>4144367.5712189544</v>
      </c>
      <c r="E1117" s="1881">
        <f>'Part VII-Pro Forma'!E102</f>
        <v>3859119.7826154027</v>
      </c>
      <c r="F1117" s="1881">
        <f>'Part VII-Pro Forma'!F102</f>
        <v>3564138.6833941499</v>
      </c>
      <c r="G1117" s="1881">
        <f>'Part VII-Pro Forma'!G102</f>
        <v>3259092.150610283</v>
      </c>
      <c r="H1117" s="1881">
        <f>'Part VII-Pro Forma'!H102</f>
        <v>2943636.728520127</v>
      </c>
      <c r="I1117" s="1881">
        <f>'Part VII-Pro Forma'!I102</f>
        <v>2617417.2418800825</v>
      </c>
      <c r="J1117" s="1881">
        <f>'Part VII-Pro Forma'!J102</f>
        <v>2280066.3960503349</v>
      </c>
      <c r="K1117" s="1881">
        <f>'Part VII-Pro Forma'!K102</f>
        <v>1931204.3634531808</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1750688.2164822274</v>
      </c>
      <c r="C1123" s="1881">
        <f>'Part VII-Pro Forma'!C108</f>
        <v>1785701.9808118716</v>
      </c>
      <c r="D1123" s="1881">
        <f>'Part VII-Pro Forma'!D108</f>
        <v>1821416.0204281094</v>
      </c>
      <c r="E1123" s="1881">
        <f>'Part VII-Pro Forma'!E108</f>
        <v>1857844.3408366719</v>
      </c>
      <c r="F1123" s="1881">
        <f>'Part VII-Pro Forma'!F108</f>
        <v>1895001.2276534052</v>
      </c>
      <c r="G1123" s="1881"/>
      <c r="H1123" s="1881"/>
      <c r="I1123" s="1881"/>
      <c r="J1123" s="1881"/>
      <c r="K1123" s="1881"/>
      <c r="N1123" s="1838">
        <f>'Part VII-Pro Forma'!N108</f>
        <v>0</v>
      </c>
      <c r="O1123" s="1838"/>
    </row>
    <row r="1124" spans="1:15">
      <c r="A1124" s="742" t="s">
        <v>1016</v>
      </c>
      <c r="B1124" s="1881">
        <f>'Part VII-Pro Forma'!B109</f>
        <v>35013.764329644553</v>
      </c>
      <c r="C1124" s="1881">
        <f>'Part VII-Pro Forma'!C109</f>
        <v>35714.039616237438</v>
      </c>
      <c r="D1124" s="1881">
        <f>'Part VII-Pro Forma'!D109</f>
        <v>36428.320408562191</v>
      </c>
      <c r="E1124" s="1881">
        <f>'Part VII-Pro Forma'!E109</f>
        <v>37156.886816733437</v>
      </c>
      <c r="F1124" s="1881">
        <f>'Part VII-Pro Forma'!F109</f>
        <v>37900.024553068106</v>
      </c>
      <c r="G1124" s="1881"/>
      <c r="H1124" s="1881"/>
      <c r="I1124" s="1881"/>
      <c r="J1124" s="1881"/>
      <c r="K1124" s="1881"/>
      <c r="N1124" s="1838">
        <f>'Part VII-Pro Forma'!N109</f>
        <v>0</v>
      </c>
      <c r="O1124" s="1838"/>
    </row>
    <row r="1125" spans="1:15">
      <c r="A1125" s="742" t="s">
        <v>2405</v>
      </c>
      <c r="B1125" s="1881">
        <f>'Part VII-Pro Forma'!B110</f>
        <v>-124999.13865683106</v>
      </c>
      <c r="C1125" s="1881">
        <f>'Part VII-Pro Forma'!C110</f>
        <v>-127499.12142996764</v>
      </c>
      <c r="D1125" s="1881">
        <f>'Part VII-Pro Forma'!D110</f>
        <v>-130049.10385856703</v>
      </c>
      <c r="E1125" s="1881">
        <f>'Part VII-Pro Forma'!E110</f>
        <v>-132650.0859357384</v>
      </c>
      <c r="F1125" s="1881">
        <f>'Part VII-Pro Forma'!F110</f>
        <v>-135303.08765445315</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1660702.8421550409</v>
      </c>
      <c r="C1128" s="1881">
        <f>'Part VII-Pro Forma'!C113</f>
        <v>1693916.8989981413</v>
      </c>
      <c r="D1128" s="1881">
        <f>'Part VII-Pro Forma'!D113</f>
        <v>1727795.2369781046</v>
      </c>
      <c r="E1128" s="1881">
        <f>'Part VII-Pro Forma'!E113</f>
        <v>1762351.141717667</v>
      </c>
      <c r="F1128" s="1881">
        <f>'Part VII-Pro Forma'!F113</f>
        <v>1797598.1645520201</v>
      </c>
      <c r="G1128" s="1881"/>
      <c r="H1128" s="1881"/>
      <c r="I1128" s="1881"/>
      <c r="J1128" s="1881"/>
      <c r="K1128" s="1881"/>
      <c r="N1128" s="1838">
        <f>'Part VII-Pro Forma'!N113</f>
        <v>0</v>
      </c>
      <c r="O1128" s="1838"/>
    </row>
    <row r="1129" spans="1:15">
      <c r="A1129" s="742" t="s">
        <v>614</v>
      </c>
      <c r="B1129" s="1881">
        <f>'Part VII-Pro Forma'!B114</f>
        <v>-794977.0045640372</v>
      </c>
      <c r="C1129" s="1881">
        <f>'Part VII-Pro Forma'!C114</f>
        <v>-818826.31470095844</v>
      </c>
      <c r="D1129" s="1881">
        <f>'Part VII-Pro Forma'!D114</f>
        <v>-843391.10414198693</v>
      </c>
      <c r="E1129" s="1881">
        <f>'Part VII-Pro Forma'!E114</f>
        <v>-868692.83726624667</v>
      </c>
      <c r="F1129" s="1881">
        <f>'Part VII-Pro Forma'!F114</f>
        <v>-894753.62238423387</v>
      </c>
      <c r="G1129" s="1881"/>
      <c r="H1129" s="1881"/>
      <c r="I1129" s="1881"/>
      <c r="J1129" s="1881"/>
      <c r="K1129" s="1881"/>
      <c r="N1129" s="1838">
        <f>'Part VII-Pro Forma'!N114</f>
        <v>0</v>
      </c>
      <c r="O1129" s="1838"/>
    </row>
    <row r="1130" spans="1:15">
      <c r="A1130" s="742" t="s">
        <v>1115</v>
      </c>
      <c r="B1130" s="1881">
        <f>'Part VII-Pro Forma'!B115</f>
        <v>-83035</v>
      </c>
      <c r="C1130" s="1881">
        <f>'Part VII-Pro Forma'!C115</f>
        <v>-84696</v>
      </c>
      <c r="D1130" s="1881">
        <f>'Part VII-Pro Forma'!D115</f>
        <v>-86390</v>
      </c>
      <c r="E1130" s="1881">
        <f>'Part VII-Pro Forma'!E115</f>
        <v>-88118</v>
      </c>
      <c r="F1130" s="1881">
        <f>'Part VII-Pro Forma'!F115</f>
        <v>-89880</v>
      </c>
      <c r="G1130" s="1881"/>
      <c r="H1130" s="1881"/>
      <c r="I1130" s="1881"/>
      <c r="J1130" s="1881"/>
      <c r="K1130" s="1881"/>
      <c r="N1130" s="1838">
        <f>'Part VII-Pro Forma'!N115</f>
        <v>0</v>
      </c>
      <c r="O1130" s="1838"/>
    </row>
    <row r="1131" spans="1:15">
      <c r="A1131" s="742" t="s">
        <v>1202</v>
      </c>
      <c r="B1131" s="1881">
        <f>'Part VII-Pro Forma'!B116</f>
        <v>-64565.181733644931</v>
      </c>
      <c r="C1131" s="1881">
        <f>'Part VII-Pro Forma'!C116</f>
        <v>-66502.137185654297</v>
      </c>
      <c r="D1131" s="1881">
        <f>'Part VII-Pro Forma'!D116</f>
        <v>-68497.201301223904</v>
      </c>
      <c r="E1131" s="1881">
        <f>'Part VII-Pro Forma'!E116</f>
        <v>-70552.117340260622</v>
      </c>
      <c r="F1131" s="1881">
        <f>'Part VII-Pro Forma'!F116</f>
        <v>-72668.680860468434</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-1</v>
      </c>
      <c r="C1132" s="1881">
        <f>IF(C1122&lt;=+'Part VI-Revenues &amp; Expenses'!$K$243,-'Part VI-Revenues &amp; Expenses'!$H$243,0)</f>
        <v>-1</v>
      </c>
      <c r="D1132" s="1881">
        <f>IF(D1122&lt;=+'Part VI-Revenues &amp; Expenses'!$K$243,-'Part VI-Revenues &amp; Expenses'!$H$243,0)</f>
        <v>-1</v>
      </c>
      <c r="E1132" s="1881">
        <f>IF(E1122&lt;=+'Part VI-Revenues &amp; Expenses'!$K$243,-'Part VI-Revenues &amp; Expenses'!$H$243,0)</f>
        <v>-1</v>
      </c>
      <c r="F1132" s="1881">
        <f>IF(F1122&lt;=+'Part VI-Revenues &amp; Expenses'!$K$243,-'Part VI-Revenues &amp; Expenses'!$H$243,0)</f>
        <v>-1</v>
      </c>
      <c r="G1132" s="1881"/>
      <c r="H1132" s="1881"/>
      <c r="I1132" s="1881"/>
      <c r="J1132" s="1881"/>
      <c r="K1132" s="1881"/>
      <c r="N1132" s="1838">
        <f>'Part VII-Pro Forma'!N117</f>
        <v>0</v>
      </c>
      <c r="O1132" s="1838"/>
    </row>
    <row r="1133" spans="1:15">
      <c r="A1133" s="742" t="s">
        <v>1203</v>
      </c>
      <c r="B1133" s="1881">
        <f t="shared" ref="B1133:E1133" si="370">SUM(B1128:B1132)</f>
        <v>718124.65585735883</v>
      </c>
      <c r="C1133" s="1881">
        <f t="shared" si="370"/>
        <v>723891.4471115286</v>
      </c>
      <c r="D1133" s="1881">
        <f t="shared" si="370"/>
        <v>729515.93153489369</v>
      </c>
      <c r="E1133" s="1881">
        <f t="shared" si="370"/>
        <v>734987.18711115967</v>
      </c>
      <c r="F1133" s="1881">
        <f>SUM(F1128:F1132)</f>
        <v>740294.86130731786</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-420132.3350591315</v>
      </c>
      <c r="C1134" s="1881">
        <f>IF('Part III-Sources of Funds'!$P$38="", 0,-'Part III-Sources of Funds'!$P$38)</f>
        <v>-420132.3350591315</v>
      </c>
      <c r="D1134" s="1881">
        <f>IF('Part III-Sources of Funds'!$P$38="", 0,-'Part III-Sources of Funds'!$P$38)</f>
        <v>-420132.3350591315</v>
      </c>
      <c r="E1134" s="1881">
        <f>IF('Part III-Sources of Funds'!$P$38="", 0,-'Part III-Sources of Funds'!$P$38)</f>
        <v>-420132.3350591315</v>
      </c>
      <c r="F1134" s="1881">
        <f>IF('Part III-Sources of Funds'!$P$38="", 0,-'Part III-Sources of Funds'!$P$38)</f>
        <v>-420132.3350591315</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-7500</v>
      </c>
      <c r="C1139" s="1881">
        <f>+B1139</f>
        <v>-7500</v>
      </c>
      <c r="D1139" s="1881">
        <f>+C1139</f>
        <v>-7500</v>
      </c>
      <c r="E1139" s="1881">
        <f>+D1139</f>
        <v>-7500</v>
      </c>
      <c r="F1139" s="1881">
        <f>+E1139</f>
        <v>-7500</v>
      </c>
      <c r="G1139" s="1881"/>
      <c r="H1139" s="1881"/>
      <c r="I1139" s="1881"/>
      <c r="J1139" s="1881"/>
      <c r="K1139" s="1881"/>
      <c r="N1139" s="1838">
        <f>'Part VII-Pro Forma'!N124</f>
        <v>0</v>
      </c>
      <c r="O1139" s="1838"/>
    </row>
    <row r="1140" spans="1:15">
      <c r="A1140" s="742" t="s">
        <v>1164</v>
      </c>
      <c r="B1140" s="1881">
        <f>'Part VII-Pro Forma'!B125</f>
        <v>290492.32079822733</v>
      </c>
      <c r="C1140" s="1881">
        <f>'Part VII-Pro Forma'!C125</f>
        <v>296259.1120523971</v>
      </c>
      <c r="D1140" s="1881">
        <f>'Part VII-Pro Forma'!D125</f>
        <v>301883.5964757622</v>
      </c>
      <c r="E1140" s="1881">
        <f>'Part VII-Pro Forma'!E125</f>
        <v>307354.85205202817</v>
      </c>
      <c r="F1140" s="1881">
        <f>'Part VII-Pro Forma'!F125</f>
        <v>312662.52624818636</v>
      </c>
      <c r="G1140" s="1881"/>
      <c r="H1140" s="1881"/>
      <c r="I1140" s="1881"/>
      <c r="J1140" s="1881"/>
      <c r="K1140" s="1881"/>
      <c r="N1140" s="1838">
        <f>'Part VII-Pro Forma'!N125</f>
        <v>0</v>
      </c>
      <c r="O1140" s="1838"/>
    </row>
    <row r="1141" spans="1:15">
      <c r="A1141" s="742" t="str">
        <f>$A1111</f>
        <v>DCR Mortgage A</v>
      </c>
      <c r="B1141" s="1882">
        <f>'Part VII-Pro Forma'!B126</f>
        <v>1.7092820426599311</v>
      </c>
      <c r="C1141" s="1882">
        <f>'Part VII-Pro Forma'!C126</f>
        <v>1.7230081731501208</v>
      </c>
      <c r="D1141" s="1882">
        <f>'Part VII-Pro Forma'!D126</f>
        <v>1.7363955845774595</v>
      </c>
      <c r="E1141" s="1882">
        <f>'Part VII-Pro Forma'!E126</f>
        <v>1.7494182803323479</v>
      </c>
      <c r="F1141" s="1882">
        <f>'Part VII-Pro Forma'!F126</f>
        <v>1.7620516192906817</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1.7092820426599311</v>
      </c>
      <c r="C1145" s="1882">
        <f>'Part VII-Pro Forma'!C130</f>
        <v>1.7230081731501208</v>
      </c>
      <c r="D1145" s="1882">
        <f>'Part VII-Pro Forma'!D130</f>
        <v>1.7363955845774595</v>
      </c>
      <c r="E1145" s="1882">
        <f>'Part VII-Pro Forma'!E130</f>
        <v>1.7494182803323479</v>
      </c>
      <c r="F1145" s="1882">
        <f>'Part VII-Pro Forma'!F130</f>
        <v>1.7620516192906817</v>
      </c>
      <c r="G1145" s="1881"/>
      <c r="H1145" s="1881"/>
      <c r="I1145" s="1881"/>
      <c r="J1145" s="1881"/>
      <c r="K1145" s="1881"/>
      <c r="N1145" s="1838">
        <f>'Part VII-Pro Forma'!N130</f>
        <v>0</v>
      </c>
      <c r="O1145" s="1838"/>
    </row>
    <row r="1146" spans="1:15">
      <c r="A1146" s="742" t="s">
        <v>770</v>
      </c>
      <c r="B1146" s="1883">
        <f>'Part VII-Pro Forma'!B131</f>
        <v>1.7618746414583415</v>
      </c>
      <c r="C1146" s="1883">
        <f>'Part VII-Pro Forma'!C131</f>
        <v>1.7462620614394009</v>
      </c>
      <c r="D1146" s="1883">
        <f>'Part VII-Pro Forma'!D131</f>
        <v>1.7307751030520555</v>
      </c>
      <c r="E1146" s="1883">
        <f>'Part VII-Pro Forma'!E131</f>
        <v>1.7154123903491043</v>
      </c>
      <c r="F1146" s="1883">
        <f>'Part VII-Pro Forma'!F131</f>
        <v>1.7001742633449874</v>
      </c>
      <c r="G1146" s="1881"/>
      <c r="H1146" s="1881"/>
      <c r="I1146" s="1881"/>
      <c r="J1146" s="1881"/>
      <c r="K1146" s="1881"/>
      <c r="N1146" s="1838">
        <f>'Part VII-Pro Forma'!N131</f>
        <v>0</v>
      </c>
      <c r="O1146" s="1838"/>
    </row>
    <row r="1147" spans="1:15">
      <c r="A1147" s="742" t="s">
        <v>2616</v>
      </c>
      <c r="B1147" s="1881">
        <f>'Part VII-Pro Forma'!B132</f>
        <v>1570438.3559203607</v>
      </c>
      <c r="C1147" s="1881">
        <f>'Part VII-Pro Forma'!C132</f>
        <v>1197362.182447901</v>
      </c>
      <c r="D1147" s="1881">
        <f>'Part VII-Pro Forma'!D132</f>
        <v>811555.79186053225</v>
      </c>
      <c r="E1147" s="1881">
        <f>'Part VII-Pro Forma'!E132</f>
        <v>412584.799870766</v>
      </c>
      <c r="F1147" s="1881">
        <f>'Part VII-Pro Forma'!F132</f>
        <v>1.3993121683597565E-7</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2692</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Enclave at Milledgeville,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4539</v>
      </c>
      <c r="K1164" s="1887"/>
      <c r="L1164" s="1887"/>
      <c r="M1164" s="1887"/>
      <c r="N1164" s="1887"/>
      <c r="O1164" s="1887"/>
      <c r="P1164" s="2781"/>
      <c r="Q1164" s="2781"/>
      <c r="R1164" s="2752"/>
      <c r="S1164" s="2752"/>
    </row>
    <row r="1165" spans="1:19">
      <c r="A1165" s="1889" t="s">
        <v>3450</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2650</v>
      </c>
      <c r="C1187" s="1921"/>
      <c r="D1187" s="521"/>
      <c r="E1187" s="521"/>
      <c r="F1187" s="521"/>
      <c r="G1187" s="521"/>
      <c r="I1187" s="1895"/>
      <c r="J1187" s="1895"/>
      <c r="K1187" s="1895"/>
      <c r="L1187" s="1633"/>
      <c r="M1187" s="1633"/>
      <c r="O1187" s="2784" t="s">
        <v>1867</v>
      </c>
      <c r="P1187" s="1634"/>
      <c r="Q1187" s="1634"/>
    </row>
    <row r="1189" spans="1:22" ht="20.25">
      <c r="B1189" s="1866" t="s">
        <v>3755</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2710</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2714</v>
      </c>
      <c r="H1195" s="1652"/>
      <c r="I1195" s="521"/>
      <c r="J1195" s="1631"/>
      <c r="K1195" s="521" t="s">
        <v>3634</v>
      </c>
      <c r="L1195" s="521"/>
      <c r="M1195" s="521"/>
      <c r="N1195" s="521"/>
    </row>
    <row r="1196" spans="1:22" ht="13.5">
      <c r="A1196" s="1902"/>
      <c r="B1196" s="1902"/>
      <c r="C1196" s="1902"/>
      <c r="D1196" s="1902"/>
      <c r="E1196" s="1902"/>
      <c r="F1196" s="1902"/>
      <c r="G1196" s="1652" t="s">
        <v>346</v>
      </c>
      <c r="H1196" s="1652"/>
      <c r="I1196" s="521"/>
      <c r="J1196" s="1631"/>
      <c r="K1196" s="521" t="s">
        <v>3635</v>
      </c>
      <c r="L1196" s="521"/>
      <c r="M1196" s="521"/>
      <c r="N1196" s="521"/>
      <c r="P1196" s="1753" t="s">
        <v>2734</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5044</v>
      </c>
      <c r="H1198" s="1904"/>
      <c r="I1198" s="1904"/>
      <c r="K1198" s="1904" t="s">
        <v>3452</v>
      </c>
      <c r="L1198" s="1904" t="s">
        <v>5043</v>
      </c>
      <c r="M1198" s="1904"/>
      <c r="N1198" s="1904"/>
      <c r="R1198" s="1632"/>
      <c r="V1198" s="1631"/>
    </row>
    <row r="1199" spans="1:22" ht="12.75" customHeight="1">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Macon</v>
      </c>
      <c r="Q1200" s="2752"/>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15458102.010000002</v>
      </c>
      <c r="Q1203" s="2787"/>
    </row>
    <row r="1204" spans="1:2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5164</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2440</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c r="C1218" s="1631"/>
      <c r="D1218" s="1912" t="s">
        <v>3367</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2439</v>
      </c>
      <c r="E1221" s="1895">
        <v>1</v>
      </c>
      <c r="F1221" s="1907">
        <f>IF('Part VI-Revenues &amp; Expenses'!$K$141 =0,"",'Part VI-Revenues &amp; Expenses'!$K$141)</f>
        <v>14</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14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16229310</v>
      </c>
      <c r="Q1221" s="2791"/>
      <c r="R1221" s="1631"/>
      <c r="S1221" s="1631"/>
      <c r="V1221" s="1631"/>
    </row>
    <row r="1222" spans="1:22" ht="12.75" customHeight="1">
      <c r="C1222" s="1631"/>
      <c r="D1222" s="1906" t="s">
        <v>2440</v>
      </c>
      <c r="E1222" s="1895">
        <v>2</v>
      </c>
      <c r="F1222" s="1907">
        <f>IF('Part VI-Revenues &amp; Expenses'!$L$141 =0,"",'Part VI-Revenues &amp; Expenses'!$L$141)</f>
        <v>30</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30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2441</v>
      </c>
      <c r="E1223" s="1895">
        <v>3</v>
      </c>
      <c r="F1223" s="1907">
        <f>IF('Part VI-Revenues &amp; Expenses'!$M$141 =0,"",'Part VI-Revenues &amp; Expenses'!$M$141)</f>
        <v>32</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32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76</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3368</v>
      </c>
      <c r="B1227" s="1631"/>
      <c r="C1227" s="1631"/>
      <c r="D1227" s="1631"/>
      <c r="E1227" s="1634"/>
      <c r="F1227" s="2792">
        <f>F1204+F1211+F1218+F1225</f>
        <v>76</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3755</v>
      </c>
      <c r="D1228" s="1842"/>
      <c r="E1228" s="1842"/>
      <c r="F1228" s="1842"/>
      <c r="G1228" s="1842"/>
      <c r="H1228" s="1841"/>
      <c r="I1228" s="1895"/>
      <c r="J1228" s="1895"/>
      <c r="K1228" s="1897" t="s">
        <v>1866</v>
      </c>
      <c r="L1228" s="1633"/>
      <c r="M1228" s="1633"/>
      <c r="N1228" s="1633"/>
      <c r="O1228" s="1633"/>
      <c r="P1228" s="1902"/>
      <c r="Q1228" s="1902"/>
    </row>
    <row r="1229" spans="1:22" ht="15">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3755</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2651</v>
      </c>
      <c r="C1235" s="1841"/>
      <c r="D1235" s="1899"/>
      <c r="E1235" s="1899"/>
      <c r="F1235" s="1899"/>
      <c r="G1235" s="1899"/>
      <c r="H1235" s="1899"/>
      <c r="I1235" s="1899"/>
      <c r="J1235" s="1899"/>
      <c r="L1235" s="2794" t="s">
        <v>4756</v>
      </c>
      <c r="M1235" s="2795" t="s">
        <v>4757</v>
      </c>
      <c r="O1235" s="2784" t="s">
        <v>1867</v>
      </c>
      <c r="P1235" s="1634"/>
      <c r="Q1235" s="1634"/>
    </row>
    <row r="1237" spans="1:22" ht="12.75" customHeight="1">
      <c r="A1237" s="1944" t="s">
        <v>1983</v>
      </c>
      <c r="B1237" s="1900" t="s">
        <v>4748</v>
      </c>
      <c r="C1237" s="1900"/>
      <c r="D1237" s="1900"/>
      <c r="E1237" s="1900"/>
      <c r="F1237" s="1900"/>
      <c r="G1237" s="1900"/>
      <c r="H1237" s="1900"/>
      <c r="I1237" s="1900"/>
      <c r="J1237" s="1900"/>
      <c r="L1237" s="1948" t="s">
        <v>2910</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4755</v>
      </c>
      <c r="M1238" s="1948">
        <v>4</v>
      </c>
      <c r="O1238" s="1900"/>
      <c r="P1238" s="521"/>
      <c r="Q1238" s="521"/>
    </row>
    <row r="1239" spans="1:22">
      <c r="A1239" s="1937" t="s">
        <v>1985</v>
      </c>
      <c r="B1239" s="1921" t="s">
        <v>4758</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4762</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1738</v>
      </c>
      <c r="C1241" s="1921" t="s">
        <v>4759</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4760</v>
      </c>
      <c r="E1242" s="1921"/>
      <c r="F1242" s="1921"/>
      <c r="G1242" s="1921"/>
      <c r="H1242" s="1921"/>
      <c r="I1242" s="1921"/>
      <c r="J1242" s="1921"/>
      <c r="K1242" s="1900"/>
      <c r="L1242" s="1921"/>
      <c r="M1242" s="2796"/>
      <c r="N1242" s="1921" t="s">
        <v>3696</v>
      </c>
      <c r="O1242" s="2796"/>
      <c r="P1242" s="1895" t="str">
        <f>'Part VIII-Threshold Criteria'!P84</f>
        <v>Agree</v>
      </c>
      <c r="Q1242" s="1895"/>
    </row>
    <row r="1243" spans="1:22">
      <c r="A1243" s="2079"/>
      <c r="B1243" s="1952" t="s">
        <v>2365</v>
      </c>
      <c r="C1243" s="1952" t="s">
        <v>4763</v>
      </c>
      <c r="D1243" s="1867"/>
      <c r="E1243" s="1867"/>
      <c r="F1243" s="1867"/>
      <c r="G1243" s="1867"/>
      <c r="H1243" s="1867"/>
      <c r="I1243" s="1631"/>
      <c r="J1243" s="1631"/>
      <c r="N1243" s="1921" t="s">
        <v>3696</v>
      </c>
      <c r="O1243" s="2796"/>
      <c r="P1243" s="1895" t="str">
        <f>'Part VIII-Threshold Criteria'!P85</f>
        <v>Agree</v>
      </c>
      <c r="Q1243" s="1895"/>
    </row>
    <row r="1244" spans="1:22">
      <c r="A1244" s="2079"/>
      <c r="B1244" s="1952"/>
      <c r="C1244" s="1921" t="s">
        <v>4764</v>
      </c>
      <c r="D1244" s="1867"/>
      <c r="E1244" s="1867"/>
      <c r="F1244" s="1867"/>
      <c r="G1244" s="1867"/>
      <c r="H1244" s="1867"/>
      <c r="I1244" s="1631"/>
      <c r="J1244" s="1631"/>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4761</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3755</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2652</v>
      </c>
      <c r="C1250" s="1947"/>
      <c r="D1250" s="1899"/>
      <c r="E1250" s="1899"/>
      <c r="F1250" s="1899"/>
      <c r="G1250" s="1899"/>
      <c r="H1250" s="1899"/>
      <c r="I1250" s="1899"/>
      <c r="J1250" s="1899"/>
      <c r="K1250" s="1899"/>
      <c r="O1250" s="2784" t="s">
        <v>1867</v>
      </c>
      <c r="P1250" s="1634"/>
      <c r="Q1250" s="1634"/>
    </row>
    <row r="1252" spans="1:22">
      <c r="A1252" s="1937" t="s">
        <v>1983</v>
      </c>
      <c r="B1252" s="1216" t="s">
        <v>2459</v>
      </c>
      <c r="D1252" s="1867"/>
      <c r="E1252" s="1867"/>
      <c r="F1252" s="1867"/>
      <c r="G1252" s="1867"/>
      <c r="H1252" s="1867"/>
      <c r="I1252" s="1631"/>
      <c r="J1252" s="1631"/>
      <c r="K1252" s="1631"/>
      <c r="L1252" s="1937" t="s">
        <v>1983</v>
      </c>
      <c r="M1252" s="521" t="str">
        <f>'Part VIII-Threshold Criteria'!M94</f>
        <v xml:space="preserve">Novogradac </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3-4 months</v>
      </c>
      <c r="N1253" s="521">
        <f>'Part VIII-Threshold Criteria'!N95</f>
        <v>0</v>
      </c>
      <c r="O1253" s="521">
        <f>'Part VIII-Threshold Criteria'!O95</f>
        <v>0</v>
      </c>
      <c r="P1253" s="1631">
        <f>'Part VIII-Threshold Criteria'!P95</f>
        <v>0</v>
      </c>
      <c r="Q1253" s="1895"/>
    </row>
    <row r="1254" spans="1:22">
      <c r="A1254" s="1937" t="s">
        <v>749</v>
      </c>
      <c r="B1254" s="521" t="s">
        <v>2878</v>
      </c>
      <c r="D1254" s="1867"/>
      <c r="E1254" s="1867"/>
      <c r="F1254" s="1867"/>
      <c r="L1254" s="1937" t="s">
        <v>749</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2115</v>
      </c>
      <c r="B1255" s="521" t="s">
        <v>3897</v>
      </c>
      <c r="D1255" s="1867"/>
      <c r="E1255" s="1867"/>
      <c r="F1255" s="1867"/>
      <c r="L1255" s="1937" t="s">
        <v>3898</v>
      </c>
      <c r="M1255" s="2798">
        <f>'Part VIII-Threshold Criteria'!M97</f>
        <v>2.5999999999999999E-2</v>
      </c>
      <c r="N1255" s="2797"/>
      <c r="O1255" s="1940" t="s">
        <v>4129</v>
      </c>
      <c r="P1255" s="2083" t="str">
        <f>'Part VIII-Threshold Criteria'!P97</f>
        <v>N/A</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f>'Part VIII-Threshold Criteria'!D100</f>
        <v>0</v>
      </c>
      <c r="E1258" s="521" t="str">
        <f>'Part VIII-Threshold Criteria'!E100</f>
        <v>Sumpter Street Station</v>
      </c>
      <c r="F1258" s="521">
        <f>'Part VIII-Threshold Criteria'!F100</f>
        <v>0</v>
      </c>
      <c r="G1258" s="521">
        <f>'Part VIII-Threshold Criteria'!G100</f>
        <v>0</v>
      </c>
      <c r="H1258" s="1937" t="s">
        <v>1739</v>
      </c>
      <c r="I1258" s="1895">
        <f>'Part VIII-Threshold Criteria'!I100</f>
        <v>0</v>
      </c>
      <c r="J1258" s="521" t="str">
        <f>'Part VIII-Threshold Criteria'!J100</f>
        <v>The Pines at Westdale</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f>'Part VIII-Threshold Criteria'!D101</f>
        <v>0</v>
      </c>
      <c r="E1259" s="521" t="str">
        <f>'Part VIII-Threshold Criteria'!E101</f>
        <v>AL Miller Village</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No</v>
      </c>
      <c r="Q1260" s="1895"/>
    </row>
    <row r="1261" spans="1:22">
      <c r="B1261" s="1842" t="s">
        <v>3755</v>
      </c>
      <c r="D1261" s="1842"/>
      <c r="E1261" s="1842"/>
      <c r="F1261" s="1842"/>
      <c r="G1261" s="1842"/>
      <c r="H1261" s="1841"/>
      <c r="I1261" s="1895"/>
      <c r="J1261" s="1895"/>
      <c r="K1261" s="1895"/>
      <c r="L1261" s="1633"/>
      <c r="M1261" s="1633"/>
      <c r="N1261" s="1633"/>
      <c r="O1261" s="1633"/>
      <c r="P1261" s="1633"/>
      <c r="Q1261" s="1633"/>
    </row>
    <row r="1262" spans="1:22" ht="191.25">
      <c r="A1262" s="1900" t="str">
        <f>'Part VIII-Threshold Criteria'!A104</f>
        <v>The attached market study indicated an additonal amenities not required by DCA.  We removed the extra amenitiy to ensure that the project met project cost limits.</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2653</v>
      </c>
      <c r="C1265" s="1947"/>
      <c r="D1265" s="1899"/>
      <c r="E1265" s="1899"/>
      <c r="F1265" s="1899"/>
      <c r="G1265" s="1899"/>
      <c r="H1265" s="1899"/>
      <c r="I1265" s="1899"/>
      <c r="J1265" s="1899"/>
      <c r="K1265" s="1899"/>
      <c r="L1265" s="1899"/>
      <c r="M1265" s="1899"/>
      <c r="O1265" s="2784" t="s">
        <v>1867</v>
      </c>
      <c r="P1265" s="1634"/>
      <c r="Q1265" s="1634"/>
    </row>
    <row r="1267" spans="1:22">
      <c r="B1267" s="1216" t="s">
        <v>4942</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No</v>
      </c>
      <c r="Q1269" s="1895"/>
    </row>
    <row r="1270" spans="1:22">
      <c r="A1270" s="521"/>
      <c r="B1270" s="521" t="s">
        <v>554</v>
      </c>
      <c r="E1270" s="1631"/>
      <c r="F1270" s="1631"/>
      <c r="G1270" s="1631"/>
      <c r="H1270" s="1631"/>
      <c r="I1270" s="1631"/>
      <c r="L1270" s="1937" t="s">
        <v>555</v>
      </c>
      <c r="M1270" s="521" t="str">
        <f>'Part VIII-Threshold Criteria'!M112</f>
        <v>CBRE Appraisals</v>
      </c>
      <c r="N1270" s="521">
        <f>'Part VIII-Threshold Criteria'!N112</f>
        <v>0</v>
      </c>
      <c r="O1270" s="521">
        <f>'Part VIII-Threshold Criteria'!O112</f>
        <v>0</v>
      </c>
      <c r="P1270" s="1631">
        <f>'Part VIII-Threshold Criteria'!P112</f>
        <v>0</v>
      </c>
      <c r="Q1270" s="1895"/>
    </row>
    <row r="1271" spans="1:22">
      <c r="A1271" s="1895"/>
      <c r="B1271" s="1952" t="s">
        <v>1737</v>
      </c>
      <c r="C1271" s="1841" t="s">
        <v>4765</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2879</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2688</v>
      </c>
      <c r="D1275" s="1900"/>
      <c r="E1275" s="1900"/>
      <c r="F1275" s="1900"/>
      <c r="G1275" s="1900"/>
      <c r="H1275" s="1900"/>
      <c r="I1275" s="1900"/>
      <c r="J1275" s="1900"/>
      <c r="K1275" s="1900"/>
      <c r="L1275" s="1900"/>
      <c r="M1275" s="1900"/>
      <c r="N1275" s="1900"/>
      <c r="O1275" s="1944" t="s">
        <v>1549</v>
      </c>
      <c r="P1275" s="1948" t="str">
        <f>'Part VIII-Threshold Criteria'!P117</f>
        <v>No</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3755</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2654</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United Consulting</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2687</v>
      </c>
      <c r="E1290" s="1867"/>
      <c r="F1290" s="1867"/>
      <c r="G1290" s="1867"/>
      <c r="H1290" s="1867"/>
      <c r="I1290" s="1631"/>
      <c r="J1290" s="1631"/>
      <c r="K1290" s="1937" t="s">
        <v>1737</v>
      </c>
      <c r="L1290" s="1634" t="str">
        <f>'Part VIII-Threshold Criteria'!L132</f>
        <v>Harry Walls Environmental Consulting</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54.53</v>
      </c>
      <c r="Q1291" s="1895"/>
    </row>
    <row r="1292" spans="1:22">
      <c r="A1292" s="1828"/>
      <c r="B1292" s="1841" t="s">
        <v>1739</v>
      </c>
      <c r="C1292" s="521" t="s">
        <v>4749</v>
      </c>
      <c r="E1292" s="1631"/>
      <c r="F1292" s="1631"/>
      <c r="G1292" s="1631"/>
      <c r="H1292" s="521"/>
      <c r="I1292" s="1631"/>
      <c r="J1292" s="1631"/>
      <c r="K1292" s="1867"/>
      <c r="L1292" s="1834"/>
      <c r="M1292" s="1834"/>
      <c r="O1292" s="1937" t="s">
        <v>1739</v>
      </c>
      <c r="P1292" s="1895" t="str">
        <f>'Part VIII-Threshold Criteria'!P134</f>
        <v>N/A</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799">
        <f>'Part VIII-Threshold Criteria'!P138</f>
        <v>0</v>
      </c>
      <c r="Q1296" s="2799"/>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2631</v>
      </c>
      <c r="E1300" s="1937" t="s">
        <v>2434</v>
      </c>
      <c r="F1300" s="521" t="s">
        <v>2635</v>
      </c>
      <c r="G1300" s="1631"/>
      <c r="H1300" s="521"/>
      <c r="I1300" s="1631"/>
      <c r="J1300" s="1631"/>
      <c r="K1300" s="1867"/>
      <c r="L1300" s="1834"/>
      <c r="O1300" s="1937" t="s">
        <v>2434</v>
      </c>
      <c r="P1300" s="2799">
        <f>'Part VIII-Threshold Criteria'!P142</f>
        <v>0</v>
      </c>
      <c r="Q1300" s="2799"/>
    </row>
    <row r="1301" spans="1:17">
      <c r="A1301" s="1937"/>
      <c r="B1301" s="1937"/>
      <c r="E1301" s="1937" t="s">
        <v>2435</v>
      </c>
      <c r="F1301" s="521" t="s">
        <v>2636</v>
      </c>
      <c r="G1301" s="1631"/>
      <c r="H1301" s="521"/>
      <c r="I1301" s="1631"/>
      <c r="J1301" s="1631"/>
      <c r="O1301" s="1937" t="s">
        <v>2435</v>
      </c>
      <c r="P1301" s="1895">
        <f>'Part VIII-Threshold Criteria'!P143</f>
        <v>0</v>
      </c>
      <c r="Q1301" s="1895"/>
    </row>
    <row r="1302" spans="1:17">
      <c r="A1302" s="1937"/>
      <c r="B1302" s="1937"/>
      <c r="E1302" s="1937" t="s">
        <v>2436</v>
      </c>
      <c r="F1302" s="521" t="s">
        <v>2634</v>
      </c>
      <c r="G1302" s="1631"/>
      <c r="H1302" s="521"/>
      <c r="I1302" s="1631"/>
      <c r="J1302" s="1631"/>
      <c r="O1302" s="1937" t="s">
        <v>2436</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2494</v>
      </c>
      <c r="E1304" s="1867"/>
      <c r="F1304" s="1895" t="str">
        <f>'Part VIII-Threshold Criteria'!F146</f>
        <v>No</v>
      </c>
      <c r="G1304" s="1895"/>
      <c r="H1304" s="1937" t="s">
        <v>4985</v>
      </c>
      <c r="I1304" s="1216" t="s">
        <v>2639</v>
      </c>
      <c r="L1304" s="1895" t="str">
        <f>'Part VIII-Threshold Criteria'!L146</f>
        <v>No</v>
      </c>
      <c r="M1304" s="1895"/>
      <c r="N1304" s="1937" t="s">
        <v>4989</v>
      </c>
      <c r="O1304" s="521" t="s">
        <v>1552</v>
      </c>
      <c r="P1304" s="1895" t="str">
        <f>'Part VIII-Threshold Criteria'!P146</f>
        <v>No</v>
      </c>
      <c r="Q1304" s="1895"/>
    </row>
    <row r="1305" spans="1:17">
      <c r="A1305" s="521"/>
      <c r="B1305" s="1841" t="s">
        <v>1738</v>
      </c>
      <c r="C1305" s="521" t="s">
        <v>2802</v>
      </c>
      <c r="E1305" s="1867"/>
      <c r="F1305" s="1895" t="str">
        <f>'Part VIII-Threshold Criteria'!F147</f>
        <v>No</v>
      </c>
      <c r="G1305" s="1895"/>
      <c r="H1305" s="1937" t="s">
        <v>4986</v>
      </c>
      <c r="I1305" s="1216" t="s">
        <v>2640</v>
      </c>
      <c r="L1305" s="1895" t="str">
        <f>'Part VIII-Threshold Criteria'!L147</f>
        <v>No</v>
      </c>
      <c r="M1305" s="1895"/>
      <c r="N1305" s="1937" t="s">
        <v>4990</v>
      </c>
      <c r="O1305" s="521" t="s">
        <v>1551</v>
      </c>
      <c r="P1305" s="1895" t="str">
        <f>'Part VIII-Threshold Criteria'!P147</f>
        <v>No</v>
      </c>
      <c r="Q1305" s="1895"/>
    </row>
    <row r="1306" spans="1:17">
      <c r="A1306" s="521"/>
      <c r="B1306" s="1841" t="s">
        <v>1739</v>
      </c>
      <c r="C1306" s="521" t="s">
        <v>2638</v>
      </c>
      <c r="E1306" s="1867"/>
      <c r="F1306" s="1895" t="str">
        <f>'Part VIII-Threshold Criteria'!F148</f>
        <v>No</v>
      </c>
      <c r="G1306" s="1895"/>
      <c r="H1306" s="1937" t="s">
        <v>4987</v>
      </c>
      <c r="I1306" s="1216" t="s">
        <v>3847</v>
      </c>
      <c r="L1306" s="1895" t="str">
        <f>'Part VIII-Threshold Criteria'!L148</f>
        <v>No</v>
      </c>
      <c r="M1306" s="1895"/>
      <c r="N1306" s="1937" t="s">
        <v>4991</v>
      </c>
      <c r="O1306" s="521" t="s">
        <v>1553</v>
      </c>
      <c r="P1306" s="1895" t="str">
        <f>'Part VIII-Threshold Criteria'!P148</f>
        <v>Yes</v>
      </c>
      <c r="Q1306" s="1895"/>
    </row>
    <row r="1307" spans="1:17">
      <c r="A1307" s="521"/>
      <c r="B1307" s="1841" t="s">
        <v>2365</v>
      </c>
      <c r="C1307" s="521" t="s">
        <v>2805</v>
      </c>
      <c r="E1307" s="1867"/>
      <c r="F1307" s="1895" t="str">
        <f>'Part VIII-Threshold Criteria'!F149</f>
        <v>No</v>
      </c>
      <c r="G1307" s="1895"/>
      <c r="H1307" s="1937" t="s">
        <v>4988</v>
      </c>
      <c r="I1307" s="521" t="s">
        <v>2801</v>
      </c>
      <c r="L1307" s="1895" t="str">
        <f>'Part VIII-Threshold Criteria'!L149</f>
        <v>Yes</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2806</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4967</v>
      </c>
      <c r="E1314" s="521"/>
      <c r="F1314" s="521"/>
      <c r="G1314" s="521"/>
      <c r="H1314" s="521"/>
      <c r="I1314" s="1631"/>
      <c r="J1314" s="1631"/>
      <c r="K1314" s="521"/>
      <c r="L1314" s="521"/>
      <c r="M1314" s="521"/>
      <c r="O1314" s="1937" t="s">
        <v>1739</v>
      </c>
      <c r="P1314" s="1895">
        <f>'Part VIII-Threshold Criteria'!P156</f>
        <v>0</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4542</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3755</v>
      </c>
      <c r="D1317" s="1842"/>
      <c r="E1317" s="1842"/>
      <c r="F1317" s="1842"/>
      <c r="G1317" s="1842"/>
      <c r="H1317" s="1841"/>
      <c r="I1317" s="1895"/>
      <c r="J1317" s="1895"/>
      <c r="K1317" s="1895"/>
      <c r="L1317" s="1633"/>
      <c r="M1317" s="1633"/>
      <c r="N1317" s="1633"/>
      <c r="O1317" s="1633"/>
      <c r="P1317" s="1633"/>
      <c r="Q1317" s="1633"/>
    </row>
    <row r="1318" spans="1:22" ht="180">
      <c r="A1318" s="1900" t="str">
        <f>'Part VIII-Threshold Criteria'!A160</f>
        <v>E.11) Although Radon was found in some areas, it is below the EPA Action Level and no mitigration is required and no further testing is required.</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4" t="s">
        <v>1867</v>
      </c>
      <c r="P1323" s="1634"/>
      <c r="Q1323" s="1634"/>
    </row>
    <row r="1324" spans="1:22">
      <c r="A1324" s="1937" t="s">
        <v>1983</v>
      </c>
      <c r="B1324" s="521" t="s">
        <v>5091</v>
      </c>
      <c r="D1324" s="521"/>
      <c r="E1324" s="521"/>
      <c r="F1324" s="521"/>
      <c r="G1324" s="521"/>
      <c r="H1324" s="521" t="s">
        <v>2706</v>
      </c>
      <c r="K1324" s="2800">
        <f>'Part VIII-Threshold Criteria'!K166</f>
        <v>44105</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HDC Enclave at Milledgeville GP,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3755</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3744</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4766</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3745</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4912</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3755</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2642</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2643</v>
      </c>
      <c r="D1345" s="1952"/>
      <c r="E1345" s="1952"/>
      <c r="F1345" s="1952"/>
      <c r="G1345" s="1952"/>
      <c r="H1345" s="1952"/>
      <c r="I1345" s="1952"/>
      <c r="J1345" s="1921" t="s">
        <v>4929</v>
      </c>
      <c r="L1345" s="1952"/>
      <c r="M1345" s="1952"/>
      <c r="O1345" s="1944" t="s">
        <v>749</v>
      </c>
      <c r="P1345" s="1895" t="str">
        <f>'Part VIII-Threshold Criteria'!P187</f>
        <v>Yes</v>
      </c>
      <c r="Q1345" s="1895"/>
    </row>
    <row r="1346" spans="1:22">
      <c r="B1346" s="1841" t="s">
        <v>1737</v>
      </c>
      <c r="C1346" s="1841" t="s">
        <v>2644</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3746</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2646</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2647</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2648</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3755</v>
      </c>
      <c r="D1354" s="1842"/>
      <c r="E1354" s="1842"/>
      <c r="F1354" s="1842"/>
      <c r="G1354" s="1842"/>
      <c r="H1354" s="1841"/>
      <c r="I1354" s="1895"/>
      <c r="J1354" s="1895"/>
      <c r="K1354" s="1895"/>
      <c r="L1354" s="1633"/>
      <c r="M1354" s="1633"/>
      <c r="N1354" s="1633"/>
      <c r="O1354" s="1633"/>
      <c r="P1354" s="1633"/>
      <c r="Q1354" s="1633"/>
    </row>
    <row r="1355" spans="1:22" ht="123.75">
      <c r="A1355" s="1900" t="str">
        <f>'Part VIII-Threshold Criteria'!A197</f>
        <v>This property is located in unincorporated Baldwin County and therefore there is no applicable zoning codes.</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4" t="s">
        <v>1867</v>
      </c>
      <c r="P1359" s="1634"/>
      <c r="Q1359" s="1634"/>
    </row>
    <row r="1360" spans="1:22" ht="12.75" customHeight="1">
      <c r="A1360" s="1867" t="s">
        <v>5082</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3755</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Baldwin County Water and Sewer</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Baldwin County Water and Sewer</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3905</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3906</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3755</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2660</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4545</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4751</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4754</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4753</v>
      </c>
      <c r="E1383" s="1841"/>
      <c r="F1383" s="1841"/>
      <c r="G1383" s="1841"/>
      <c r="H1383" s="1841"/>
      <c r="I1383" s="1631"/>
      <c r="J1383" s="1937" t="s">
        <v>4752</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2508</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5115</v>
      </c>
      <c r="D1385" s="521"/>
      <c r="E1385" s="521"/>
      <c r="F1385" s="521"/>
      <c r="G1385" s="521"/>
      <c r="H1385" s="521"/>
      <c r="I1385" s="521"/>
      <c r="J1385" s="521"/>
      <c r="K1385" s="1631"/>
      <c r="L1385" s="1631"/>
      <c r="M1385" s="1631"/>
      <c r="N1385" s="1937" t="s">
        <v>3605</v>
      </c>
      <c r="O1385" s="2801">
        <f>'Part VI-Revenues &amp; Expenses'!$O$67</f>
        <v>76</v>
      </c>
      <c r="P1385" s="1955" t="s">
        <v>4982</v>
      </c>
      <c r="Q1385" s="1955"/>
    </row>
    <row r="1386" spans="1:22">
      <c r="A1386" s="1937"/>
      <c r="B1386" s="1841" t="s">
        <v>1737</v>
      </c>
      <c r="C1386" s="521" t="s">
        <v>4983</v>
      </c>
      <c r="D1386" s="521"/>
      <c r="E1386" s="521"/>
      <c r="F1386" s="521"/>
      <c r="H1386" s="1937" t="s">
        <v>4984</v>
      </c>
      <c r="I1386" s="521" t="s">
        <v>5165</v>
      </c>
      <c r="M1386" s="1631"/>
      <c r="N1386" s="1631"/>
      <c r="O1386" s="1956"/>
      <c r="P1386" s="2098" t="s">
        <v>773</v>
      </c>
      <c r="Q1386" s="2098" t="s">
        <v>4981</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Wellness Center</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f>'Part VIII-Threshold Criteria'!C231</f>
        <v>0</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f>'Part VIII-Threshold Criteria'!C232</f>
        <v>0</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3464</v>
      </c>
      <c r="E1392" s="521"/>
      <c r="F1392" s="521"/>
      <c r="L1392" s="1631"/>
      <c r="M1392" s="1631"/>
      <c r="O1392" s="1937" t="s">
        <v>1737</v>
      </c>
      <c r="P1392" s="1895" t="str">
        <f>'Part VIII-Threshold Criteria'!P234</f>
        <v>Yes</v>
      </c>
      <c r="Q1392" s="1895"/>
    </row>
    <row r="1393" spans="1:22">
      <c r="B1393" s="1841" t="s">
        <v>1738</v>
      </c>
      <c r="C1393" s="1841" t="s">
        <v>2807</v>
      </c>
      <c r="E1393" s="1841"/>
      <c r="F1393" s="1841"/>
      <c r="L1393" s="1631"/>
      <c r="M1393" s="1631"/>
      <c r="O1393" s="1937" t="s">
        <v>1738</v>
      </c>
      <c r="P1393" s="1895" t="str">
        <f>'Part VIII-Threshold Criteria'!P235</f>
        <v>Yes</v>
      </c>
      <c r="Q1393" s="1895"/>
    </row>
    <row r="1394" spans="1:22">
      <c r="B1394" s="1841" t="s">
        <v>1739</v>
      </c>
      <c r="C1394" s="1841" t="s">
        <v>2808</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2809</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2799</v>
      </c>
      <c r="P1398" s="1895" t="str">
        <f>'Part VIII-Threshold Criteria'!P240</f>
        <v>No</v>
      </c>
      <c r="Q1398" s="1895"/>
    </row>
    <row r="1399" spans="1:22">
      <c r="A1399" s="1937" t="s">
        <v>2115</v>
      </c>
      <c r="B1399" s="521" t="s">
        <v>3662</v>
      </c>
      <c r="C1399" s="521"/>
      <c r="E1399" s="521"/>
      <c r="F1399" s="521"/>
      <c r="G1399" s="521"/>
      <c r="H1399" s="521"/>
      <c r="I1399" s="521"/>
      <c r="J1399" s="521"/>
      <c r="K1399" s="1631"/>
      <c r="M1399" s="1937" t="s">
        <v>4837</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4767</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3755</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2811</v>
      </c>
      <c r="D1409" s="521"/>
      <c r="E1409" s="521"/>
      <c r="F1409" s="521"/>
      <c r="J1409" s="1937" t="s">
        <v>1985</v>
      </c>
      <c r="K1409" s="2803">
        <f>'Part VIII-Threshold Criteria'!K251</f>
        <v>43893</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t="str">
        <f>'Part VIII-Threshold Criteria'!K252</f>
        <v>United Consulting</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749</v>
      </c>
      <c r="B1412" s="521" t="s">
        <v>4913</v>
      </c>
      <c r="D1412" s="521"/>
      <c r="E1412" s="521"/>
      <c r="F1412" s="521"/>
      <c r="J1412" s="1937" t="s">
        <v>749</v>
      </c>
      <c r="K1412" s="2803">
        <f>'Part VIII-Threshold Criteria'!K254</f>
        <v>43982</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4773</v>
      </c>
      <c r="D1413" s="521"/>
      <c r="E1413" s="521"/>
      <c r="F1413" s="521"/>
    </row>
    <row r="1414" spans="1:17">
      <c r="A1414" s="1937"/>
      <c r="C1414" s="521" t="s">
        <v>4770</v>
      </c>
      <c r="D1414" s="521"/>
      <c r="E1414" s="521"/>
      <c r="F1414" s="521"/>
      <c r="K1414" s="521" t="s">
        <v>4769</v>
      </c>
      <c r="L1414" s="2797">
        <f>'Part VIII-Threshold Criteria'!L256</f>
        <v>0.48599999999999999</v>
      </c>
      <c r="M1414" s="521"/>
      <c r="N1414" s="2804"/>
      <c r="O1414" s="2804"/>
      <c r="P1414" s="521" t="str">
        <f>'Part VIII-Threshold Criteria'!P256</f>
        <v>Yes</v>
      </c>
      <c r="Q1414" s="521"/>
    </row>
    <row r="1415" spans="1:17">
      <c r="A1415" s="1937"/>
      <c r="B1415" s="521"/>
      <c r="C1415" s="1216" t="s">
        <v>4771</v>
      </c>
      <c r="D1415" s="521"/>
      <c r="E1415" s="521"/>
      <c r="F1415" s="521"/>
      <c r="K1415" s="1937" t="s">
        <v>4772</v>
      </c>
      <c r="L1415" s="2805">
        <f>'Part VIII-Threshold Criteria'!L257</f>
        <v>0</v>
      </c>
      <c r="M1415" s="521"/>
      <c r="N1415" s="1957"/>
      <c r="O1415" s="1957"/>
      <c r="P1415" s="1895">
        <f>'Part VIII-Threshold Criteria'!P257</f>
        <v>0</v>
      </c>
      <c r="Q1415" s="1895"/>
    </row>
    <row r="1416" spans="1:17">
      <c r="A1416" s="1937"/>
      <c r="B1416" s="521" t="s">
        <v>4768</v>
      </c>
      <c r="D1416" s="521"/>
      <c r="E1416" s="521"/>
      <c r="F1416" s="521"/>
      <c r="K1416" s="521" t="str">
        <f>'Part VIII-Threshold Criteria'!K258</f>
        <v>Jackie Queen/i3pv, LLC</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3908</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3763</v>
      </c>
      <c r="C1418" s="1900"/>
      <c r="D1418" s="1900"/>
      <c r="E1418" s="1900"/>
      <c r="F1418" s="1900"/>
      <c r="G1418" s="1900"/>
      <c r="H1418" s="1216" t="s">
        <v>4117</v>
      </c>
      <c r="K1418" s="1631"/>
      <c r="L1418" s="2111"/>
      <c r="M1418" s="521"/>
      <c r="N1418" s="2804"/>
      <c r="O1418" s="521" t="s">
        <v>1737</v>
      </c>
      <c r="P1418" s="521" t="str">
        <f>'Part VIII-Threshold Criteria'!P260</f>
        <v>Yes</v>
      </c>
      <c r="Q1418" s="521"/>
    </row>
    <row r="1419" spans="1:17">
      <c r="A1419" s="1937"/>
      <c r="B1419" s="1900"/>
      <c r="C1419" s="1900"/>
      <c r="D1419" s="1900"/>
      <c r="E1419" s="1900"/>
      <c r="F1419" s="1900"/>
      <c r="G1419" s="1900"/>
      <c r="H1419" s="1216" t="s">
        <v>4118</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4119</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4120</v>
      </c>
      <c r="K1421" s="1631"/>
      <c r="M1421" s="521"/>
      <c r="N1421" s="1957"/>
      <c r="O1421" s="1937" t="s">
        <v>2365</v>
      </c>
      <c r="P1421" s="1895" t="str">
        <f>'Part VIII-Threshold Criteria'!P263</f>
        <v>Yes</v>
      </c>
      <c r="Q1421" s="1895"/>
    </row>
    <row r="1422" spans="1:17" ht="12.75" customHeight="1">
      <c r="B1422" s="1900" t="s">
        <v>5166</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5167</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5116</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5083</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3865</v>
      </c>
      <c r="E1426" s="521" t="str">
        <f>'Part VIII-Threshold Criteria'!E268</f>
        <v>CVR and Associates</v>
      </c>
      <c r="F1426" s="521">
        <f>'Part VIII-Threshold Criteria'!F268</f>
        <v>0</v>
      </c>
      <c r="G1426" s="521">
        <f>'Part VIII-Threshold Criteria'!G268</f>
        <v>0</v>
      </c>
      <c r="H1426" s="521" t="s">
        <v>4954</v>
      </c>
      <c r="I1426" s="521" t="str">
        <f>'Part VIII-Threshold Criteria'!I268</f>
        <v>Relocation Specialist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5084</v>
      </c>
      <c r="E1427" s="1841"/>
      <c r="F1427" s="1841"/>
      <c r="G1427" s="1841"/>
      <c r="H1427" s="1841"/>
      <c r="I1427" s="1631"/>
      <c r="J1427" s="1631"/>
      <c r="K1427" s="1631"/>
      <c r="L1427" s="1631"/>
      <c r="M1427" s="1631"/>
      <c r="O1427" s="1937" t="s">
        <v>1738</v>
      </c>
      <c r="P1427" s="1895" t="str">
        <f>'Part VIII-Threshold Criteria'!P269</f>
        <v>No</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3755</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2662</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4966</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3758</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3759</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3760</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4969</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3755</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2663</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4968</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4788</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3755</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2664</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3878</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5117</v>
      </c>
      <c r="D1462" s="1900"/>
      <c r="E1462" s="1900"/>
      <c r="F1462" s="1900"/>
      <c r="G1462" s="1900"/>
      <c r="H1462" s="1900"/>
      <c r="I1462" s="1921"/>
      <c r="J1462" s="1904" t="s">
        <v>3795</v>
      </c>
      <c r="K1462" s="1955"/>
      <c r="L1462" s="1955"/>
      <c r="M1462" s="1961" t="s">
        <v>3765</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3766</v>
      </c>
      <c r="N1463" s="521" t="s">
        <v>3794</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4</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5118</v>
      </c>
      <c r="D1465" s="1900"/>
      <c r="E1465" s="1900"/>
      <c r="F1465" s="1900"/>
      <c r="G1465" s="1900"/>
      <c r="H1465" s="1900"/>
      <c r="I1465" s="1964" t="s">
        <v>4125</v>
      </c>
      <c r="J1465" s="1647"/>
      <c r="K1465" s="2809">
        <f>'Part VIII-Threshold Criteria'!K307</f>
        <v>2</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5119</v>
      </c>
      <c r="D1467" s="1900"/>
      <c r="E1467" s="1900"/>
      <c r="F1467" s="1900"/>
      <c r="G1467" s="1900"/>
      <c r="H1467" s="1900"/>
      <c r="I1467" s="521" t="s">
        <v>4126</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3879</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3764</v>
      </c>
      <c r="J1472" s="1921"/>
      <c r="K1472" s="1921"/>
      <c r="L1472" s="1921" t="str">
        <f>'Part VIII-Threshold Criteria'!L314</f>
        <v>Terracon Consultants, Inc.</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4914</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3755</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2665</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5120</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5121</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3755</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5000</v>
      </c>
      <c r="O1499" s="1944" t="s">
        <v>1983</v>
      </c>
      <c r="P1499" s="1895" t="str">
        <f>'Part VIII-Threshold Criteria'!P341</f>
        <v>Yes</v>
      </c>
      <c r="Q1499" s="1895"/>
    </row>
    <row r="1500" spans="1:22">
      <c r="A1500" s="1921" t="s">
        <v>1985</v>
      </c>
      <c r="B1500" s="1955" t="s">
        <v>4091</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Yes</v>
      </c>
      <c r="Q1501" s="521"/>
    </row>
    <row r="1502" spans="1:22">
      <c r="A1502" s="1937" t="s">
        <v>2115</v>
      </c>
      <c r="B1502" s="1216" t="s">
        <v>3843</v>
      </c>
      <c r="O1502" s="1937" t="s">
        <v>2115</v>
      </c>
      <c r="P1502" s="1895" t="str">
        <f>'Part VIII-Threshold Criteria'!P344</f>
        <v>No</v>
      </c>
      <c r="Q1502" s="1895"/>
    </row>
    <row r="1503" spans="1:22">
      <c r="A1503" s="1944" t="s">
        <v>1735</v>
      </c>
      <c r="B1503" s="1216" t="s">
        <v>2883</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2884</v>
      </c>
      <c r="P1504" s="1851"/>
      <c r="Q1504" s="1851"/>
    </row>
    <row r="1505" spans="1:22">
      <c r="B1505" s="1842" t="s">
        <v>3755</v>
      </c>
      <c r="D1505" s="1842"/>
      <c r="E1505" s="1842"/>
      <c r="F1505" s="1842"/>
      <c r="G1505" s="1842"/>
      <c r="H1505" s="1841"/>
      <c r="I1505" s="1895"/>
      <c r="J1505" s="1895"/>
      <c r="K1505" s="1895"/>
      <c r="L1505" s="1633"/>
      <c r="M1505" s="1633"/>
      <c r="N1505" s="1633"/>
      <c r="O1505" s="1633"/>
      <c r="P1505" s="1633"/>
      <c r="Q1505" s="1633"/>
    </row>
    <row r="1506" spans="1:22" ht="15">
      <c r="A1506" s="1900" t="str">
        <f>'Part VIII-Threshold Criteria'!A348</f>
        <v xml:space="preserve"> </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2666</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3852</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3755</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4083</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4084</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4075</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4078</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4079</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3755</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4" t="s">
        <v>1867</v>
      </c>
      <c r="P1534" s="1634"/>
      <c r="Q1534" s="1634"/>
    </row>
    <row r="1535" spans="1:22">
      <c r="A1535" s="521" t="s">
        <v>1983</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4926</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3935</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3755</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2683</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3463</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3">
        <f>'Part III-Sources of Funds'!H1163</f>
        <v>0</v>
      </c>
      <c r="N1561" s="2813"/>
      <c r="O1561" s="1937" t="s">
        <v>2115</v>
      </c>
      <c r="P1561" s="521">
        <f>'Part VIII-Threshold Criteria'!P403</f>
        <v>0</v>
      </c>
      <c r="Q1561" s="521"/>
    </row>
    <row r="1562" spans="1:22">
      <c r="B1562" s="1842" t="s">
        <v>3755</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2667</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2672</v>
      </c>
      <c r="D1568" s="1900"/>
      <c r="E1568" s="1900"/>
      <c r="H1568" s="1921"/>
      <c r="O1568" s="1937" t="s">
        <v>1983</v>
      </c>
      <c r="P1568" s="1895" t="str">
        <f>'Part VIII-Threshold Criteria'!P410</f>
        <v>Yes</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t="str">
        <f>'Part VIII-Threshold Criteria'!P411</f>
        <v>No</v>
      </c>
      <c r="Q1569" s="521"/>
    </row>
    <row r="1570" spans="1:22">
      <c r="A1570" s="1937" t="s">
        <v>749</v>
      </c>
      <c r="B1570" s="521" t="s">
        <v>4081</v>
      </c>
      <c r="D1570" s="1900"/>
      <c r="E1570" s="1900"/>
      <c r="O1570" s="1937" t="s">
        <v>749</v>
      </c>
      <c r="P1570" s="1895" t="str">
        <f>'Part VIII-Threshold Criteria'!P412</f>
        <v>No</v>
      </c>
      <c r="Q1570" s="1895"/>
    </row>
    <row r="1571" spans="1:22">
      <c r="A1571" s="1937" t="s">
        <v>2115</v>
      </c>
      <c r="B1571" s="521" t="s">
        <v>3583</v>
      </c>
      <c r="E1571" s="1921"/>
      <c r="O1571" s="1937" t="s">
        <v>2115</v>
      </c>
      <c r="P1571" s="521" t="str">
        <f>'Part VIII-Threshold Criteria'!P413</f>
        <v>No</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3755</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2668</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Yes</v>
      </c>
      <c r="Q1579" s="1895"/>
    </row>
    <row r="1580" spans="1:22">
      <c r="A1580" s="521" t="s">
        <v>1985</v>
      </c>
      <c r="B1580" s="521" t="s">
        <v>3475</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3474</v>
      </c>
      <c r="E1582" s="521"/>
      <c r="F1582" s="521"/>
      <c r="G1582" s="521"/>
      <c r="H1582" s="521"/>
      <c r="I1582" s="521"/>
      <c r="J1582" s="521"/>
      <c r="K1582" s="521"/>
      <c r="L1582" s="521"/>
      <c r="M1582" s="521"/>
      <c r="N1582" s="1631"/>
      <c r="O1582" s="1937" t="s">
        <v>1738</v>
      </c>
      <c r="P1582" s="521" t="str">
        <f>'Part VIII-Threshold Criteria'!P424</f>
        <v>No</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t="str">
        <f>'Part VIII-Threshold Criteria'!P425</f>
        <v>No</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2814</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2</v>
      </c>
      <c r="K1587" s="1633"/>
      <c r="L1587" s="1841"/>
      <c r="M1587" s="1631"/>
      <c r="N1587" s="1937"/>
    </row>
    <row r="1588" spans="1:22">
      <c r="A1588" s="1937" t="s">
        <v>1735</v>
      </c>
      <c r="B1588" s="1841" t="s">
        <v>4933</v>
      </c>
      <c r="C1588" s="1841"/>
      <c r="E1588" s="1841"/>
      <c r="F1588" s="1841"/>
      <c r="G1588" s="1841"/>
      <c r="J1588" s="1631"/>
      <c r="K1588" s="1841"/>
      <c r="L1588" s="1841"/>
      <c r="M1588" s="1631"/>
      <c r="N1588" s="1937"/>
      <c r="P1588" s="1937"/>
      <c r="Q1588" s="1937"/>
    </row>
    <row r="1589" spans="1:22">
      <c r="A1589" s="1937"/>
      <c r="B1589" s="1955" t="s">
        <v>1737</v>
      </c>
      <c r="C1589" s="521" t="s">
        <v>4782</v>
      </c>
      <c r="D1589" s="2111"/>
      <c r="E1589" s="521"/>
      <c r="G1589" s="1216" t="s">
        <v>4777</v>
      </c>
      <c r="H1589" s="1841"/>
      <c r="I1589" s="1841"/>
      <c r="J1589" s="1895" t="str">
        <f>'Part VIII-Threshold Criteria'!J431</f>
        <v>Yes</v>
      </c>
      <c r="K1589" s="1895"/>
      <c r="L1589" s="1841"/>
      <c r="M1589" s="1216" t="s">
        <v>4780</v>
      </c>
    </row>
    <row r="1590" spans="1:22" ht="102">
      <c r="A1590" s="1631"/>
      <c r="B1590" s="2111"/>
      <c r="C1590" s="2111"/>
      <c r="D1590" s="2111"/>
      <c r="E1590" s="2111"/>
      <c r="G1590" s="1216" t="s">
        <v>4778</v>
      </c>
      <c r="H1590" s="1841"/>
      <c r="I1590" s="1841"/>
      <c r="J1590" s="1895" t="str">
        <f>'Part VIII-Threshold Criteria'!J432</f>
        <v>Yes</v>
      </c>
      <c r="K1590" s="1895"/>
      <c r="M1590" s="1890" t="str">
        <f>'Part VIII-Threshold Criteria'!M432</f>
        <v xml:space="preserve">Establised a designated relocation hotline, email. Will also distribute newletters updating residents on renovation and relocation activites. </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4779</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4781</v>
      </c>
      <c r="E1592" s="1841"/>
      <c r="F1592" s="1841"/>
      <c r="L1592" s="1841"/>
      <c r="M1592" s="1841"/>
      <c r="O1592" s="1937" t="s">
        <v>1738</v>
      </c>
      <c r="P1592" s="1895" t="str">
        <f>'Part VIII-Threshold Criteria'!P434</f>
        <v>Third-party</v>
      </c>
      <c r="Q1592" s="1895" t="s">
        <v>1771</v>
      </c>
    </row>
    <row r="1593" spans="1:22">
      <c r="A1593" s="1631"/>
      <c r="C1593" s="1216" t="s">
        <v>2434</v>
      </c>
      <c r="D1593" s="1216" t="s">
        <v>4789</v>
      </c>
      <c r="E1593" s="1841"/>
      <c r="F1593" s="1841"/>
      <c r="G1593" s="521" t="str">
        <f>'Part VIII-Threshold Criteria'!G435</f>
        <v>CVR Associates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4790</v>
      </c>
      <c r="E1594" s="1841"/>
      <c r="F1594" s="1953"/>
      <c r="G1594" s="521" t="str">
        <f>'Part VIII-Threshold Criteria'!G436</f>
        <v>Relocation specialist</v>
      </c>
      <c r="H1594" s="521">
        <f>'Part VIII-Threshold Criteria'!H436</f>
        <v>0</v>
      </c>
      <c r="I1594" s="521">
        <f>'Part VIII-Threshold Criteria'!I436</f>
        <v>0</v>
      </c>
      <c r="J1594" s="1216" t="s">
        <v>4791</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409.5">
      <c r="B1596" s="1890" t="str">
        <f>'Part VIII-Threshold Criteria'!B438</f>
        <v>CVR has over two decades of experience and has built a strong reputation in providing effective consulting services in the area of affordable housing. Their experience includes providing direct counseling and advisory services to residents of Senior and Multifamily properties who are being relocated. A detailed accounting of CVR's background is included in this application (see advisory services biography/letter).</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4783</v>
      </c>
      <c r="U1596" s="1634"/>
      <c r="V1596" s="1634"/>
    </row>
    <row r="1597" spans="1:22">
      <c r="B1597" s="1842" t="s">
        <v>3755</v>
      </c>
      <c r="D1597" s="1842"/>
      <c r="E1597" s="1842"/>
      <c r="F1597" s="1842"/>
      <c r="G1597" s="1866"/>
      <c r="H1597" s="521"/>
      <c r="I1597" s="521"/>
      <c r="J1597" s="521"/>
      <c r="K1597" s="521"/>
    </row>
    <row r="1598" spans="1:22" ht="292.5">
      <c r="A1598" s="1900" t="str">
        <f>'Part VIII-Threshold Criteria'!A440</f>
        <v xml:space="preserve">25 (A) We do not anticipate that any residents will be displaced. Relocation activities include onsite relocation and temporary offsite relocation (less than 12 months).  (B)(2): NA - no residents will be displaced as a result of this project. </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2815</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5051</v>
      </c>
      <c r="C1603" s="1631"/>
      <c r="D1603" s="521"/>
      <c r="E1603" s="1899"/>
      <c r="F1603" s="1899"/>
      <c r="G1603" s="1899"/>
      <c r="H1603" s="1899"/>
    </row>
    <row r="1604" spans="1:22" ht="12.75" customHeight="1">
      <c r="A1604" s="1921" t="s">
        <v>1983</v>
      </c>
      <c r="B1604" s="1900" t="s">
        <v>3939</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3937</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4995</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4996</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4997</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4998</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3944</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3755</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4792</v>
      </c>
      <c r="B1619" s="2006"/>
      <c r="C1619" s="1631" t="s">
        <v>2718</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4800</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4801</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4793</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4920</v>
      </c>
      <c r="D1623" s="1900"/>
      <c r="E1623" s="1900"/>
      <c r="F1623" s="1900"/>
      <c r="G1623" s="1900"/>
      <c r="H1623" s="1900"/>
      <c r="I1623" s="1900"/>
      <c r="J1623" s="1900"/>
      <c r="K1623" s="1867" t="s">
        <v>5046</v>
      </c>
      <c r="L1623" s="1841" t="s">
        <v>4795</v>
      </c>
      <c r="M1623" s="1993"/>
      <c r="N1623" s="1823">
        <f>ROUNDUP('Part VI-Revenues &amp; Expenses'!$O$63*0.1,0)</f>
        <v>8</v>
      </c>
      <c r="O1623" s="2001" t="s">
        <v>1986</v>
      </c>
      <c r="P1623" s="1921">
        <f>'Part VIII-Threshold Criteria'!P465</f>
        <v>0</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5047</v>
      </c>
      <c r="M1624" s="1993"/>
      <c r="N1624" s="1823">
        <f>'Part VI-Revenues &amp; Expenses'!$O$63</f>
        <v>76</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76</v>
      </c>
      <c r="L1625" s="1841" t="s">
        <v>4797</v>
      </c>
      <c r="M1625" s="1993"/>
      <c r="N1625" s="1823">
        <f>'Part VI-Revenues &amp; Expenses'!$O$67</f>
        <v>76</v>
      </c>
      <c r="O1625" s="2028"/>
      <c r="P1625" s="1921">
        <f>'Part VIII-Threshold Criteria'!P467</f>
        <v>0</v>
      </c>
      <c r="Q1625" s="1921"/>
      <c r="R1625" s="2028"/>
      <c r="S1625" s="2028"/>
      <c r="T1625" s="2028"/>
      <c r="U1625" s="2028"/>
      <c r="V1625" s="2028"/>
    </row>
    <row r="1626" spans="1:22" ht="12.75" customHeight="1">
      <c r="A1626" s="1955"/>
      <c r="B1626" s="2021" t="s">
        <v>1988</v>
      </c>
      <c r="C1626" s="1900" t="s">
        <v>4921</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c r="A1627" s="1955"/>
      <c r="B1627" s="2021" t="s">
        <v>2533</v>
      </c>
      <c r="C1627" s="1900" t="s">
        <v>4922</v>
      </c>
      <c r="D1627" s="1900"/>
      <c r="E1627" s="1900"/>
      <c r="F1627" s="1900"/>
      <c r="G1627" s="1900"/>
      <c r="H1627" s="1900"/>
      <c r="I1627" s="1900"/>
      <c r="J1627" s="1867" t="s">
        <v>4798</v>
      </c>
      <c r="K1627" s="2815">
        <f>'Part VI-Revenues &amp; Expenses'!$O$103</f>
        <v>0</v>
      </c>
      <c r="L1627" s="1841" t="s">
        <v>4796</v>
      </c>
      <c r="M1627" s="1993"/>
      <c r="N1627" s="1823">
        <f>ROUNDUP(N1625*0.1,0)</f>
        <v>8</v>
      </c>
      <c r="O1627" s="2001" t="s">
        <v>2533</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4799</v>
      </c>
      <c r="K1628" s="2816">
        <f>IF(N1625=0,"",K1627/N1625)</f>
        <v>0</v>
      </c>
      <c r="L1628" s="1841" t="s">
        <v>5045</v>
      </c>
      <c r="M1628" s="521"/>
      <c r="N1628" s="1824">
        <f>'Part VI-Revenues &amp; Expenses'!$K$67/'Part VI-Revenues &amp; Expenses'!$O$67</f>
        <v>0.18421052631578946</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4923</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1985</v>
      </c>
      <c r="P1630" s="1948" t="str">
        <f>'Part VIII-Threshold Criteria'!P472</f>
        <v>Agree</v>
      </c>
      <c r="Q1630" s="1948"/>
      <c r="R1630" s="2818"/>
      <c r="S1630" s="2028"/>
      <c r="T1630" s="2028"/>
      <c r="U1630" s="2028"/>
      <c r="V1630" s="2028"/>
    </row>
    <row r="1631" spans="1:22" ht="15">
      <c r="A1631" s="1631"/>
      <c r="B1631" s="1842" t="s">
        <v>3755</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4794</v>
      </c>
      <c r="B1636" s="1631"/>
      <c r="C1636" s="1631" t="s">
        <v>2669</v>
      </c>
      <c r="D1636" s="521"/>
      <c r="E1636" s="1899"/>
      <c r="F1636" s="1899"/>
      <c r="G1636" s="1899"/>
      <c r="H1636" s="1899"/>
      <c r="I1636" s="1899"/>
      <c r="J1636" s="1899"/>
      <c r="K1636" s="1899"/>
      <c r="L1636" s="1899"/>
      <c r="M1636" s="1899"/>
      <c r="O1636" s="2784" t="s">
        <v>1867</v>
      </c>
      <c r="P1636" s="1634"/>
      <c r="Q1636" s="1634"/>
    </row>
    <row r="1637" spans="1:22">
      <c r="A1637" s="1631"/>
      <c r="B1637" s="1866" t="s">
        <v>3755</v>
      </c>
      <c r="C1637" s="2111"/>
      <c r="D1637" s="1866"/>
      <c r="E1637" s="1866"/>
      <c r="F1637" s="1866"/>
      <c r="G1637" s="1866"/>
      <c r="H1637" s="521"/>
      <c r="I1637" s="521"/>
      <c r="J1637" s="521"/>
      <c r="K1637" s="521"/>
      <c r="L1637" s="1634"/>
      <c r="M1637" s="1634"/>
      <c r="N1637" s="1634"/>
      <c r="O1637" s="1634"/>
      <c r="P1637" s="1634"/>
      <c r="Q1637" s="1634"/>
    </row>
    <row r="1638" spans="1:22" ht="15">
      <c r="A1638" s="1900" t="str">
        <f>'Part VIII-Threshold Criteria'!A480</f>
        <v>N/A</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4802</v>
      </c>
      <c r="B1643" s="1631"/>
      <c r="C1643" s="1631" t="s">
        <v>4972</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4803</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4925</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Enclave at Milledgeville,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5168</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4812</v>
      </c>
      <c r="B1656" s="1631"/>
      <c r="C1656" s="1631"/>
      <c r="D1656" s="521"/>
      <c r="E1656" s="521"/>
      <c r="F1656" s="521"/>
      <c r="G1656" s="1866"/>
      <c r="H1656" s="1652" t="s">
        <v>5169</v>
      </c>
      <c r="I1656" s="1866"/>
      <c r="J1656" s="1866"/>
      <c r="K1656" s="1866"/>
      <c r="L1656" s="1866"/>
      <c r="M1656" s="2823" t="s">
        <v>5170</v>
      </c>
      <c r="N1656" s="1866"/>
      <c r="O1656" s="1924">
        <f>'Part IX Scoring Criteria'!O8</f>
        <v>0</v>
      </c>
      <c r="P1656" s="1630">
        <f>IF(P1658&lt;2,0,IF(AND(P1658&gt;1,P1658&lt;5),1,IF(P1658&gt;4,P1658-3)))</f>
        <v>0</v>
      </c>
      <c r="Q1656" s="521" t="s">
        <v>5171</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5" t="s">
        <v>4810</v>
      </c>
      <c r="P1658" s="1895">
        <f>SUM(P1659:P1668)</f>
        <v>0</v>
      </c>
      <c r="Q1658" s="1867" t="s">
        <v>5172</v>
      </c>
      <c r="R1658" s="1867"/>
      <c r="S1658" s="1867"/>
      <c r="T1658" s="1867"/>
      <c r="U1658" s="1867"/>
      <c r="V1658" s="1867"/>
      <c r="W1658" s="1631"/>
      <c r="X1658" s="1631"/>
    </row>
    <row r="1659" spans="1:24">
      <c r="A1659" s="1990" t="s">
        <v>742</v>
      </c>
      <c r="B1659" s="1218" t="s">
        <v>4150</v>
      </c>
      <c r="C1659" s="1890"/>
      <c r="D1659" s="1890"/>
      <c r="E1659" s="2826" t="str">
        <f>$O$61</f>
        <v>9707</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4153</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4154</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3791</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4903</v>
      </c>
      <c r="B1664" s="1218" t="s">
        <v>4460</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2781</v>
      </c>
      <c r="B1665" s="1218" t="s">
        <v>4155</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4156</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4103</v>
      </c>
      <c r="B1667" s="1218" t="s">
        <v>4157</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4104</v>
      </c>
      <c r="B1668" s="1218" t="s">
        <v>4159</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2783</v>
      </c>
      <c r="C1670" s="1631"/>
      <c r="D1670" s="1631"/>
      <c r="E1670" s="1631"/>
      <c r="F1670" s="1895"/>
      <c r="G1670" s="1631"/>
      <c r="H1670" s="1652" t="s">
        <v>5173</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4805</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4808</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5174</v>
      </c>
      <c r="D1674" s="1634"/>
      <c r="E1674" s="1634"/>
      <c r="F1674" s="1895"/>
      <c r="G1674" s="1976"/>
      <c r="H1674" s="1652" t="s">
        <v>4806</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2533</v>
      </c>
      <c r="C1675" s="1634" t="s">
        <v>4807</v>
      </c>
      <c r="D1675" s="1634"/>
      <c r="E1675" s="1634"/>
      <c r="F1675" s="1895"/>
      <c r="G1675" s="1976"/>
      <c r="H1675" s="1652" t="s">
        <v>4811</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5122</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4557</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4147</v>
      </c>
      <c r="G1680" s="1867" t="s">
        <v>5019</v>
      </c>
      <c r="H1680" s="1867"/>
      <c r="I1680" s="1867"/>
      <c r="J1680" s="1956" t="s">
        <v>4147</v>
      </c>
      <c r="K1680" s="1955" t="s">
        <v>4804</v>
      </c>
      <c r="L1680" s="1955"/>
      <c r="M1680" s="1955"/>
      <c r="N1680" s="1955"/>
      <c r="O1680" s="1652" t="s">
        <v>4147</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5175</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4819</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2624</v>
      </c>
      <c r="C1697" s="1976"/>
      <c r="D1697" s="1976"/>
      <c r="E1697" s="521"/>
      <c r="F1697" s="1976"/>
      <c r="G1697" s="1955"/>
      <c r="H1697" s="1216" t="s">
        <v>5020</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4814</v>
      </c>
      <c r="D1700" s="521"/>
      <c r="E1700" s="1993"/>
      <c r="F1700" s="1993"/>
      <c r="G1700" s="1993"/>
      <c r="H1700" s="521" t="s">
        <v>4815</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2705</v>
      </c>
      <c r="S1700" s="1993"/>
      <c r="T1700" s="1993"/>
      <c r="U1700" s="1993"/>
      <c r="V1700" s="1993"/>
      <c r="W1700" s="1993"/>
      <c r="X1700" s="1993"/>
    </row>
    <row r="1701" spans="1:24" ht="15">
      <c r="A1701" s="1937" t="s">
        <v>3343</v>
      </c>
      <c r="B1701" s="2836" t="s">
        <v>1988</v>
      </c>
      <c r="C1701" s="2837" t="s">
        <v>4816</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2705</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5176</v>
      </c>
      <c r="C1703" s="2006"/>
      <c r="D1703" s="2006"/>
      <c r="E1703" s="1955"/>
      <c r="F1703" s="2006"/>
      <c r="G1703" s="2006"/>
      <c r="H1703" s="1652" t="s">
        <v>4817</v>
      </c>
      <c r="I1703" s="1652"/>
      <c r="J1703" s="2840" t="s">
        <v>4818</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3958</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4098</v>
      </c>
      <c r="C1709" s="1976"/>
      <c r="D1709" s="2012"/>
      <c r="E1709" s="1976"/>
      <c r="F1709" s="1976"/>
      <c r="G1709" s="1976"/>
      <c r="H1709" s="1976"/>
      <c r="I1709" s="1785" t="s">
        <v>3771</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3856</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2717</v>
      </c>
      <c r="I1712" s="1785" t="s">
        <v>5177</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3845</v>
      </c>
      <c r="C1713" s="1993"/>
      <c r="D1713" s="2041"/>
      <c r="E1713" s="1993"/>
      <c r="F1713" s="2731"/>
      <c r="G1713" s="1993"/>
      <c r="H1713" s="1694" t="s">
        <v>3987</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3756</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2630</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5178</v>
      </c>
      <c r="S1719" s="2019"/>
      <c r="T1719" s="2019"/>
      <c r="U1719" s="2019"/>
      <c r="V1719" s="1976"/>
      <c r="W1719" s="1976"/>
      <c r="X1719" s="1976"/>
    </row>
    <row r="1720" spans="1:24" ht="15">
      <c r="A1720" s="2828"/>
      <c r="B1720" s="1634" t="s">
        <v>3961</v>
      </c>
      <c r="C1720" s="1976"/>
      <c r="D1720" s="2012"/>
      <c r="E1720" s="1976"/>
      <c r="F1720" s="1976"/>
      <c r="G1720" s="1976"/>
      <c r="H1720" s="1634" t="s">
        <v>2793</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5">
      <c r="A1721" s="2828"/>
      <c r="B1721" s="2093" t="s">
        <v>1986</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2533</v>
      </c>
      <c r="C1723" s="521" t="s">
        <v>5179</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3967</v>
      </c>
      <c r="C1726" s="1976"/>
      <c r="D1726" s="2012"/>
      <c r="E1726" s="1976"/>
      <c r="F1726" s="1634" t="s">
        <v>3716</v>
      </c>
      <c r="G1726" s="1634"/>
      <c r="H1726" s="1634"/>
      <c r="I1726" s="1634"/>
      <c r="J1726" s="1634" t="s">
        <v>3717</v>
      </c>
      <c r="K1726" s="1634"/>
      <c r="L1726" s="1634"/>
      <c r="M1726" s="1634"/>
      <c r="N1726" s="1937"/>
      <c r="O1726" s="2846" t="s">
        <v>5180</v>
      </c>
      <c r="P1726" s="2846"/>
      <c r="Q1726" s="1630"/>
      <c r="R1726" s="2019"/>
      <c r="S1726" s="2019"/>
      <c r="T1726" s="2019"/>
      <c r="U1726" s="2019"/>
      <c r="V1726" s="1976"/>
      <c r="W1726" s="1976"/>
      <c r="X1726" s="1976"/>
    </row>
    <row r="1727" spans="1:24" ht="15">
      <c r="A1727" s="2828"/>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4144</v>
      </c>
      <c r="B1728" s="2847"/>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2784</v>
      </c>
      <c r="B1732" s="2764"/>
      <c r="C1732" s="1976"/>
      <c r="D1732" s="2012"/>
      <c r="E1732" s="1976"/>
      <c r="F1732" s="1842" t="s">
        <v>5181</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3749</v>
      </c>
      <c r="C1734" s="1976"/>
      <c r="D1734" s="2012"/>
      <c r="E1734" s="1976"/>
      <c r="F1734" s="1866" t="s">
        <v>5182</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5183</v>
      </c>
      <c r="D1735" s="1900"/>
      <c r="E1735" s="1900"/>
      <c r="F1735" s="1900"/>
      <c r="G1735" s="1900"/>
      <c r="H1735" s="1900"/>
      <c r="I1735" s="2027" t="s">
        <v>5184</v>
      </c>
      <c r="J1735" s="2027"/>
      <c r="K1735" s="2027"/>
      <c r="L1735" s="2027"/>
      <c r="M1735" s="2030">
        <v>5</v>
      </c>
      <c r="N1735" s="2021" t="s">
        <v>1986</v>
      </c>
      <c r="O1735" s="2806">
        <f>'Part IX Scoring Criteria'!O87</f>
        <v>0</v>
      </c>
      <c r="P1735" s="2806"/>
      <c r="Q1735" s="2839" t="str">
        <f>IF(OR($O1735=$M1735,$O1735=0,$O1735=""),"","*CHECK!*")</f>
        <v/>
      </c>
      <c r="R1735" s="1652" t="s">
        <v>2705</v>
      </c>
      <c r="S1735" s="2028"/>
      <c r="T1735" s="2028"/>
      <c r="U1735" s="2028"/>
      <c r="V1735" s="2028"/>
      <c r="W1735" s="2028"/>
      <c r="X1735" s="2028"/>
    </row>
    <row r="1736" spans="1:24" ht="15" customHeight="1">
      <c r="A1736" s="1895" t="s">
        <v>1353</v>
      </c>
      <c r="B1736" s="2021" t="s">
        <v>1988</v>
      </c>
      <c r="C1736" s="1921" t="s">
        <v>5185</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2705</v>
      </c>
      <c r="S1736" s="2028"/>
      <c r="T1736" s="2028"/>
      <c r="U1736" s="2028"/>
      <c r="V1736" s="2028"/>
      <c r="W1736" s="2028"/>
      <c r="X1736" s="2028"/>
    </row>
    <row r="1737" spans="1:24" ht="15" customHeight="1">
      <c r="A1737" s="2028"/>
      <c r="B1737" s="2021" t="s">
        <v>2533</v>
      </c>
      <c r="C1737" s="1921" t="s">
        <v>3750</v>
      </c>
      <c r="D1737" s="1921"/>
      <c r="E1737" s="1921"/>
      <c r="F1737" s="1921"/>
      <c r="G1737" s="2028"/>
      <c r="H1737" s="2028"/>
      <c r="I1737" s="2027"/>
      <c r="J1737" s="2027"/>
      <c r="K1737" s="2027"/>
      <c r="L1737" s="2027"/>
      <c r="M1737" s="1630">
        <v>1</v>
      </c>
      <c r="N1737" s="2093" t="s">
        <v>2533</v>
      </c>
      <c r="O1737" s="1863">
        <f>'Part IX Scoring Criteria'!O89</f>
        <v>0</v>
      </c>
      <c r="P1737" s="1863"/>
      <c r="Q1737" s="2839" t="str">
        <f>IF(OR($O1737=$M1737,$O1737=0,$O1737=""),"","*CHECK!*")</f>
        <v/>
      </c>
      <c r="R1737" s="1652" t="s">
        <v>2705</v>
      </c>
      <c r="S1737" s="2028"/>
      <c r="T1737" s="2028"/>
      <c r="U1737" s="2028"/>
      <c r="V1737" s="2028"/>
      <c r="W1737" s="2028"/>
      <c r="X1737" s="2028"/>
    </row>
    <row r="1738" spans="1:24" ht="15" customHeight="1">
      <c r="A1738" s="2028"/>
      <c r="B1738" s="2021"/>
      <c r="C1738" s="1694" t="s">
        <v>4094</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3751</v>
      </c>
      <c r="C1740" s="1484"/>
      <c r="D1740" s="1484"/>
      <c r="E1740" s="1484"/>
      <c r="F1740" s="1897" t="s">
        <v>5186</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3782</v>
      </c>
      <c r="C1741" s="1652" t="s">
        <v>4823</v>
      </c>
      <c r="D1741" s="2041"/>
      <c r="E1741" s="1993"/>
      <c r="F1741" s="1993"/>
      <c r="G1741" s="1993"/>
      <c r="H1741" s="1866"/>
      <c r="I1741" s="1890"/>
      <c r="J1741" s="1890"/>
      <c r="K1741" s="1890"/>
      <c r="L1741" s="2165"/>
      <c r="M1741" s="1993"/>
      <c r="N1741" s="1937" t="s">
        <v>3782</v>
      </c>
      <c r="O1741" s="1895">
        <f>'Part IX Scoring Criteria'!O93</f>
        <v>0</v>
      </c>
      <c r="P1741" s="1895"/>
      <c r="Q1741" s="1630"/>
      <c r="R1741" s="1845"/>
      <c r="S1741" s="2028"/>
      <c r="T1741" s="2028"/>
      <c r="U1741" s="2028"/>
      <c r="V1741" s="1976"/>
      <c r="W1741" s="1976"/>
      <c r="X1741" s="1976"/>
    </row>
    <row r="1742" spans="1:24" ht="15" customHeight="1">
      <c r="A1742" s="2828"/>
      <c r="B1742" s="1937" t="s">
        <v>3783</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3783</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5187</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2705</v>
      </c>
      <c r="S1743" s="2028"/>
      <c r="T1743" s="2028"/>
      <c r="U1743" s="2028"/>
      <c r="V1743" s="2028"/>
      <c r="W1743" s="2028"/>
      <c r="X1743" s="2028"/>
    </row>
    <row r="1744" spans="1:24" ht="15" customHeight="1">
      <c r="A1744" s="1895" t="s">
        <v>1353</v>
      </c>
      <c r="B1744" s="2849" t="s">
        <v>1988</v>
      </c>
      <c r="C1744" s="1867" t="s">
        <v>5188</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2705</v>
      </c>
      <c r="S1744" s="1976"/>
      <c r="T1744" s="1976"/>
      <c r="U1744" s="1976"/>
      <c r="V1744" s="1976"/>
      <c r="W1744" s="1976"/>
      <c r="X1744" s="1976"/>
    </row>
    <row r="1745" spans="1:24" ht="15" customHeight="1">
      <c r="A1745" s="1895" t="s">
        <v>1353</v>
      </c>
      <c r="B1745" s="2849" t="s">
        <v>2533</v>
      </c>
      <c r="C1745" s="1867" t="s">
        <v>5189</v>
      </c>
      <c r="D1745" s="1867"/>
      <c r="E1745" s="1867"/>
      <c r="F1745" s="1867"/>
      <c r="G1745" s="1867"/>
      <c r="H1745" s="1867"/>
      <c r="I1745" s="1890"/>
      <c r="J1745" s="1890"/>
      <c r="K1745" s="1890"/>
      <c r="L1745" s="1890"/>
      <c r="M1745" s="1630">
        <v>1</v>
      </c>
      <c r="N1745" s="2093" t="s">
        <v>2533</v>
      </c>
      <c r="O1745" s="1863">
        <f>'Part IX Scoring Criteria'!O97</f>
        <v>0</v>
      </c>
      <c r="P1745" s="1863"/>
      <c r="Q1745" s="2807" t="str">
        <f>IF(OR($O1745=$M1745,$O1745=0,$O1745=""),"","*CHECK!*")</f>
        <v/>
      </c>
      <c r="R1745" s="1845" t="s">
        <v>2705</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5190</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2705</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5191</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3985</v>
      </c>
      <c r="C1755" s="1976"/>
      <c r="D1755" s="521"/>
      <c r="E1755" s="521"/>
      <c r="F1755" s="1630"/>
      <c r="G1755" s="1630"/>
      <c r="H1755" s="1630"/>
      <c r="I1755" s="1842" t="s">
        <v>5181</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3986</v>
      </c>
      <c r="C1757" s="1993"/>
      <c r="D1757" s="2041"/>
      <c r="E1757" s="521" t="s">
        <v>4100</v>
      </c>
      <c r="F1757" s="1993"/>
      <c r="G1757" s="1841"/>
      <c r="H1757" s="1993"/>
      <c r="I1757" s="1937" t="s">
        <v>4094</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2705</v>
      </c>
      <c r="S1757" s="1993"/>
      <c r="T1757" s="1993"/>
      <c r="U1757" s="1993"/>
      <c r="V1757" s="1993"/>
      <c r="W1757" s="1993"/>
      <c r="X1757" s="1993"/>
    </row>
    <row r="1758" spans="1:24" ht="1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5123</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5124</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2533</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3989</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2705</v>
      </c>
      <c r="S1763" s="2819"/>
      <c r="T1763" s="2819"/>
      <c r="U1763" s="1993"/>
      <c r="V1763" s="1993"/>
      <c r="W1763" s="1993"/>
      <c r="X1763" s="1993"/>
    </row>
    <row r="1764" spans="1:24" ht="18.75">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4577</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3993</v>
      </c>
      <c r="D1766" s="1993"/>
      <c r="E1766" s="521"/>
      <c r="F1766" s="521"/>
      <c r="G1766" s="521"/>
      <c r="H1766" s="1993"/>
      <c r="I1766" s="1993"/>
      <c r="J1766" s="1993"/>
      <c r="K1766" s="1993"/>
      <c r="L1766" s="1993"/>
      <c r="M1766" s="1630"/>
      <c r="N1766" s="1944" t="s">
        <v>3782</v>
      </c>
      <c r="O1766" s="1895">
        <f>'Part IX Scoring Criteria'!O118</f>
        <v>0</v>
      </c>
      <c r="P1766" s="1895"/>
      <c r="Q1766" s="2819"/>
      <c r="R1766" s="2819"/>
      <c r="S1766" s="2819"/>
      <c r="T1766" s="2819"/>
      <c r="U1766" s="1993"/>
      <c r="V1766" s="1993"/>
      <c r="W1766" s="1993"/>
      <c r="X1766" s="1993"/>
    </row>
    <row r="1767" spans="1:24" ht="18.75">
      <c r="A1767" s="1937"/>
      <c r="B1767" s="2093"/>
      <c r="C1767" s="521" t="s">
        <v>3994</v>
      </c>
      <c r="D1767" s="521"/>
      <c r="E1767" s="521"/>
      <c r="F1767" s="521"/>
      <c r="G1767" s="521"/>
      <c r="H1767" s="521"/>
      <c r="I1767" s="521"/>
      <c r="J1767" s="521"/>
      <c r="K1767" s="521"/>
      <c r="L1767" s="521"/>
      <c r="M1767" s="1895"/>
      <c r="N1767" s="1937" t="s">
        <v>3783</v>
      </c>
      <c r="O1767" s="1895">
        <f>'Part IX Scoring Criteria'!O119</f>
        <v>0</v>
      </c>
      <c r="P1767" s="1895"/>
      <c r="Q1767" s="2819"/>
      <c r="R1767" s="2819"/>
      <c r="S1767" s="2819"/>
      <c r="T1767" s="2819"/>
      <c r="U1767" s="521"/>
      <c r="V1767" s="521"/>
      <c r="W1767" s="521"/>
      <c r="X1767" s="521"/>
    </row>
    <row r="1768" spans="1:24">
      <c r="A1768" s="1937"/>
      <c r="B1768" s="1216"/>
      <c r="C1768" s="1216" t="s">
        <v>4128</v>
      </c>
      <c r="D1768" s="1216"/>
      <c r="E1768" s="521"/>
      <c r="F1768" s="521"/>
      <c r="G1768" s="521"/>
      <c r="H1768" s="1216"/>
      <c r="I1768" s="1216"/>
      <c r="J1768" s="1216"/>
      <c r="K1768" s="1216"/>
      <c r="L1768" s="1955" t="s">
        <v>3819</v>
      </c>
      <c r="M1768" s="1955"/>
      <c r="N1768" s="1955"/>
      <c r="O1768" s="1955" t="s">
        <v>3818</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4578</v>
      </c>
      <c r="D1773" s="521" t="s">
        <v>3995</v>
      </c>
      <c r="E1773" s="521"/>
      <c r="F1773" s="521"/>
      <c r="G1773" s="521"/>
      <c r="H1773" s="1993"/>
      <c r="I1773" s="1993"/>
      <c r="J1773" s="1993"/>
      <c r="K1773" s="1993"/>
      <c r="L1773" s="1993"/>
      <c r="M1773" s="1993"/>
      <c r="N1773" s="1944" t="s">
        <v>3782</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3996</v>
      </c>
      <c r="E1774" s="521"/>
      <c r="F1774" s="521"/>
      <c r="G1774" s="521"/>
      <c r="H1774" s="1993"/>
      <c r="I1774" s="1993"/>
      <c r="J1774" s="1993"/>
      <c r="K1774" s="1993"/>
      <c r="L1774" s="1993"/>
      <c r="M1774" s="1630"/>
      <c r="N1774" s="1937" t="s">
        <v>3783</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3784</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4831</v>
      </c>
      <c r="E1783" s="521"/>
      <c r="F1783" s="521"/>
      <c r="G1783" s="521"/>
      <c r="H1783" s="1993"/>
      <c r="I1783" s="1993"/>
      <c r="J1783" s="1993"/>
      <c r="K1783" s="1993"/>
      <c r="L1783" s="1993"/>
      <c r="M1783" s="1630"/>
      <c r="N1783" s="1937" t="s">
        <v>3786</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3820</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2705</v>
      </c>
      <c r="S1785" s="2819"/>
      <c r="T1785" s="2819"/>
      <c r="U1785" s="2819"/>
      <c r="V1785" s="1993"/>
      <c r="W1785" s="1993"/>
      <c r="X1785" s="1993"/>
    </row>
    <row r="1786" spans="1:24" ht="18.75">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5192</v>
      </c>
      <c r="D1787" s="1900"/>
      <c r="E1787" s="1900"/>
      <c r="F1787" s="1960"/>
      <c r="G1787" s="1841" t="s">
        <v>3998</v>
      </c>
      <c r="H1787" s="521"/>
      <c r="I1787" s="1960"/>
      <c r="J1787" s="1960"/>
      <c r="K1787" s="1960"/>
      <c r="L1787" s="1960"/>
      <c r="M1787" s="1937" t="s">
        <v>2434</v>
      </c>
      <c r="N1787" s="1937" t="s">
        <v>3782</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3999</v>
      </c>
      <c r="H1788" s="521"/>
      <c r="I1788" s="1960"/>
      <c r="J1788" s="1960"/>
      <c r="K1788" s="1960"/>
      <c r="L1788" s="1960"/>
      <c r="M1788" s="1895"/>
      <c r="N1788" s="1944" t="s">
        <v>3783</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4000</v>
      </c>
      <c r="H1789" s="521"/>
      <c r="I1789" s="1960"/>
      <c r="J1789" s="1960"/>
      <c r="K1789" s="1960"/>
      <c r="L1789" s="1960"/>
      <c r="M1789" s="1895"/>
      <c r="N1789" s="1937" t="s">
        <v>3784</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4001</v>
      </c>
      <c r="H1790" s="521"/>
      <c r="I1790" s="1960"/>
      <c r="J1790" s="1960"/>
      <c r="K1790" s="1960"/>
      <c r="L1790" s="1960"/>
      <c r="M1790" s="1895"/>
      <c r="N1790" s="1937" t="s">
        <v>3786</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3787</v>
      </c>
      <c r="O1791" s="1895">
        <f>'Part IX Scoring Criteria'!O143</f>
        <v>0</v>
      </c>
      <c r="P1791" s="1895"/>
      <c r="Q1791" s="521"/>
      <c r="R1791" s="521"/>
      <c r="S1791" s="521"/>
      <c r="T1791" s="521"/>
      <c r="U1791" s="521"/>
      <c r="V1791" s="521"/>
      <c r="W1791" s="521"/>
      <c r="X1791" s="521"/>
    </row>
    <row r="1792" spans="1:24">
      <c r="A1792" s="1937"/>
      <c r="B1792" s="2044"/>
      <c r="C1792" s="1841" t="s">
        <v>5193</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3834</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3829</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5194</v>
      </c>
      <c r="C1806" s="1900"/>
      <c r="D1806" s="1900"/>
      <c r="E1806" s="521" t="s">
        <v>3826</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4836</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Family</v>
      </c>
      <c r="G1808" s="1976"/>
      <c r="H1808" s="521"/>
      <c r="I1808" s="1899"/>
      <c r="J1808" s="1899"/>
      <c r="K1808" s="1976"/>
      <c r="L1808" s="1976"/>
      <c r="M1808" s="1899"/>
      <c r="N1808" s="2011"/>
      <c r="O1808" s="1867" t="s">
        <v>5195</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5064</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3824</v>
      </c>
      <c r="I1812" s="1867" t="s">
        <v>3869</v>
      </c>
      <c r="J1812" s="1867"/>
      <c r="K1812" s="1867"/>
      <c r="L1812" s="1706" t="s">
        <v>3823</v>
      </c>
      <c r="M1812" s="1706"/>
      <c r="N1812" s="1706"/>
      <c r="O1812" s="1867"/>
      <c r="P1812" s="1867"/>
      <c r="Q1812" s="1976"/>
      <c r="R1812" s="2038" t="s">
        <v>5031</v>
      </c>
      <c r="S1812" s="1976"/>
      <c r="T1812" s="1904"/>
      <c r="U1812" s="1904" t="s">
        <v>5063</v>
      </c>
      <c r="V1812" s="1976"/>
      <c r="W1812" s="1976"/>
      <c r="X1812" s="1976"/>
    </row>
    <row r="1813" spans="1:24" ht="23.25">
      <c r="A1813" s="1828"/>
      <c r="B1813" s="2052" t="s">
        <v>3821</v>
      </c>
      <c r="C1813" s="1834"/>
      <c r="D1813" s="1652" t="s">
        <v>4582</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4007</v>
      </c>
      <c r="C1819" s="1993"/>
      <c r="D1819" s="2041"/>
      <c r="E1819" s="2041"/>
      <c r="F1819" s="1842" t="s">
        <v>3390</v>
      </c>
      <c r="G1819" s="1993"/>
      <c r="H1819" s="1841" t="s">
        <v>3870</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3660</v>
      </c>
      <c r="G1820" s="1810" t="s">
        <v>3398</v>
      </c>
      <c r="H1820" s="1810"/>
      <c r="I1820" s="1810"/>
      <c r="J1820" s="1810"/>
      <c r="K1820" s="1810"/>
      <c r="L1820" s="1810"/>
      <c r="M1820" s="1810"/>
      <c r="N1820" s="1810"/>
      <c r="O1820" s="1216"/>
      <c r="P1820" s="1900"/>
      <c r="Q1820" s="1216"/>
      <c r="R1820" s="521" t="s">
        <v>2832</v>
      </c>
      <c r="S1820" s="521"/>
      <c r="T1820" s="521" t="str">
        <f>'Part I-Project Information'!$F$38</f>
        <v>Milledgeville</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3661</v>
      </c>
      <c r="P1821" s="1904"/>
      <c r="Q1821" s="1216"/>
      <c r="R1821" s="521" t="s">
        <v>2833</v>
      </c>
      <c r="S1821" s="521"/>
      <c r="T1821" s="521" t="str">
        <f>'Part I-Project Information'!$J$39</f>
        <v>Baldwin</v>
      </c>
      <c r="U1821" s="521"/>
      <c r="V1821" s="521"/>
      <c r="W1821" s="521"/>
      <c r="X1821" s="521"/>
    </row>
    <row r="1822" spans="1:24">
      <c r="A1822" s="1937"/>
      <c r="B1822" s="521" t="s">
        <v>3830</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Baldwin Co.</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3863</v>
      </c>
      <c r="S1823" s="521"/>
      <c r="T1823" s="521" t="str">
        <f>VLOOKUP('Part I-Project Information'!$J$39,'DCA Underwriting Assumptions'!$G$158:$J$317,4)</f>
        <v>Non-MSA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3864</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Rural</v>
      </c>
      <c r="U1825" s="521"/>
      <c r="V1825" s="521"/>
      <c r="W1825" s="521"/>
      <c r="X1825" s="521"/>
    </row>
    <row r="1826" spans="1:24" ht="13.5">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4169</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4011</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3756</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5125</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4950</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5196</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4839</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4840</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4842</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4841</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4948</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4949</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4845</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4016</v>
      </c>
      <c r="I1853" s="1216" t="s">
        <v>4843</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5126</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2705</v>
      </c>
    </row>
    <row r="1855" spans="1:24">
      <c r="A1855" s="1937"/>
      <c r="B1855" s="2854" t="s">
        <v>1988</v>
      </c>
      <c r="C1855" s="1921" t="s">
        <v>5197</v>
      </c>
      <c r="D1855" s="1921"/>
      <c r="E1855" s="1921"/>
      <c r="F1855" s="1921"/>
      <c r="G1855" s="1921"/>
      <c r="H1855" s="1921"/>
      <c r="I1855" s="1921"/>
      <c r="J1855" s="1841" t="s">
        <v>3781</v>
      </c>
      <c r="K1855" s="1631"/>
      <c r="L1855" s="1841" t="str">
        <f>'Part I-Project Information'!$N$39</f>
        <v>Yes</v>
      </c>
      <c r="M1855" s="1895">
        <v>2</v>
      </c>
      <c r="N1855" s="2093" t="s">
        <v>1988</v>
      </c>
      <c r="O1855" s="1863">
        <f>'Part IX Scoring Criteria'!O207</f>
        <v>0</v>
      </c>
      <c r="P1855" s="1863"/>
      <c r="Q1855" s="2807" t="str">
        <f>IF(OR($O1855=$M1855,$O1855=0,$O1855=""),"","*CHECK!*")</f>
        <v/>
      </c>
      <c r="R1855" s="1654" t="s">
        <v>2705</v>
      </c>
    </row>
    <row r="1856" spans="1:24" ht="12.75" customHeight="1">
      <c r="A1856" s="1937"/>
      <c r="B1856" s="2854"/>
      <c r="C1856" s="1867" t="s">
        <v>4935</v>
      </c>
      <c r="D1856" s="1867"/>
      <c r="E1856" s="1867"/>
      <c r="F1856" s="1867"/>
      <c r="G1856" s="1867"/>
      <c r="H1856" s="1867"/>
      <c r="I1856" s="1899"/>
      <c r="J1856" s="1841" t="s">
        <v>3575</v>
      </c>
      <c r="K1856" s="1867"/>
      <c r="L1856" s="2078" t="str">
        <f>'Part I-Project Information'!$O$38</f>
        <v>9707</v>
      </c>
      <c r="M1856" s="2078"/>
      <c r="N1856" s="1948"/>
      <c r="O1856" s="1948"/>
      <c r="P1856" s="1948"/>
      <c r="Q1856" s="2807"/>
      <c r="R1856" s="1654"/>
    </row>
    <row r="1857" spans="1:24">
      <c r="A1857" s="1937"/>
      <c r="B1857" s="1964"/>
      <c r="C1857" s="1867"/>
      <c r="D1857" s="1867"/>
      <c r="E1857" s="1867"/>
      <c r="F1857" s="1867"/>
      <c r="G1857" s="1867"/>
      <c r="H1857" s="1867"/>
      <c r="J1857" s="1841" t="s">
        <v>3374</v>
      </c>
      <c r="K1857" s="1631"/>
      <c r="L1857" s="521" t="str">
        <f>'Part IV-A-Uses of Funds'!$H$152</f>
        <v>DDA/QCT</v>
      </c>
      <c r="M1857" s="521"/>
    </row>
    <row r="1858" spans="1:24">
      <c r="A1858" s="1828" t="s">
        <v>1985</v>
      </c>
      <c r="B1858" s="1634" t="s">
        <v>4846</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2705</v>
      </c>
    </row>
    <row r="1859" spans="1:24" ht="18.75">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3782</v>
      </c>
      <c r="C1860" s="521" t="s">
        <v>3860</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3783</v>
      </c>
      <c r="C1861" s="1841" t="s">
        <v>3861</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3784</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19"/>
      <c r="W1862" s="2819"/>
    </row>
    <row r="1863" spans="1:24" ht="18.75">
      <c r="A1863" s="1879"/>
      <c r="B1863" s="1937" t="s">
        <v>3786</v>
      </c>
      <c r="C1863" s="1841" t="s">
        <v>4847</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3789</v>
      </c>
      <c r="V1863" s="2819"/>
      <c r="W1863" s="2819"/>
    </row>
    <row r="1864" spans="1:24" ht="18.75">
      <c r="A1864" s="1879"/>
      <c r="B1864" s="1937" t="s">
        <v>3787</v>
      </c>
      <c r="C1864" s="1841" t="s">
        <v>4850</v>
      </c>
      <c r="D1864" s="1631"/>
      <c r="E1864" s="1631"/>
      <c r="F1864" s="1631"/>
      <c r="G1864" s="1631"/>
      <c r="H1864" s="1631"/>
      <c r="I1864" s="1631"/>
      <c r="J1864" s="1895">
        <f>'Part IX Scoring Criteria'!J216</f>
        <v>0</v>
      </c>
      <c r="L1864" s="1937" t="s">
        <v>4849</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3453</v>
      </c>
      <c r="G1869" s="521" t="s">
        <v>2628</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4588</v>
      </c>
      <c r="D1870" s="1899"/>
      <c r="E1870" s="1976"/>
      <c r="F1870" s="1976"/>
      <c r="G1870" s="2074">
        <f>'Part IV-A-Uses of Funds'!$G$132</f>
        <v>15458102.010000002</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3756</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4020</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5">
      <c r="A1877" s="2828"/>
      <c r="B1877" s="1634" t="s">
        <v>4613</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4022</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4858</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7"/>
      <c r="S1879" s="1976"/>
      <c r="T1879" s="1976"/>
      <c r="U1879" s="1976"/>
      <c r="V1879" s="1976"/>
      <c r="W1879" s="1976"/>
      <c r="X1879" s="1976"/>
    </row>
    <row r="1880" spans="1:24" ht="18.75">
      <c r="A1880" s="1828"/>
      <c r="B1880" s="1976"/>
      <c r="C1880" s="1216" t="s">
        <v>4859</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19"/>
      <c r="S1880" s="2819"/>
      <c r="T1880" s="1976"/>
      <c r="U1880" s="1976"/>
      <c r="V1880" s="1976"/>
      <c r="W1880" s="1976"/>
      <c r="X1880" s="1976"/>
    </row>
    <row r="1881" spans="1:24" ht="18.75">
      <c r="A1881" s="1976"/>
      <c r="B1881" s="1976"/>
      <c r="C1881" s="1216" t="s">
        <v>4860</v>
      </c>
      <c r="D1881" s="1976"/>
      <c r="E1881" s="1976"/>
      <c r="F1881" s="1976"/>
      <c r="G1881" s="1976"/>
      <c r="H1881" s="1976"/>
      <c r="I1881" s="1976"/>
      <c r="J1881" s="1976"/>
      <c r="K1881" s="1976"/>
      <c r="L1881" s="1976"/>
      <c r="M1881" s="1976"/>
      <c r="N1881" s="1937" t="s">
        <v>2436</v>
      </c>
      <c r="O1881" s="1895">
        <f>'Part IX Scoring Criteria'!O233</f>
        <v>0</v>
      </c>
      <c r="P1881" s="1895"/>
      <c r="Q1881" s="1976"/>
      <c r="R1881" s="2819"/>
      <c r="S1881" s="2819"/>
      <c r="T1881" s="1976"/>
      <c r="U1881" s="1976"/>
      <c r="V1881" s="1976"/>
      <c r="W1881" s="1976"/>
      <c r="X1881" s="1976"/>
    </row>
    <row r="1882" spans="1:24" ht="18.75">
      <c r="A1882" s="1828"/>
      <c r="B1882" s="1976"/>
      <c r="C1882" s="1216" t="s">
        <v>4026</v>
      </c>
      <c r="D1882" s="1976"/>
      <c r="E1882" s="1976"/>
      <c r="F1882" s="1976"/>
      <c r="G1882" s="1976"/>
      <c r="H1882" s="1976"/>
      <c r="I1882" s="1976"/>
      <c r="J1882" s="1976"/>
      <c r="K1882" s="2840">
        <f>'Part I-Project Information'!F1686</f>
        <v>0</v>
      </c>
      <c r="L1882" s="2852"/>
      <c r="M1882" s="1976"/>
      <c r="N1882" s="1937" t="s">
        <v>2437</v>
      </c>
      <c r="O1882" s="1937"/>
      <c r="P1882" s="1895"/>
      <c r="Q1882" s="1976"/>
      <c r="R1882" s="2819"/>
      <c r="S1882" s="2819"/>
      <c r="T1882" s="1976"/>
      <c r="U1882" s="1976"/>
      <c r="V1882" s="1976"/>
      <c r="W1882" s="1976"/>
      <c r="X1882" s="1976"/>
    </row>
    <row r="1883" spans="1:24" ht="18.75">
      <c r="A1883" s="1828"/>
      <c r="B1883" s="1976"/>
      <c r="C1883" s="1216" t="s">
        <v>4952</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19"/>
      <c r="S1883" s="2819"/>
      <c r="T1883" s="1976"/>
      <c r="U1883" s="1976"/>
      <c r="V1883" s="1976"/>
      <c r="W1883" s="1976"/>
      <c r="X1883" s="1976"/>
    </row>
    <row r="1884" spans="1:24" ht="18.75">
      <c r="A1884" s="1828"/>
      <c r="B1884" s="1976"/>
      <c r="C1884" s="1216" t="s">
        <v>4951</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5127</v>
      </c>
      <c r="D1886" s="1631"/>
      <c r="G1886" s="1964" t="s">
        <v>3785</v>
      </c>
      <c r="Q1886" s="1689"/>
    </row>
    <row r="1887" spans="1:24" ht="12.75" customHeight="1">
      <c r="A1887" s="1937"/>
      <c r="B1887" s="521" t="s">
        <v>3865</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5198</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4028</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2434</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2435</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4033</v>
      </c>
      <c r="D1896" s="1921"/>
      <c r="E1896" s="1921"/>
      <c r="F1896" s="1921"/>
      <c r="G1896" s="1964" t="s">
        <v>3785</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2434</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2435</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2533</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19"/>
      <c r="W1907" s="2819"/>
      <c r="X1907" s="1631"/>
    </row>
    <row r="1908" spans="1:24">
      <c r="A1908" s="1828"/>
      <c r="B1908" s="2044" t="s">
        <v>1224</v>
      </c>
      <c r="C1908" s="521" t="s">
        <v>3788</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4953</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2434</v>
      </c>
      <c r="C1911" s="1867" t="s">
        <v>4041</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19"/>
      <c r="W1911" s="2819"/>
      <c r="X1911" s="1631"/>
    </row>
    <row r="1912" spans="1:24" ht="18.75" customHeight="1">
      <c r="A1912" s="1937"/>
      <c r="B1912" s="1937" t="s">
        <v>2435</v>
      </c>
      <c r="C1912" s="1867" t="s">
        <v>4852</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19"/>
      <c r="W1912" s="2819"/>
      <c r="X1912" s="1631"/>
    </row>
    <row r="1913" spans="1:24">
      <c r="A1913" s="1828"/>
      <c r="B1913" s="2044" t="s">
        <v>1225</v>
      </c>
      <c r="C1913" s="521" t="s">
        <v>4853</v>
      </c>
      <c r="D1913" s="1631"/>
      <c r="N1913" s="2001" t="s">
        <v>1225</v>
      </c>
      <c r="Q1913" s="1630"/>
    </row>
    <row r="1914" spans="1:24" ht="18.75" customHeight="1">
      <c r="A1914" s="1937"/>
      <c r="B1914" s="1937" t="s">
        <v>2434</v>
      </c>
      <c r="C1914" s="1867" t="s">
        <v>4854</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19"/>
      <c r="W1914" s="2819"/>
      <c r="X1914" s="1631"/>
    </row>
    <row r="1915" spans="1:24" ht="18.75" customHeight="1">
      <c r="A1915" s="1937"/>
      <c r="B1915" s="1937" t="s">
        <v>2435</v>
      </c>
      <c r="C1915" s="1867" t="s">
        <v>4855</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19"/>
      <c r="W1915" s="2819"/>
      <c r="X1915" s="1631"/>
    </row>
    <row r="1916" spans="1:24">
      <c r="A1916" s="1828" t="s">
        <v>1985</v>
      </c>
      <c r="B1916" s="1634" t="s">
        <v>5128</v>
      </c>
      <c r="D1916" s="1631"/>
      <c r="G1916" s="1964" t="s">
        <v>3785</v>
      </c>
      <c r="O1916" s="1895" t="s">
        <v>2509</v>
      </c>
      <c r="P1916" s="1895" t="s">
        <v>2509</v>
      </c>
      <c r="Q1916" s="1689"/>
    </row>
    <row r="1917" spans="1:24" ht="18.75" customHeight="1">
      <c r="B1917" s="2854" t="s">
        <v>1986</v>
      </c>
      <c r="C1917" s="1867" t="s">
        <v>4036</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4856</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2533</v>
      </c>
      <c r="C1919" s="1841" t="s">
        <v>4857</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59"/>
      <c r="W1919" s="2859"/>
      <c r="X1919" s="1631"/>
    </row>
    <row r="1920" spans="1:24" ht="15">
      <c r="A1920" s="1631"/>
      <c r="B1920" s="1866" t="s">
        <v>3756</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2785</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3601</v>
      </c>
      <c r="B1927" s="1634" t="s">
        <v>4861</v>
      </c>
      <c r="C1927" s="1993"/>
      <c r="D1927" s="1866"/>
      <c r="E1927" s="1866"/>
      <c r="F1927" s="1993"/>
      <c r="G1927" s="1964" t="s">
        <v>4868</v>
      </c>
      <c r="H1927" s="1993"/>
      <c r="J1927" s="2071" t="str">
        <f>'Part I-Project Information'!$O$38</f>
        <v>9707</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2793</v>
      </c>
      <c r="C1928" s="1486"/>
      <c r="D1928" s="1486"/>
      <c r="G1928" s="1634" t="str">
        <f>'Part I-Project Information'!$H$105</f>
        <v>N/A - 4% Bond</v>
      </c>
      <c r="M1928" s="1943" t="s">
        <v>4862</v>
      </c>
      <c r="N1928" s="2038"/>
      <c r="O1928" s="1943" t="s">
        <v>2509</v>
      </c>
      <c r="P1928" s="1943" t="s">
        <v>2509</v>
      </c>
    </row>
    <row r="1929" spans="1:24" ht="12.75" customHeight="1">
      <c r="A1929" s="2860"/>
      <c r="B1929" s="2044" t="s">
        <v>1986</v>
      </c>
      <c r="C1929" s="1216" t="s">
        <v>2684</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2738</v>
      </c>
      <c r="G1930" s="1216" t="s">
        <v>2389</v>
      </c>
      <c r="H1930" s="2862" t="str">
        <f>'Part IX Scoring Criteria'!H282</f>
        <v>&lt; Select &gt;</v>
      </c>
      <c r="I1930" s="1216" t="s">
        <v>2739</v>
      </c>
      <c r="L1930" s="521" t="s">
        <v>2737</v>
      </c>
      <c r="M1930" s="521" t="str">
        <f>IF(O1930&gt;H1930,"CHECK ACTUAL PERCENT!!!","")</f>
        <v/>
      </c>
      <c r="N1930" s="2013" t="s">
        <v>1988</v>
      </c>
      <c r="O1930" s="2863">
        <f>'Part IX Scoring Criteria'!O282</f>
        <v>0</v>
      </c>
      <c r="P1930" s="2083"/>
      <c r="Q1930" s="2861"/>
      <c r="R1930" s="2861"/>
    </row>
    <row r="1931" spans="1:24" ht="12.75" customHeight="1">
      <c r="B1931" s="2044" t="s">
        <v>2533</v>
      </c>
      <c r="C1931" s="1216" t="s">
        <v>2390</v>
      </c>
      <c r="G1931" s="1216" t="s">
        <v>2391</v>
      </c>
      <c r="J1931" s="2084" t="s">
        <v>5065</v>
      </c>
      <c r="L1931" s="1841" t="s">
        <v>2731</v>
      </c>
      <c r="M1931" s="1631"/>
      <c r="N1931" s="2013" t="s">
        <v>2533</v>
      </c>
      <c r="O1931" s="1895" t="str">
        <f>'Part IX Scoring Criteria'!O283</f>
        <v>&lt;Select&gt;</v>
      </c>
      <c r="P1931" s="1895" t="s">
        <v>201</v>
      </c>
      <c r="Q1931" s="2861"/>
      <c r="R1931" s="2861"/>
    </row>
    <row r="1932" spans="1:24" ht="12.75" customHeight="1">
      <c r="A1932" s="1913"/>
      <c r="B1932" s="2854" t="s">
        <v>1224</v>
      </c>
      <c r="C1932" s="1900" t="s">
        <v>5199</v>
      </c>
      <c r="D1932" s="1900"/>
      <c r="E1932" s="1900"/>
      <c r="F1932" s="1900"/>
      <c r="G1932" s="1900"/>
      <c r="H1932" s="1900"/>
      <c r="I1932" s="1900"/>
      <c r="J1932" s="2084"/>
      <c r="K1932" s="2084" t="s">
        <v>4043</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4863</v>
      </c>
      <c r="C1936" s="1216"/>
      <c r="G1936" s="1216" t="s">
        <v>4864</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5060</v>
      </c>
      <c r="D1937" s="521"/>
      <c r="G1937" s="521" t="s">
        <v>4865</v>
      </c>
      <c r="H1937" s="1867"/>
      <c r="I1937" s="1867"/>
      <c r="J1937" s="1631"/>
      <c r="K1937" s="1631"/>
      <c r="L1937" s="1631"/>
      <c r="M1937" s="1631"/>
      <c r="N1937" s="2013" t="s">
        <v>1986</v>
      </c>
      <c r="O1937" s="2867">
        <f>'Part IX Scoring Criteria'!O289</f>
        <v>0</v>
      </c>
      <c r="P1937" s="2009"/>
    </row>
    <row r="1938" spans="1:24">
      <c r="A1938" s="1486"/>
      <c r="B1938" s="2044" t="s">
        <v>1988</v>
      </c>
      <c r="C1938" s="521" t="s">
        <v>5061</v>
      </c>
      <c r="D1938" s="521"/>
      <c r="G1938" s="521" t="s">
        <v>4866</v>
      </c>
      <c r="H1938" s="1867"/>
      <c r="I1938" s="1867"/>
      <c r="J1938" s="1631"/>
      <c r="K1938" s="1631"/>
      <c r="L1938" s="1631"/>
      <c r="M1938" s="1631"/>
      <c r="N1938" s="2013" t="s">
        <v>1988</v>
      </c>
      <c r="O1938" s="2867">
        <f>'Part IX Scoring Criteria'!O290</f>
        <v>0</v>
      </c>
      <c r="P1938" s="2009"/>
      <c r="R1938" s="742" t="s">
        <v>5071</v>
      </c>
    </row>
    <row r="1939" spans="1:24">
      <c r="A1939" s="1486"/>
      <c r="B1939" s="2044" t="s">
        <v>2533</v>
      </c>
      <c r="C1939" s="521" t="s">
        <v>5062</v>
      </c>
      <c r="D1939" s="521"/>
      <c r="G1939" s="521" t="s">
        <v>4867</v>
      </c>
      <c r="H1939" s="1867"/>
      <c r="I1939" s="1867"/>
      <c r="J1939" s="1631"/>
      <c r="K1939" s="1631"/>
      <c r="L1939" s="1631"/>
      <c r="M1939" s="1631"/>
      <c r="N1939" s="2013" t="s">
        <v>2533</v>
      </c>
      <c r="O1939" s="2867">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4869</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4046</v>
      </c>
      <c r="C1946" s="1993"/>
      <c r="D1946" s="1866"/>
      <c r="E1946" s="1866"/>
      <c r="F1946" s="1993"/>
      <c r="G1946" s="1993"/>
      <c r="H1946" s="1652"/>
      <c r="I1946" s="2090" t="s">
        <v>3801</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3792</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3793</v>
      </c>
      <c r="D1948" s="1952"/>
      <c r="L1948" s="1952"/>
      <c r="M1948" s="2755"/>
      <c r="N1948" s="1937" t="s">
        <v>1985</v>
      </c>
      <c r="O1948" s="1895">
        <f>'Part IX Scoring Criteria'!O300</f>
        <v>0</v>
      </c>
      <c r="P1948" s="1895"/>
      <c r="U1948" s="1943">
        <f>IF(L1948="Yes",1,0)</f>
        <v>0</v>
      </c>
    </row>
    <row r="1949" spans="1:24" ht="15">
      <c r="A1949" s="1631"/>
      <c r="B1949" s="1866" t="s">
        <v>3756</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2458</v>
      </c>
      <c r="C1954" s="1976"/>
      <c r="D1954" s="2012"/>
      <c r="E1954" s="2012"/>
      <c r="F1954" s="2012"/>
      <c r="G1954" s="1976"/>
      <c r="H1954" s="1842" t="s">
        <v>4873</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4594</v>
      </c>
      <c r="D1955" s="1631"/>
      <c r="E1955" s="1631"/>
      <c r="F1955" s="1631"/>
      <c r="H1955" s="521" t="s">
        <v>3683</v>
      </c>
      <c r="I1955" s="1216"/>
      <c r="J1955" s="521" t="str">
        <f>'Part I-Project Information'!$O$34</f>
        <v>No</v>
      </c>
      <c r="K1955" s="521"/>
      <c r="L1955" s="1964" t="str">
        <f>'Part I-Project Information'!$O$35</f>
        <v>N/A</v>
      </c>
      <c r="M1955" s="1630">
        <v>3</v>
      </c>
      <c r="N1955" s="1937" t="s">
        <v>1983</v>
      </c>
      <c r="O1955" s="1863">
        <f>'Part IX Scoring Criteria'!O307</f>
        <v>0</v>
      </c>
      <c r="P1955" s="1863"/>
      <c r="Q1955" s="2807" t="str">
        <f>IF(OR($O1955=$M1955,$O1955=0,$O1955=""),"","*CHECK!*")</f>
        <v/>
      </c>
      <c r="R1955" s="1689" t="s">
        <v>2705</v>
      </c>
    </row>
    <row r="1956" spans="1:24" ht="12.75" customHeight="1">
      <c r="A1956" s="1216"/>
      <c r="B1956" s="2854" t="s">
        <v>1986</v>
      </c>
      <c r="C1956" s="1900" t="s">
        <v>5129</v>
      </c>
      <c r="D1956" s="1900"/>
      <c r="E1956" s="1900"/>
      <c r="F1956" s="1900"/>
      <c r="G1956" s="1900"/>
      <c r="H1956" s="1900"/>
      <c r="I1956" s="1900"/>
      <c r="J1956" s="1900"/>
      <c r="K1956" s="1900"/>
      <c r="L1956" s="1900"/>
      <c r="M1956" s="1900"/>
      <c r="N1956" s="2001" t="s">
        <v>1986</v>
      </c>
      <c r="O1956" s="1948">
        <f>'Part IX Scoring Criteria'!O308</f>
        <v>0</v>
      </c>
      <c r="P1956" s="1948"/>
      <c r="Q1956" s="1900" t="s">
        <v>5200</v>
      </c>
      <c r="R1956" s="1900"/>
      <c r="S1956" s="1900"/>
      <c r="T1956" s="1900"/>
      <c r="U1956" s="1900"/>
      <c r="V1956" s="1900"/>
      <c r="W1956" s="1900"/>
      <c r="X1956" s="1900"/>
    </row>
    <row r="1957" spans="1:24">
      <c r="A1957" s="521"/>
      <c r="B1957" s="2044"/>
      <c r="C1957" s="521" t="s">
        <v>3807</v>
      </c>
      <c r="D1957" s="521"/>
      <c r="E1957" s="521"/>
      <c r="F1957" s="521"/>
      <c r="G1957" s="521"/>
      <c r="H1957" s="521"/>
      <c r="I1957" s="1937" t="s">
        <v>4874</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3862</v>
      </c>
      <c r="D1958" s="521"/>
      <c r="E1958" s="521"/>
      <c r="F1958" s="521"/>
      <c r="G1958" s="521"/>
      <c r="H1958" s="521"/>
      <c r="I1958" s="1937" t="s">
        <v>4874</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2533</v>
      </c>
      <c r="C1960" s="521" t="s">
        <v>964</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1224</v>
      </c>
      <c r="C1961" s="521" t="s">
        <v>4879</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4596</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5130</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2705</v>
      </c>
      <c r="S1965" s="1631"/>
      <c r="T1965" s="1631"/>
      <c r="U1965" s="1631"/>
      <c r="V1965" s="1631"/>
      <c r="W1965" s="1631"/>
      <c r="X1965" s="1631"/>
    </row>
    <row r="1966" spans="1:24">
      <c r="A1966" s="1895"/>
      <c r="B1966" s="2854" t="s">
        <v>1988</v>
      </c>
      <c r="C1966" s="1216" t="s">
        <v>5131</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2705</v>
      </c>
    </row>
    <row r="1967" spans="1:24">
      <c r="A1967" s="1633" t="s">
        <v>749</v>
      </c>
      <c r="B1967" s="1634" t="s">
        <v>4599</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2705</v>
      </c>
      <c r="S1969" s="1631"/>
      <c r="T1969" s="1631"/>
      <c r="U1969" s="1631"/>
      <c r="V1969" s="1631"/>
      <c r="W1969" s="1631"/>
      <c r="X1969" s="1631"/>
    </row>
    <row r="1970" spans="1:24">
      <c r="A1970" s="1895"/>
      <c r="B1970" s="2854" t="s">
        <v>1988</v>
      </c>
      <c r="C1970" s="521" t="s">
        <v>5132</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2705</v>
      </c>
    </row>
    <row r="1971" spans="1:24">
      <c r="A1971" s="1895"/>
      <c r="B1971" s="2854" t="s">
        <v>2533</v>
      </c>
      <c r="C1971" s="1216" t="s">
        <v>5133</v>
      </c>
      <c r="D1971" s="1631"/>
      <c r="E1971" s="1631"/>
      <c r="F1971" s="1631"/>
      <c r="G1971" s="1841"/>
      <c r="H1971" s="1842"/>
      <c r="I1971" s="1841"/>
      <c r="K1971" s="1636"/>
      <c r="L1971" s="1636"/>
      <c r="M1971" s="1637">
        <v>2</v>
      </c>
      <c r="N1971" s="2093" t="s">
        <v>2533</v>
      </c>
      <c r="O1971" s="1863">
        <f>'Part IX Scoring Criteria'!O323</f>
        <v>0</v>
      </c>
      <c r="P1971" s="1863"/>
      <c r="Q1971" s="2807" t="str">
        <f>IF(OR($O1971=$M1971,$O1971=0,$O1971=""),"","*CHECK!*")</f>
        <v/>
      </c>
      <c r="R1971" s="1689" t="s">
        <v>2705</v>
      </c>
    </row>
    <row r="1972" spans="1:24" ht="15">
      <c r="A1972" s="1631"/>
      <c r="B1972" s="1866" t="s">
        <v>3756</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4881</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4882</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2533</v>
      </c>
      <c r="C1981" s="1841" t="s">
        <v>4883</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2705</v>
      </c>
      <c r="S1982" s="1976"/>
      <c r="T1982" s="2819"/>
      <c r="U1982" s="2819"/>
      <c r="V1982" s="1976"/>
      <c r="W1982" s="1976"/>
      <c r="X1982" s="1976"/>
    </row>
    <row r="1983" spans="1:24" ht="18.75" customHeight="1">
      <c r="A1983" s="2869"/>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4884</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2705</v>
      </c>
      <c r="S1984" s="1976"/>
      <c r="T1984" s="2819"/>
      <c r="U1984" s="2819"/>
      <c r="V1984" s="1976"/>
      <c r="W1984" s="1976"/>
      <c r="X1984" s="1976"/>
    </row>
    <row r="1985" spans="1:24" ht="18.75" customHeight="1">
      <c r="A1985" s="1976"/>
      <c r="B1985" s="1900" t="s">
        <v>5201</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4055</v>
      </c>
      <c r="C1991" s="1955"/>
      <c r="D1991" s="1955"/>
      <c r="E1991" s="521"/>
      <c r="F1991" s="1976"/>
      <c r="G1991" s="1849">
        <f>'Part VIII-Threshold Criteria'!I2009</f>
        <v>0</v>
      </c>
      <c r="H1991" s="1976"/>
      <c r="I1991" s="1976"/>
      <c r="J1991" s="1841" t="s">
        <v>2685</v>
      </c>
      <c r="K1991" s="1976"/>
      <c r="L1991" s="521"/>
      <c r="M1991" s="1976"/>
      <c r="N1991" s="1937" t="s">
        <v>1983</v>
      </c>
      <c r="O1991" s="1633" t="str">
        <f>'Part I-Project Information'!$H$100</f>
        <v>No</v>
      </c>
      <c r="P1991" s="1630"/>
      <c r="Q1991" s="1630"/>
      <c r="R1991" s="1689" t="s">
        <v>2705</v>
      </c>
      <c r="S1991" s="1976"/>
      <c r="T1991" s="1976"/>
      <c r="U1991" s="1976"/>
      <c r="V1991" s="1976"/>
      <c r="W1991" s="1976"/>
      <c r="X1991" s="1976"/>
    </row>
    <row r="1992" spans="1:24" ht="15">
      <c r="A1992" s="1828"/>
      <c r="B1992" s="2093" t="s">
        <v>1986</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7"/>
      <c r="S1992" s="1993"/>
      <c r="T1992" s="1993"/>
      <c r="U1992" s="1993"/>
      <c r="V1992" s="1993"/>
      <c r="W1992" s="1993"/>
      <c r="X1992" s="1993"/>
    </row>
    <row r="1993" spans="1:24" ht="1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4072</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2533</v>
      </c>
      <c r="C1995" s="521" t="s">
        <v>4960</v>
      </c>
      <c r="D1995" s="1631"/>
      <c r="E1995" s="1993"/>
      <c r="F1995" s="1993"/>
      <c r="G1995" s="1993"/>
      <c r="H1995" s="1993"/>
      <c r="I1995" s="1993"/>
      <c r="J1995" s="1993"/>
      <c r="K1995" s="1993"/>
      <c r="L1995" s="1993"/>
      <c r="M1995" s="1993"/>
      <c r="N1995" s="2093" t="s">
        <v>2533</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4886</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4887</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4073</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4056</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2705</v>
      </c>
      <c r="S1999" s="1976"/>
      <c r="T1999" s="1976"/>
      <c r="U1999" s="1976"/>
      <c r="V1999" s="1976"/>
      <c r="W1999" s="1976"/>
      <c r="X1999" s="1976"/>
    </row>
    <row r="2000" spans="1:24" ht="15">
      <c r="A2000" s="2869"/>
      <c r="B2000" s="2093" t="s">
        <v>1986</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4085</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2533</v>
      </c>
      <c r="C2003" s="521" t="s">
        <v>4073</v>
      </c>
      <c r="D2003" s="1631"/>
      <c r="E2003" s="1993"/>
      <c r="F2003" s="1993"/>
      <c r="G2003" s="1993"/>
      <c r="H2003" s="1993"/>
      <c r="I2003" s="1993"/>
      <c r="J2003" s="1993"/>
      <c r="K2003" s="1993"/>
      <c r="L2003" s="1993"/>
      <c r="M2003" s="1993"/>
      <c r="N2003" s="2093" t="s">
        <v>2533</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2781</v>
      </c>
      <c r="B2007" s="2764" t="s">
        <v>4057</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5134</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3756</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2705</v>
      </c>
      <c r="S2018" s="1976"/>
      <c r="T2018" s="1976"/>
      <c r="U2018" s="1976"/>
      <c r="V2018" s="1976"/>
      <c r="W2018" s="1976"/>
      <c r="X2018" s="1976"/>
    </row>
    <row r="2019" spans="1:24" ht="15">
      <c r="A2019" s="1828"/>
      <c r="B2019" s="2093" t="s">
        <v>1986</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5202</v>
      </c>
      <c r="D2021" s="1993"/>
      <c r="E2021" s="1955"/>
      <c r="F2021" s="521"/>
      <c r="G2021" s="521"/>
      <c r="H2021" s="1976"/>
      <c r="I2021" s="1976"/>
      <c r="J2021" s="1976"/>
      <c r="K2021" s="1976"/>
      <c r="L2021" s="1976"/>
      <c r="M2021" s="1976"/>
      <c r="N2021" s="1937" t="s">
        <v>1983</v>
      </c>
      <c r="O2021" s="1943" t="s">
        <v>2509</v>
      </c>
      <c r="P2021" s="1943" t="s">
        <v>2509</v>
      </c>
      <c r="Q2021" s="1976"/>
      <c r="R2021" s="1976"/>
      <c r="S2021" s="1976"/>
      <c r="T2021" s="1976"/>
      <c r="U2021" s="1976"/>
      <c r="V2021" s="1976"/>
      <c r="W2021" s="1976"/>
      <c r="X2021" s="1976"/>
    </row>
    <row r="2022" spans="1:24">
      <c r="A2022" s="521"/>
      <c r="B2022" s="1937" t="s">
        <v>2434</v>
      </c>
      <c r="C2022" s="1841" t="s">
        <v>4058</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4059</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4889</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3756</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4103</v>
      </c>
      <c r="B2032" s="2764" t="s">
        <v>4064</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5203</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3810</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3809</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4890</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4066</v>
      </c>
      <c r="L2039" s="2817" t="str">
        <f>IF(OR($O2039=$M2039,$O2039=0,$O2039=""),"","* * Check Score! * *")</f>
        <v/>
      </c>
      <c r="M2039" s="1633">
        <v>3</v>
      </c>
      <c r="N2039" s="1937" t="s">
        <v>1983</v>
      </c>
      <c r="O2039" s="1863">
        <f>'Part IX Scoring Criteria'!O391</f>
        <v>0</v>
      </c>
      <c r="P2039" s="1863"/>
      <c r="Q2039" s="2807" t="str">
        <f>IF(OR($O2039=$M2039,$O2039=0,$O2039=""),"","*CHECK!*")</f>
        <v/>
      </c>
      <c r="R2039" s="1689" t="s">
        <v>2705</v>
      </c>
    </row>
    <row r="2040" spans="1:24">
      <c r="A2040" s="2872"/>
      <c r="B2040" s="2854" t="s">
        <v>1986</v>
      </c>
      <c r="C2040" s="1921" t="s">
        <v>4893</v>
      </c>
      <c r="D2040" s="1921"/>
      <c r="E2040" s="1921"/>
      <c r="F2040" s="1921"/>
      <c r="G2040" s="1921"/>
      <c r="H2040" s="1921"/>
      <c r="I2040" s="1921"/>
    </row>
    <row r="2041" spans="1:24">
      <c r="A2041" s="2872"/>
      <c r="B2041" s="2021"/>
      <c r="C2041" s="1921" t="s">
        <v>4892</v>
      </c>
      <c r="D2041" s="1921"/>
      <c r="E2041" s="1921"/>
      <c r="F2041" s="1921"/>
      <c r="G2041" s="1921"/>
      <c r="H2041" s="1921"/>
      <c r="I2041" s="1921"/>
      <c r="J2041" s="2039" t="s">
        <v>1990</v>
      </c>
      <c r="K2041" s="2039"/>
      <c r="M2041" s="2039" t="s">
        <v>1990</v>
      </c>
      <c r="N2041" s="2039"/>
      <c r="O2041" s="2039"/>
      <c r="P2041" s="2039"/>
    </row>
    <row r="2042" spans="1:24" ht="15">
      <c r="A2042" s="1941"/>
      <c r="B2042" s="1937" t="s">
        <v>2434</v>
      </c>
      <c r="C2042" s="521" t="s">
        <v>1482</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7"/>
      <c r="S2042" s="1976"/>
      <c r="T2042" s="1976"/>
      <c r="U2042" s="1976"/>
      <c r="V2042" s="1976"/>
      <c r="W2042" s="1976"/>
      <c r="X2042" s="1976"/>
    </row>
    <row r="2043" spans="1:24">
      <c r="A2043" s="1879"/>
      <c r="B2043" s="1944" t="s">
        <v>2435</v>
      </c>
      <c r="C2043" s="521" t="s">
        <v>3621</v>
      </c>
      <c r="I2043" s="1944" t="s">
        <v>2435</v>
      </c>
      <c r="J2043" s="1862">
        <f>'Part IX Scoring Criteria'!J395</f>
        <v>0</v>
      </c>
      <c r="K2043" s="1862">
        <f>'Part IX Scoring Criteria'!K395</f>
        <v>0</v>
      </c>
      <c r="L2043" s="1944" t="s">
        <v>2435</v>
      </c>
      <c r="M2043" s="1862"/>
      <c r="N2043" s="1862"/>
      <c r="O2043" s="1862"/>
      <c r="P2043" s="1862"/>
      <c r="R2043" s="2817"/>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7"/>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7"/>
    </row>
    <row r="2046" spans="1:24" ht="15">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7"/>
      <c r="S2046" s="1976"/>
      <c r="T2046" s="1976"/>
      <c r="U2046" s="1976"/>
      <c r="V2046" s="1976"/>
      <c r="W2046" s="1976"/>
      <c r="X2046" s="1976"/>
    </row>
    <row r="2047" spans="1:24">
      <c r="B2047" s="1937" t="s">
        <v>2454</v>
      </c>
      <c r="C2047" s="521" t="s">
        <v>1481</v>
      </c>
      <c r="I2047" s="1937" t="s">
        <v>2454</v>
      </c>
      <c r="J2047" s="1862">
        <f>'Part IX Scoring Criteria'!J399</f>
        <v>0</v>
      </c>
      <c r="K2047" s="1862">
        <f>'Part IX Scoring Criteria'!K399</f>
        <v>0</v>
      </c>
      <c r="L2047" s="1937" t="s">
        <v>2454</v>
      </c>
      <c r="M2047" s="1862"/>
      <c r="N2047" s="1862"/>
      <c r="O2047" s="1862"/>
      <c r="P2047" s="1862"/>
      <c r="R2047" s="2817"/>
    </row>
    <row r="2048" spans="1:24">
      <c r="A2048" s="1879"/>
      <c r="B2048" s="1937" t="s">
        <v>2455</v>
      </c>
      <c r="C2048" s="521" t="s">
        <v>3619</v>
      </c>
      <c r="I2048" s="1937" t="s">
        <v>2455</v>
      </c>
      <c r="J2048" s="1862">
        <f>'Part IX Scoring Criteria'!J400</f>
        <v>0</v>
      </c>
      <c r="K2048" s="1862">
        <f>'Part IX Scoring Criteria'!K400</f>
        <v>0</v>
      </c>
      <c r="L2048" s="1937" t="s">
        <v>2455</v>
      </c>
      <c r="M2048" s="1862"/>
      <c r="N2048" s="1862"/>
      <c r="O2048" s="1862"/>
      <c r="P2048" s="1862"/>
      <c r="R2048" s="2817"/>
    </row>
    <row r="2049" spans="1:24">
      <c r="B2049" s="1937" t="s">
        <v>2456</v>
      </c>
      <c r="C2049" s="521" t="s">
        <v>5092</v>
      </c>
      <c r="I2049" s="1937" t="s">
        <v>2456</v>
      </c>
      <c r="J2049" s="1862">
        <f>'Part IX Scoring Criteria'!J401</f>
        <v>0</v>
      </c>
      <c r="K2049" s="1862">
        <f>'Part IX Scoring Criteria'!K401</f>
        <v>0</v>
      </c>
      <c r="L2049" s="1937" t="s">
        <v>2456</v>
      </c>
      <c r="M2049" s="1862"/>
      <c r="N2049" s="1862"/>
      <c r="O2049" s="1862"/>
      <c r="P2049" s="1862"/>
      <c r="R2049" s="2817"/>
    </row>
    <row r="2050" spans="1:24">
      <c r="B2050" s="1937" t="s">
        <v>2457</v>
      </c>
      <c r="C2050" s="521" t="s">
        <v>4895</v>
      </c>
      <c r="I2050" s="1937" t="s">
        <v>2457</v>
      </c>
      <c r="J2050" s="1862">
        <f>'Part IX Scoring Criteria'!J402</f>
        <v>0</v>
      </c>
      <c r="K2050" s="1862">
        <f>'Part IX Scoring Criteria'!K402</f>
        <v>0</v>
      </c>
      <c r="L2050" s="1937" t="s">
        <v>2457</v>
      </c>
      <c r="M2050" s="1862"/>
      <c r="N2050" s="1862"/>
      <c r="O2050" s="1862"/>
      <c r="P2050" s="1862"/>
      <c r="R2050" s="2817"/>
    </row>
    <row r="2051" spans="1:24">
      <c r="B2051" s="1937" t="s">
        <v>3622</v>
      </c>
      <c r="C2051" s="521" t="s">
        <v>4896</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5135</v>
      </c>
      <c r="H2052" s="1841" t="s">
        <v>2627</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2626</v>
      </c>
      <c r="M2054" s="1647"/>
      <c r="N2054" s="1647"/>
      <c r="P2054" s="1647"/>
    </row>
    <row r="2055" spans="1:24" ht="15" customHeight="1">
      <c r="A2055" s="1631"/>
      <c r="B2055" s="1976"/>
      <c r="C2055" s="1785" t="s">
        <v>5204</v>
      </c>
      <c r="D2055" s="1785"/>
      <c r="E2055" s="1785"/>
      <c r="F2055" s="1841" t="s">
        <v>4939</v>
      </c>
      <c r="G2055" s="1976"/>
      <c r="I2055" s="1823">
        <f>'Part IX Scoring Criteria'!I407</f>
        <v>0</v>
      </c>
      <c r="J2055" s="1862">
        <f>'Part IV-A-Uses of Funds'!$G$132</f>
        <v>15458102.010000002</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3623</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2705</v>
      </c>
      <c r="S2059" s="1993"/>
      <c r="T2059" s="1993"/>
      <c r="U2059" s="1993"/>
      <c r="V2059" s="2819"/>
      <c r="W2059" s="2819"/>
      <c r="X2059" s="1993"/>
    </row>
    <row r="2060" spans="1:24" ht="18.75" customHeight="1">
      <c r="A2060" s="1828"/>
      <c r="B2060" s="1944" t="s">
        <v>2434</v>
      </c>
      <c r="C2060" s="1900" t="s">
        <v>4068</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19"/>
      <c r="W2060" s="2819"/>
      <c r="X2060" s="1976"/>
    </row>
    <row r="2061" spans="1:24" ht="18.75">
      <c r="A2061" s="1828"/>
      <c r="B2061" s="1937" t="s">
        <v>2435</v>
      </c>
      <c r="C2061" s="521" t="s">
        <v>3802</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19"/>
      <c r="W2061" s="2819"/>
      <c r="X2061" s="1976"/>
    </row>
    <row r="2062" spans="1:24">
      <c r="B2062" s="1937" t="s">
        <v>2436</v>
      </c>
      <c r="C2062" s="1216" t="s">
        <v>4898</v>
      </c>
      <c r="N2062" s="1937" t="s">
        <v>2436</v>
      </c>
      <c r="O2062" s="1895">
        <f>'Part IX Scoring Criteria'!O414</f>
        <v>0</v>
      </c>
      <c r="P2062" s="1895"/>
    </row>
    <row r="2063" spans="1:24">
      <c r="B2063" s="1866" t="s">
        <v>3756</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4104</v>
      </c>
      <c r="B2068" s="2764"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5205</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2705</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5206</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2829</v>
      </c>
      <c r="N2075" s="2030"/>
      <c r="O2075" s="2152">
        <f>'Part VI-Revenues &amp; Expenses'!$O$67</f>
        <v>76</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5207</v>
      </c>
      <c r="B2079" s="1921" t="s">
        <v>3356</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2705</v>
      </c>
      <c r="S2079" s="2028"/>
      <c r="T2079" s="2028"/>
      <c r="U2079" s="2028"/>
      <c r="V2079" s="2028"/>
      <c r="W2079" s="2028"/>
      <c r="X2079" s="2028"/>
    </row>
    <row r="2080" spans="1:24" ht="15" customHeight="1">
      <c r="A2080" s="2876"/>
      <c r="B2080" s="1900" t="s">
        <v>5136</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2829</v>
      </c>
      <c r="N2081" s="2030"/>
      <c r="O2081" s="2152">
        <f>'Part VI-Revenues &amp; Expenses'!$O$67</f>
        <v>76</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5">
      <c r="A2083" s="1631"/>
      <c r="B2083" s="1866" t="s">
        <v>3756</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4102</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Enclave at Milledgeville</v>
      </c>
    </row>
    <row r="3" spans="1:16" ht="16.5">
      <c r="A3" s="1644" t="str">
        <f>CONCATENATE('Part I-Project Information'!F38,", ", 'Part I-Project Information'!J39," County")</f>
        <v>Milledgeville, Baldwin County</v>
      </c>
    </row>
    <row r="5" spans="1:16" ht="12.75" customHeight="1">
      <c r="A5" s="1682" t="str">
        <f>'Project Narrative'!$A$5</f>
        <v xml:space="preserve">Enclave at Milledgeville is a proposed (76-unit) affordable housing redevelopment for families, located at 1498 South Jefferson Street, Milledgeville, Georgia 31061. This project consists of 10 garden style buildings and is located on 8.572 acres of land. The redevelopment plan will focus on a holistic, sustainable real estate development model that will emphasize energy efficiency, healthier resident lifestyles through design and housing that is economically self-sustainable. Once completed, Enclave at Milledgeville will create a community friendly development that will benefit its residents and the surrounding neighborhood. Redevelopment will include an extensive renovation of existing multi-family units and amenity spaces consisting of one- to three-bedroom garden style units for families. The project will be a joint development between the Housing Authority of DeKalb County and Housing Development Corporation. All units will feature, among other amenities, LED fixtures, low-flow plumbing fixtures, high efficiency water heaters, smooth-surface flooring and Energy Star appliances. The project will utilize long-term Project-Based Rental Assistance to assist in maintaining affordability. </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300302612, 310613376,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4484</v>
      </c>
      <c r="H16" s="1647"/>
      <c r="I16" s="1647"/>
      <c r="J16" s="1647"/>
      <c r="K16" s="1647"/>
      <c r="L16" s="1645"/>
      <c r="M16" s="1647"/>
      <c r="N16" s="1647"/>
      <c r="O16" s="1647"/>
      <c r="P16" s="1650" t="s">
        <v>3871</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3317</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3799</v>
      </c>
      <c r="G20" s="1647"/>
      <c r="H20" s="1647"/>
      <c r="I20" s="1655">
        <f>'Part IV-A-Uses of Funds'!$J$175</f>
        <v>512639</v>
      </c>
      <c r="J20" s="1655"/>
      <c r="K20" s="1647"/>
      <c r="L20" s="1647" t="s">
        <v>3800</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3714</v>
      </c>
      <c r="J22" s="1628" t="s">
        <v>4486</v>
      </c>
      <c r="K22" s="1628"/>
      <c r="L22" s="1651"/>
      <c r="M22" s="1647"/>
      <c r="N22" s="1647"/>
      <c r="O22" s="1647" t="str">
        <f>'Part I-Project Information'!$O$11</f>
        <v>2019PA-563</v>
      </c>
      <c r="P22" s="1647"/>
    </row>
    <row r="23" spans="1:16" ht="13.5" customHeight="1">
      <c r="A23" s="1645"/>
      <c r="B23" s="1658" t="s">
        <v>4463</v>
      </c>
      <c r="C23" s="1658"/>
      <c r="D23" s="1658"/>
      <c r="E23" s="1647"/>
      <c r="F23" s="1647"/>
      <c r="G23" s="1647"/>
      <c r="H23" s="1651"/>
      <c r="I23" s="1647"/>
      <c r="J23" s="1654" t="s">
        <v>2732</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3797</v>
      </c>
      <c r="K25" s="1647"/>
      <c r="L25" s="1647"/>
      <c r="M25" s="1647"/>
      <c r="N25" s="1647"/>
      <c r="O25" s="1647"/>
      <c r="P25" s="1647"/>
    </row>
    <row r="26" spans="1:16">
      <c r="A26" s="1645"/>
      <c r="B26" s="1647" t="s">
        <v>3872</v>
      </c>
      <c r="C26" s="1647"/>
      <c r="D26" s="1628"/>
      <c r="E26" s="1647"/>
      <c r="F26" s="2023" t="str">
        <f>'Part I-Project Information'!$F$15</f>
        <v>N/A</v>
      </c>
      <c r="G26" s="2023"/>
      <c r="H26" s="2023"/>
      <c r="I26" s="2023"/>
      <c r="J26" s="2023"/>
      <c r="K26" s="2023"/>
      <c r="L26" s="1647" t="s">
        <v>3796</v>
      </c>
      <c r="M26" s="1647"/>
      <c r="N26" s="1647"/>
      <c r="O26" s="1647" t="str">
        <f>'Part I-Project Information'!$O$15</f>
        <v>N/A</v>
      </c>
      <c r="P26" s="1647"/>
    </row>
    <row r="27" spans="1:16">
      <c r="A27" s="1645"/>
      <c r="B27" s="1647" t="s">
        <v>3798</v>
      </c>
      <c r="C27" s="1647"/>
      <c r="D27" s="1647"/>
      <c r="E27" s="1647"/>
      <c r="F27" s="1729">
        <f>'Part I-Project Information'!F16</f>
        <v>0</v>
      </c>
      <c r="G27" s="1647" t="s">
        <v>3854</v>
      </c>
      <c r="H27" s="1651"/>
      <c r="I27" s="1652"/>
      <c r="J27" s="1654"/>
      <c r="K27" s="1647"/>
      <c r="L27" s="1647"/>
      <c r="M27" s="1851">
        <f>'Part I-Project Information'!N16</f>
        <v>0</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3881</v>
      </c>
      <c r="C31" s="1647"/>
      <c r="D31" s="1647"/>
      <c r="E31" s="1647"/>
      <c r="F31" s="1647" t="str">
        <f>'Part I-Project Information'!F20</f>
        <v>Housing Development Corporation</v>
      </c>
      <c r="G31" s="1647">
        <f>'Part I-Project Information'!G20</f>
        <v>0</v>
      </c>
      <c r="H31" s="1647">
        <f>'Part I-Project Information'!H20</f>
        <v>0</v>
      </c>
      <c r="I31" s="1647" t="s">
        <v>1797</v>
      </c>
      <c r="J31" s="1647" t="str">
        <f>'Part I-Project Information'!J20</f>
        <v>E. P. Walker, Jr.</v>
      </c>
      <c r="K31" s="1647">
        <f>'Part I-Project Information'!K20</f>
        <v>0</v>
      </c>
      <c r="L31" s="1647">
        <f>'Part I-Project Information'!L20</f>
        <v>0</v>
      </c>
      <c r="M31" s="1654" t="s">
        <v>1980</v>
      </c>
      <c r="N31" s="1647" t="str">
        <f>'Part I-Project Information'!N20</f>
        <v>President &amp; CEO</v>
      </c>
      <c r="O31" s="1647">
        <f>'Part I-Project Information'!O20</f>
        <v>0</v>
      </c>
      <c r="P31" s="1647">
        <f>'Part I-Project Information'!P20</f>
        <v>0</v>
      </c>
    </row>
    <row r="32" spans="1:16" ht="12.75" customHeight="1">
      <c r="A32" s="1647"/>
      <c r="B32" s="1654" t="s">
        <v>1981</v>
      </c>
      <c r="C32" s="1647"/>
      <c r="D32" s="1647"/>
      <c r="E32" s="1647"/>
      <c r="F32" s="1647" t="str">
        <f>'Part I-Project Information'!F21</f>
        <v>750 Commerce Dr., Suite 110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3880</v>
      </c>
      <c r="N32" s="1659"/>
      <c r="O32" s="1659"/>
      <c r="P32" s="1659"/>
    </row>
    <row r="33" spans="1:16" ht="12.75" customHeight="1">
      <c r="A33" s="1647"/>
      <c r="B33" s="1654" t="s">
        <v>618</v>
      </c>
      <c r="C33" s="1647"/>
      <c r="D33" s="1647"/>
      <c r="E33" s="1647"/>
      <c r="F33" s="1647" t="str">
        <f>'Part I-Project Information'!F22</f>
        <v>Decatur</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c r="A34" s="1647"/>
      <c r="B34" s="1654" t="s">
        <v>2229</v>
      </c>
      <c r="C34" s="1647"/>
      <c r="D34" s="1647"/>
      <c r="E34" s="1647"/>
      <c r="F34" s="2115">
        <f>'Part I-Project Information'!F23</f>
        <v>300302612</v>
      </c>
      <c r="G34" s="2115">
        <f>'Part I-Project Information'!G23</f>
        <v>0</v>
      </c>
      <c r="H34" s="2115">
        <f>'Part I-Project Information'!H23</f>
        <v>0</v>
      </c>
      <c r="I34" s="1654" t="s">
        <v>1720</v>
      </c>
      <c r="J34" s="2116">
        <f>'Part I-Project Information'!J23</f>
        <v>4704408610</v>
      </c>
      <c r="K34" s="2116">
        <f>'Part I-Project Information'!K23</f>
        <v>0</v>
      </c>
      <c r="L34" s="1651" t="s">
        <v>1719</v>
      </c>
      <c r="M34" s="1651">
        <f>'Part I-Project Information'!M23</f>
        <v>0</v>
      </c>
      <c r="N34" s="1654" t="s">
        <v>1721</v>
      </c>
      <c r="O34" s="2116">
        <f>'Part I-Project Information'!O23</f>
        <v>4042702503</v>
      </c>
      <c r="P34" s="2116">
        <f>'Part I-Project Information'!P23</f>
        <v>0</v>
      </c>
    </row>
    <row r="35" spans="1:16">
      <c r="A35" s="1647"/>
      <c r="B35" s="1654" t="s">
        <v>1984</v>
      </c>
      <c r="C35" s="1647"/>
      <c r="D35" s="1647"/>
      <c r="E35" s="1647"/>
      <c r="F35" s="1647" t="str">
        <f>'Part I-Project Information'!F24</f>
        <v>pete.walker@dekalbhousing.org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4042702633</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3881</v>
      </c>
      <c r="C37" s="1647"/>
      <c r="D37" s="1647"/>
      <c r="E37" s="1647"/>
      <c r="F37" s="1647">
        <f>'Part I-Project Information'!F26</f>
        <v>0</v>
      </c>
      <c r="G37" s="1647">
        <f>'Part I-Project Information'!G26</f>
        <v>0</v>
      </c>
      <c r="H37" s="1647">
        <f>'Part I-Project Information'!H26</f>
        <v>0</v>
      </c>
      <c r="I37" s="1647" t="s">
        <v>1797</v>
      </c>
      <c r="J37" s="1647">
        <f>'Part I-Project Information'!J26</f>
        <v>0</v>
      </c>
      <c r="K37" s="1647">
        <f>'Part I-Project Information'!K26</f>
        <v>0</v>
      </c>
      <c r="L37" s="1647">
        <f>'Part I-Project Information'!L26</f>
        <v>0</v>
      </c>
      <c r="M37" s="1654" t="s">
        <v>1980</v>
      </c>
      <c r="N37" s="1647">
        <f>'Part I-Project Information'!N26</f>
        <v>0</v>
      </c>
      <c r="O37" s="1647">
        <f>'Part I-Project Information'!O26</f>
        <v>0</v>
      </c>
      <c r="P37" s="1647">
        <f>'Part I-Project Information'!P26</f>
        <v>0</v>
      </c>
    </row>
    <row r="38" spans="1:16" ht="12.75" customHeight="1">
      <c r="A38" s="1647"/>
      <c r="B38" s="1654" t="s">
        <v>1981</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3880</v>
      </c>
      <c r="N38" s="1659"/>
      <c r="O38" s="1659"/>
      <c r="P38" s="1659"/>
    </row>
    <row r="39" spans="1:16" ht="12.75" customHeight="1">
      <c r="A39" s="1647"/>
      <c r="B39" s="1654" t="s">
        <v>618</v>
      </c>
      <c r="C39" s="1647"/>
      <c r="D39" s="1647"/>
      <c r="E39" s="1647"/>
      <c r="F39" s="1647">
        <f>'Part I-Project Information'!F28</f>
        <v>0</v>
      </c>
      <c r="G39" s="1647">
        <f>'Part I-Project Information'!G28</f>
        <v>0</v>
      </c>
      <c r="H39" s="1647">
        <f>'Part I-Project Information'!H28</f>
        <v>0</v>
      </c>
      <c r="I39" s="1654" t="s">
        <v>1799</v>
      </c>
      <c r="J39" s="1680">
        <f>'Part I-Project Information'!J28</f>
        <v>0</v>
      </c>
      <c r="K39" s="1647"/>
      <c r="L39" s="1647"/>
      <c r="M39" s="1659"/>
      <c r="N39" s="1659"/>
      <c r="O39" s="1659"/>
      <c r="P39" s="1659"/>
    </row>
    <row r="40" spans="1:16">
      <c r="A40" s="1647"/>
      <c r="B40" s="1654" t="s">
        <v>2229</v>
      </c>
      <c r="C40" s="1647"/>
      <c r="D40" s="1647"/>
      <c r="E40" s="1647"/>
      <c r="F40" s="2115">
        <f>'Part I-Project Information'!F29</f>
        <v>0</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0</v>
      </c>
      <c r="P40" s="2116">
        <f>'Part I-Project Information'!P29</f>
        <v>0</v>
      </c>
    </row>
    <row r="41" spans="1:16">
      <c r="A41" s="1647"/>
      <c r="B41" s="1654" t="s">
        <v>1984</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Enclave at Milledgeville</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2698</v>
      </c>
      <c r="C46" s="1647"/>
      <c r="D46" s="1657"/>
      <c r="E46" s="1647"/>
      <c r="F46" s="1647" t="str">
        <f>'Part I-Project Information'!F35</f>
        <v>1498 S. Jefferson St.</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t="str">
        <f>'Part I-Project Information'!O35</f>
        <v>N/A</v>
      </c>
      <c r="P46" s="1647">
        <f>'Part I-Project Information'!P35</f>
        <v>0</v>
      </c>
    </row>
    <row r="47" spans="1:16">
      <c r="A47" s="1650"/>
      <c r="B47" s="1647" t="s">
        <v>4487</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1</v>
      </c>
    </row>
    <row r="48" spans="1:16">
      <c r="A48" s="1650"/>
      <c r="B48" s="1647" t="s">
        <v>3737</v>
      </c>
      <c r="C48" s="1647"/>
      <c r="D48" s="1657"/>
      <c r="E48" s="1647"/>
      <c r="F48" s="1647" t="s">
        <v>3716</v>
      </c>
      <c r="G48" s="2117">
        <f>'Part I-Project Information'!G37</f>
        <v>33.058079999999997</v>
      </c>
      <c r="H48" s="2117">
        <f>'Part I-Project Information'!H37</f>
        <v>0</v>
      </c>
      <c r="I48" s="1651" t="s">
        <v>3717</v>
      </c>
      <c r="J48" s="2117">
        <f>'Part I-Project Information'!J37</f>
        <v>-83.218540000000004</v>
      </c>
      <c r="K48" s="2117">
        <f>'Part I-Project Information'!K37</f>
        <v>0</v>
      </c>
      <c r="L48" s="1654" t="s">
        <v>2283</v>
      </c>
      <c r="M48" s="1647"/>
      <c r="N48" s="1647"/>
      <c r="O48" s="2118">
        <f>'Part I-Project Information'!O37</f>
        <v>8.5719999999999992</v>
      </c>
      <c r="P48" s="2118">
        <f>'Part I-Project Information'!P37</f>
        <v>0</v>
      </c>
    </row>
    <row r="49" spans="1:16" ht="16.5">
      <c r="A49" s="1645"/>
      <c r="B49" s="1647" t="s">
        <v>618</v>
      </c>
      <c r="C49" s="1647"/>
      <c r="D49" s="1647"/>
      <c r="E49" s="1647"/>
      <c r="F49" s="1647" t="str">
        <f>'Part I-Project Information'!F38</f>
        <v>Milledgeville</v>
      </c>
      <c r="G49" s="1647">
        <f>'Part I-Project Information'!G38</f>
        <v>0</v>
      </c>
      <c r="H49" s="1647">
        <f>'Part I-Project Information'!H38</f>
        <v>0</v>
      </c>
      <c r="I49" s="1661" t="s">
        <v>4488</v>
      </c>
      <c r="J49" s="2115">
        <f>'Part I-Project Information'!J38</f>
        <v>310614053</v>
      </c>
      <c r="K49" s="2115">
        <f>'Part I-Project Information'!K38</f>
        <v>0</v>
      </c>
      <c r="L49" s="1628" t="str">
        <f>IF(AND(NOT(F45=""),NOT(F49="Select from list"),J49=""),"Enter Zip!","")</f>
        <v/>
      </c>
      <c r="M49" s="1662" t="s">
        <v>2905</v>
      </c>
      <c r="N49" s="1647"/>
      <c r="O49" s="2119" t="str">
        <f>'Part I-Project Information'!O38</f>
        <v>9707</v>
      </c>
      <c r="P49" s="2120">
        <f>'Part I-Project Information'!P38</f>
        <v>0</v>
      </c>
    </row>
    <row r="50" spans="1:16">
      <c r="A50" s="1645"/>
      <c r="B50" s="1647" t="s">
        <v>3568</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Baldwin</v>
      </c>
      <c r="K50" s="2023">
        <f>'Part I-Project Information'!K39</f>
        <v>0</v>
      </c>
      <c r="L50" s="1647"/>
      <c r="M50" s="1654" t="s">
        <v>451</v>
      </c>
      <c r="N50" s="1664" t="str">
        <f>'Part I-Project Information'!N39</f>
        <v>Yes</v>
      </c>
      <c r="O50" s="1651" t="s">
        <v>452</v>
      </c>
      <c r="P50" s="1664" t="str">
        <f>'Part I-Project Information'!P39</f>
        <v>Yes</v>
      </c>
    </row>
    <row r="51" spans="1:16">
      <c r="A51" s="1645"/>
      <c r="B51" s="1628"/>
      <c r="C51" s="1647" t="s">
        <v>1558</v>
      </c>
      <c r="D51" s="1647"/>
      <c r="E51" s="1647"/>
      <c r="F51" s="1654" t="str">
        <f>'Part I-Project Information'!F40</f>
        <v>Yes</v>
      </c>
      <c r="G51" s="1647" t="s">
        <v>2780</v>
      </c>
      <c r="H51" s="1647"/>
      <c r="I51" s="1651" t="str">
        <f>'Part I-Project Information'!I40</f>
        <v>Yes</v>
      </c>
      <c r="J51" s="1651" t="s">
        <v>2800</v>
      </c>
      <c r="K51" s="1651" t="str">
        <f>'Part I-Project Information'!K40</f>
        <v>Rural</v>
      </c>
      <c r="L51" s="1647"/>
      <c r="M51" s="1654" t="s">
        <v>2610</v>
      </c>
      <c r="N51" s="1645" t="str">
        <f>'Part I-Project Information'!N40</f>
        <v>Non-MSA</v>
      </c>
      <c r="O51" s="1647" t="str">
        <f>'Part I-Project Information'!O40</f>
        <v>Baldwin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4489</v>
      </c>
      <c r="D53" s="1647"/>
      <c r="E53" s="1647"/>
      <c r="F53" s="1665" t="s">
        <v>2761</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10</v>
      </c>
      <c r="G54" s="2121">
        <f>'Part I-Project Information'!G43</f>
        <v>0</v>
      </c>
      <c r="H54" s="2121">
        <f>'Part I-Project Information'!H43</f>
        <v>25</v>
      </c>
      <c r="I54" s="2121">
        <f>'Part I-Project Information'!I43</f>
        <v>0</v>
      </c>
      <c r="J54" s="2121">
        <f>'Part I-Project Information'!J43</f>
        <v>145</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Baldwin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www.baldwincountyga.com</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Emily C. Davis</v>
      </c>
      <c r="G58" s="1779">
        <f>'Part I-Project Information'!G47</f>
        <v>0</v>
      </c>
      <c r="H58" s="1779">
        <f>'Part I-Project Information'!H47</f>
        <v>0</v>
      </c>
      <c r="I58" s="1651" t="s">
        <v>1980</v>
      </c>
      <c r="J58" s="1647" t="str">
        <f>'Part I-Project Information'!J47</f>
        <v>District 1 Commissioner</v>
      </c>
      <c r="K58" s="1647">
        <f>'Part I-Project Information'!K47</f>
        <v>0</v>
      </c>
      <c r="L58" s="1669"/>
      <c r="M58" s="1647"/>
      <c r="N58" s="1647"/>
      <c r="O58" s="1647"/>
      <c r="P58" s="1647"/>
    </row>
    <row r="59" spans="1:16">
      <c r="A59" s="1645"/>
      <c r="B59" s="1647" t="s">
        <v>1981</v>
      </c>
      <c r="C59" s="1647"/>
      <c r="D59" s="1647"/>
      <c r="E59" s="1647"/>
      <c r="F59" s="1779" t="str">
        <f>'Part I-Project Information'!F48</f>
        <v>121 N. Wilkinson Street, Suite 314</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Milledgeville</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310613376</v>
      </c>
      <c r="G60" s="2115">
        <f>'Part I-Project Information'!G49</f>
        <v>0</v>
      </c>
      <c r="H60" s="1651" t="s">
        <v>1982</v>
      </c>
      <c r="I60" s="2116">
        <f>'Part I-Project Information'!I49</f>
        <v>4784517105</v>
      </c>
      <c r="J60" s="2116">
        <f>'Part I-Project Information'!J49</f>
        <v>0</v>
      </c>
      <c r="K60" s="2116">
        <f>'Part I-Project Information'!K49</f>
        <v>0</v>
      </c>
      <c r="L60" s="1654" t="s">
        <v>1800</v>
      </c>
      <c r="M60" s="1779" t="str">
        <f>'Part I-Project Information'!M49</f>
        <v>ecdavis@baldwincountyga.com</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4492</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0</v>
      </c>
      <c r="I66" s="1653"/>
      <c r="J66" s="1653"/>
      <c r="K66" s="1654" t="s">
        <v>3673</v>
      </c>
      <c r="L66" s="1647"/>
      <c r="M66" s="1673" t="s">
        <v>3672</v>
      </c>
      <c r="N66" s="1672">
        <f>'Part VI-Revenues &amp; Expenses'!$O$110</f>
        <v>0</v>
      </c>
      <c r="O66" s="1674" t="s">
        <v>3356</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76</v>
      </c>
      <c r="I68" s="1676" t="s">
        <v>2909</v>
      </c>
      <c r="J68" s="1647"/>
      <c r="K68" s="1647" t="s">
        <v>348</v>
      </c>
      <c r="L68" s="1647"/>
      <c r="M68" s="1647"/>
      <c r="N68" s="1647"/>
      <c r="O68" s="1647"/>
      <c r="P68" s="2122">
        <f>'Part I-Project Information'!P56</f>
        <v>27196</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76</v>
      </c>
      <c r="J73" s="1645"/>
      <c r="K73" s="1653" t="s">
        <v>2772</v>
      </c>
      <c r="L73" s="1647"/>
      <c r="M73" s="1647"/>
      <c r="N73" s="1647"/>
      <c r="O73" s="1647"/>
      <c r="P73" s="1681">
        <f>'Part VI-Revenues &amp; Expenses'!$O$152</f>
        <v>64272</v>
      </c>
    </row>
    <row r="74" spans="1:16">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76</v>
      </c>
      <c r="J75" s="1647"/>
      <c r="K75" s="1653" t="s">
        <v>2774</v>
      </c>
      <c r="L75" s="1647"/>
      <c r="M75" s="1647"/>
      <c r="N75" s="1647"/>
      <c r="O75" s="1647"/>
      <c r="P75" s="1681">
        <f>P73+P74</f>
        <v>64272</v>
      </c>
    </row>
    <row r="76" spans="1:16">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64272</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10</v>
      </c>
      <c r="I81" s="1647"/>
      <c r="J81" s="1647"/>
      <c r="K81" s="1653" t="s">
        <v>4062</v>
      </c>
      <c r="L81" s="1647"/>
      <c r="M81" s="1647"/>
      <c r="N81" s="1647"/>
      <c r="O81" s="1647"/>
      <c r="P81" s="1681">
        <f>'Part I-Project Information'!P74</f>
        <v>1230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65502</v>
      </c>
    </row>
    <row r="83" spans="1:16">
      <c r="A83" s="1645"/>
      <c r="B83" s="1645"/>
      <c r="C83" s="1647"/>
      <c r="D83" s="1680" t="s">
        <v>1998</v>
      </c>
      <c r="E83" s="1647"/>
      <c r="F83" s="1647"/>
      <c r="G83" s="1647"/>
      <c r="H83" s="1681">
        <f>+H81+H82</f>
        <v>10</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2842</v>
      </c>
      <c r="D85" s="1647"/>
      <c r="E85" s="1647"/>
      <c r="F85" s="1647"/>
      <c r="G85" s="1647"/>
      <c r="H85" s="1681">
        <f>'Part I-Project Information'!H78</f>
        <v>121</v>
      </c>
      <c r="I85" s="1647"/>
      <c r="J85" s="1647"/>
      <c r="K85" s="1682" t="s">
        <v>3855</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4493</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3875</v>
      </c>
      <c r="I91" s="1682"/>
      <c r="J91" s="1647"/>
      <c r="K91" s="1685" t="s">
        <v>2910</v>
      </c>
      <c r="L91" s="1681">
        <f>'Part I-Project Information'!M84</f>
        <v>76</v>
      </c>
      <c r="M91" s="1685" t="s">
        <v>2911</v>
      </c>
      <c r="N91" s="1681">
        <f>'Part I-Project Information'!O84</f>
        <v>0</v>
      </c>
      <c r="O91" s="1647"/>
      <c r="P91" s="1657" t="s">
        <v>3877</v>
      </c>
    </row>
    <row r="92" spans="1:16">
      <c r="A92" s="1645"/>
      <c r="B92" s="1645"/>
      <c r="C92" s="1647"/>
      <c r="D92" s="1654"/>
      <c r="E92" s="1684"/>
      <c r="F92" s="1647"/>
      <c r="G92" s="1647"/>
      <c r="H92" s="1682"/>
      <c r="I92" s="1682"/>
      <c r="J92" s="1647"/>
      <c r="K92" s="1657" t="s">
        <v>2912</v>
      </c>
      <c r="L92" s="1681">
        <f>'Part I-Project Information'!M85</f>
        <v>0</v>
      </c>
      <c r="M92" s="1657" t="s">
        <v>3876</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4</v>
      </c>
      <c r="I94" s="1647"/>
      <c r="J94" s="1647"/>
      <c r="K94" s="1647" t="s">
        <v>520</v>
      </c>
      <c r="L94" s="1647"/>
      <c r="M94" s="1647"/>
      <c r="N94" s="1686">
        <f>IF('Part VI-Revenues &amp; Expenses'!$O$67=0,0,H94/'Part VI-Revenues &amp; Expenses'!$O$67)</f>
        <v>5.2631578947368418E-2</v>
      </c>
      <c r="O94" s="1657" t="s">
        <v>3695</v>
      </c>
      <c r="P94" s="1687">
        <f>'DCA Underwriting Assumptions'!$Q$139</f>
        <v>0.05</v>
      </c>
    </row>
    <row r="95" spans="1:16">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2707</v>
      </c>
      <c r="D107" s="1647"/>
      <c r="E107" s="1647"/>
      <c r="F107" s="1665" t="s">
        <v>2599</v>
      </c>
      <c r="G107" s="1647"/>
      <c r="H107" s="1651" t="str">
        <f>'Part I-Project Information'!H100</f>
        <v>No</v>
      </c>
      <c r="I107" s="1647"/>
      <c r="J107" s="1647"/>
      <c r="K107" s="1665" t="s">
        <v>3900</v>
      </c>
      <c r="L107" s="1651" t="str">
        <f>'Part I-Project Information'!H101</f>
        <v>Yes</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2708</v>
      </c>
      <c r="D109" s="1647"/>
      <c r="E109" s="1647"/>
      <c r="F109" s="1654" t="s">
        <v>2678</v>
      </c>
      <c r="G109" s="1647"/>
      <c r="H109" s="1651" t="str">
        <f>'Part I-Project Information'!H103</f>
        <v>No</v>
      </c>
      <c r="I109" s="1689" t="s">
        <v>2709</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Milledgeville and Sparta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43948</v>
      </c>
      <c r="P115" s="2123">
        <f>'Part I-Project Information'!P109</f>
        <v>0</v>
      </c>
    </row>
    <row r="116" spans="1:16">
      <c r="A116" s="1647"/>
      <c r="B116" s="1647"/>
      <c r="C116" s="1654" t="s">
        <v>1021</v>
      </c>
      <c r="D116" s="1657"/>
      <c r="E116" s="1647" t="str">
        <f>'Part I-Project Information'!E110</f>
        <v>545 West Martin Luther King Jr. Dr.</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Milledgeville</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13000000</v>
      </c>
      <c r="P117" s="1766">
        <f>'Part I-Project Information'!P111</f>
        <v>0</v>
      </c>
    </row>
    <row r="118" spans="1:16">
      <c r="A118" s="1647"/>
      <c r="B118" s="1647"/>
      <c r="C118" s="1647" t="s">
        <v>2194</v>
      </c>
      <c r="D118" s="1647"/>
      <c r="E118" s="1647" t="str">
        <f>'Part I-Project Information'!E112</f>
        <v>John Corcoran</v>
      </c>
      <c r="F118" s="1665">
        <f>'Part I-Project Information'!F112</f>
        <v>0</v>
      </c>
      <c r="G118" s="1665">
        <f>'Part I-Project Information'!G112</f>
        <v>0</v>
      </c>
      <c r="H118" s="1651" t="s">
        <v>1980</v>
      </c>
      <c r="I118" s="1647" t="str">
        <f>'Part I-Project Information'!I112</f>
        <v>Interim Executive Director</v>
      </c>
      <c r="J118" s="1665">
        <f>'Part I-Project Information'!J112</f>
        <v>0</v>
      </c>
      <c r="K118" s="1665">
        <f>'Part I-Project Information'!K112</f>
        <v>0</v>
      </c>
      <c r="L118" s="1651" t="s">
        <v>1984</v>
      </c>
      <c r="M118" s="1647" t="str">
        <f>'Part I-Project Information'!M112</f>
        <v>jcorcoran@mhahomes.org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4784452880</v>
      </c>
      <c r="F119" s="2116">
        <f>'Part I-Project Information'!F113</f>
        <v>0</v>
      </c>
      <c r="G119" s="2116">
        <f>'Part I-Project Information'!G113</f>
        <v>0</v>
      </c>
      <c r="H119" s="1651" t="s">
        <v>1802</v>
      </c>
      <c r="I119" s="2116">
        <f>'Part I-Project Information'!I113</f>
        <v>4784452880</v>
      </c>
      <c r="J119" s="1665">
        <f>'Part I-Project Information'!J113</f>
        <v>0</v>
      </c>
      <c r="K119" s="1651" t="s">
        <v>2703</v>
      </c>
      <c r="L119" s="2023" t="str">
        <f>'Part I-Project Information'!L113</f>
        <v>www.mhahomes.org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999607</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t="str">
        <f>'Part I-Project Information'!C125</f>
        <v>Housing Authority of DeKalb County</v>
      </c>
      <c r="D131" s="1710">
        <f>'Part I-Project Information'!D125</f>
        <v>0</v>
      </c>
      <c r="E131" s="1710">
        <f>'Part I-Project Information'!E125</f>
        <v>0</v>
      </c>
      <c r="F131" s="1710" t="str">
        <f>'Part I-Project Information'!F125</f>
        <v>Veranda at Assembly</v>
      </c>
      <c r="G131" s="1710">
        <f>'Part I-Project Information'!G125</f>
        <v>0</v>
      </c>
      <c r="H131" s="1710">
        <f>'Part I-Project Information'!H125</f>
        <v>0</v>
      </c>
      <c r="I131" s="1710" t="str">
        <f>'Part I-Project Information'!I125</f>
        <v>Indirect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2417</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2419</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2420</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2418</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2489</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2700</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t="str">
        <f>'Part I-Project Information'!I152</f>
        <v>Yes</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2701</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2702</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2752</v>
      </c>
      <c r="K180" s="1647"/>
      <c r="L180" s="1665" t="s">
        <v>4496</v>
      </c>
      <c r="M180" s="1665"/>
      <c r="N180" s="1684"/>
      <c r="O180" s="1684"/>
      <c r="P180" s="1681">
        <f>'Part I-Project Information'!P176</f>
        <v>76</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73</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0.96052631578947367</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Yes</v>
      </c>
      <c r="J185" s="1647"/>
      <c r="K185" s="1647"/>
      <c r="L185" s="1647" t="s">
        <v>2845</v>
      </c>
      <c r="M185" s="1647"/>
      <c r="N185" s="1647"/>
      <c r="O185" s="1647"/>
      <c r="P185" s="1661" t="str">
        <f>'Part I-Project Information'!P181</f>
        <v>No</v>
      </c>
    </row>
    <row r="186" spans="1:16" ht="13.5">
      <c r="A186" s="1645"/>
      <c r="B186" s="1647"/>
      <c r="C186" s="1647" t="s">
        <v>2721</v>
      </c>
      <c r="D186" s="1647"/>
      <c r="E186" s="1647"/>
      <c r="F186" s="1647"/>
      <c r="G186" s="1647"/>
      <c r="H186" s="1647"/>
      <c r="I186" s="1661" t="str">
        <f>'Part I-Project Information'!I182</f>
        <v>No</v>
      </c>
      <c r="J186" s="1647"/>
      <c r="K186" s="1647"/>
      <c r="L186" s="1647" t="s">
        <v>2689</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44105</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44197</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2781</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GP entity name has been changed from HDC Milledgveville Manor GP, LLC to HDC Enclave at Milledgeville GP, LLC. A second GP, HADC Enclave at Milledgeville GP, LLC (affiliated with the Housing Authority of DeKalb County), has been added in the org structure. Certifying for both GP entities is E. P. Walker, Jr. Revised Perf. WB has been included under folder 19 Qualification.</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Enclave at Milledgeville,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HDC Milledgeville Manor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 xml:space="preserve">E. P. Walker, Jr. </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750 Commerce Dr., Suite 110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President &amp; CEO</v>
      </c>
      <c r="R209" s="1647">
        <f>'Part II-Development Team'!R6</f>
        <v>0</v>
      </c>
      <c r="S209" s="1647">
        <f>'Part II-Development Team'!S6</f>
        <v>0</v>
      </c>
    </row>
    <row r="210" spans="1:19">
      <c r="A210" s="1647"/>
      <c r="B210" s="1647"/>
      <c r="C210" s="1647"/>
      <c r="D210" s="1699"/>
      <c r="E210" s="1654" t="s">
        <v>618</v>
      </c>
      <c r="F210" s="1647"/>
      <c r="G210" s="1647"/>
      <c r="H210" s="1647" t="str">
        <f>'Part II-Development Team'!H7</f>
        <v>Decatur</v>
      </c>
      <c r="I210" s="1647">
        <f>'Part II-Development Team'!I7</f>
        <v>0</v>
      </c>
      <c r="J210" s="1647">
        <f>'Part II-Development Team'!J7</f>
        <v>0</v>
      </c>
      <c r="K210" s="1651" t="s">
        <v>762</v>
      </c>
      <c r="L210" s="1647" t="str">
        <f>'Part II-Development Team'!L7</f>
        <v>85-0526911</v>
      </c>
      <c r="M210" s="1647">
        <f>'Part II-Development Team'!M7</f>
        <v>0</v>
      </c>
      <c r="N210" s="1647">
        <f>'Part II-Development Team'!N7</f>
        <v>0</v>
      </c>
      <c r="O210" s="1654" t="s">
        <v>1721</v>
      </c>
      <c r="P210" s="1647"/>
      <c r="Q210" s="2116">
        <f>'Part II-Development Team'!Q7</f>
        <v>4042702503</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GA</v>
      </c>
      <c r="I211" s="1651" t="s">
        <v>2229</v>
      </c>
      <c r="J211" s="2115">
        <f>'Part II-Development Team'!J8</f>
        <v>300302612</v>
      </c>
      <c r="K211" s="2115">
        <f>'Part II-Development Team'!K8</f>
        <v>0</v>
      </c>
      <c r="L211" s="1647" t="s">
        <v>3687</v>
      </c>
      <c r="M211" s="1647" t="str">
        <f>'Part II-Development Team'!M8</f>
        <v>For Profit</v>
      </c>
      <c r="N211" s="1647">
        <f>'Part II-Development Team'!N8</f>
        <v>0</v>
      </c>
      <c r="O211" s="1654" t="s">
        <v>1979</v>
      </c>
      <c r="P211" s="1647"/>
      <c r="Q211" s="2116">
        <f>'Part II-Development Team'!Q8</f>
        <v>4042702633</v>
      </c>
      <c r="R211" s="2116">
        <f>'Part II-Development Team'!R8</f>
        <v>0</v>
      </c>
      <c r="S211" s="2116">
        <f>'Part II-Development Team'!S8</f>
        <v>0</v>
      </c>
    </row>
    <row r="212" spans="1:19">
      <c r="A212" s="1647"/>
      <c r="B212" s="1647"/>
      <c r="C212" s="1647"/>
      <c r="D212" s="1699"/>
      <c r="E212" s="1654" t="s">
        <v>4259</v>
      </c>
      <c r="F212" s="1647"/>
      <c r="G212" s="1647"/>
      <c r="H212" s="2116">
        <f>'Part II-Development Team'!H9</f>
        <v>4704408610</v>
      </c>
      <c r="I212" s="2116">
        <f>'Part II-Development Team'!I9</f>
        <v>0</v>
      </c>
      <c r="J212" s="1661">
        <f>'Part II-Development Team'!J9</f>
        <v>0</v>
      </c>
      <c r="K212" s="1651" t="s">
        <v>1984</v>
      </c>
      <c r="L212" s="2023" t="str">
        <f>'Part II-Development Team'!L9</f>
        <v>pete.walker@dekalbhousing.org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HDC Enclave at Milledgeville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E. P. Walker, Jr.</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750 Commerce Dr., Suite 110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President &amp; CEO</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Decatur</v>
      </c>
      <c r="I219" s="1647">
        <f>'Part II-Development Team'!I16</f>
        <v>0</v>
      </c>
      <c r="J219" s="1647">
        <f>'Part II-Development Team'!J16</f>
        <v>0</v>
      </c>
      <c r="K219" s="1651" t="s">
        <v>2703</v>
      </c>
      <c r="L219" s="1647" t="str">
        <f>'Part II-Development Team'!L16</f>
        <v>N/A</v>
      </c>
      <c r="M219" s="1647">
        <f>'Part II-Development Team'!M16</f>
        <v>0</v>
      </c>
      <c r="N219" s="1647">
        <f>'Part II-Development Team'!N16</f>
        <v>0</v>
      </c>
      <c r="O219" s="1654" t="s">
        <v>1721</v>
      </c>
      <c r="P219" s="1647"/>
      <c r="Q219" s="2116">
        <f>'Part II-Development Team'!Q16</f>
        <v>4042702503</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GA</v>
      </c>
      <c r="I220" s="1647"/>
      <c r="J220" s="1647"/>
      <c r="K220" s="1651" t="s">
        <v>2229</v>
      </c>
      <c r="L220" s="2115">
        <f>'Part II-Development Team'!L17</f>
        <v>300302612</v>
      </c>
      <c r="M220" s="2115">
        <f>'Part II-Development Team'!M17</f>
        <v>0</v>
      </c>
      <c r="N220" s="1647"/>
      <c r="O220" s="1654" t="s">
        <v>1979</v>
      </c>
      <c r="P220" s="1647"/>
      <c r="Q220" s="2116">
        <f>'Part II-Development Team'!Q17</f>
        <v>4042702633</v>
      </c>
      <c r="R220" s="2116">
        <f>'Part II-Development Team'!R17</f>
        <v>0</v>
      </c>
      <c r="S220" s="2116">
        <f>'Part II-Development Team'!S17</f>
        <v>0</v>
      </c>
    </row>
    <row r="221" spans="1:19">
      <c r="A221" s="1647"/>
      <c r="B221" s="1647"/>
      <c r="C221" s="1647"/>
      <c r="D221" s="1699"/>
      <c r="E221" s="1654" t="s">
        <v>4259</v>
      </c>
      <c r="F221" s="1647"/>
      <c r="G221" s="1647"/>
      <c r="H221" s="2116">
        <f>'Part II-Development Team'!H18</f>
        <v>4704408610</v>
      </c>
      <c r="I221" s="2116">
        <f>'Part II-Development Team'!I18</f>
        <v>0</v>
      </c>
      <c r="J221" s="1661">
        <f>'Part II-Development Team'!J18</f>
        <v>0</v>
      </c>
      <c r="K221" s="1651" t="s">
        <v>1984</v>
      </c>
      <c r="L221" s="2023" t="str">
        <f>'Part II-Development Team'!L18</f>
        <v>pete.walker@dekalbhousing.org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t="str">
        <f>'Part II-Development Team'!Q20</f>
        <v>E. P. Walker, Jr.</v>
      </c>
      <c r="R223" s="1647">
        <f>'Part II-Development Team'!R20</f>
        <v>0</v>
      </c>
      <c r="S223" s="1647">
        <f>'Part II-Development Team'!S20</f>
        <v>0</v>
      </c>
    </row>
    <row r="224" spans="1:19">
      <c r="A224" s="1647"/>
      <c r="B224" s="1647"/>
      <c r="C224" s="1647"/>
      <c r="D224" s="1699"/>
      <c r="E224" s="1654" t="s">
        <v>1021</v>
      </c>
      <c r="F224" s="1657"/>
      <c r="G224" s="1647"/>
      <c r="H224" s="1647" t="str">
        <f>'Part II-Development Team'!H21</f>
        <v>750 Commerce Dr., Suite 110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t="str">
        <f>'Part II-Development Team'!Q21</f>
        <v>Presdient &amp; CEO</v>
      </c>
      <c r="R224" s="1647">
        <f>'Part II-Development Team'!R21</f>
        <v>0</v>
      </c>
      <c r="S224" s="1647">
        <f>'Part II-Development Team'!S21</f>
        <v>0</v>
      </c>
    </row>
    <row r="225" spans="1:19">
      <c r="A225" s="1647"/>
      <c r="B225" s="1647"/>
      <c r="C225" s="1647"/>
      <c r="D225" s="1699"/>
      <c r="E225" s="1654" t="s">
        <v>618</v>
      </c>
      <c r="F225" s="1647"/>
      <c r="G225" s="1647"/>
      <c r="H225" s="1647" t="str">
        <f>'Part II-Development Team'!H22</f>
        <v>Decatur</v>
      </c>
      <c r="I225" s="1647">
        <f>'Part II-Development Team'!I22</f>
        <v>0</v>
      </c>
      <c r="J225" s="1647">
        <f>'Part II-Development Team'!J22</f>
        <v>0</v>
      </c>
      <c r="K225" s="1651" t="s">
        <v>2703</v>
      </c>
      <c r="L225" s="1647" t="str">
        <f>'Part II-Development Team'!L22</f>
        <v>N/A</v>
      </c>
      <c r="M225" s="1647">
        <f>'Part II-Development Team'!M22</f>
        <v>0</v>
      </c>
      <c r="N225" s="1647">
        <f>'Part II-Development Team'!N22</f>
        <v>0</v>
      </c>
      <c r="O225" s="1654" t="s">
        <v>1721</v>
      </c>
      <c r="P225" s="1647"/>
      <c r="Q225" s="2116">
        <f>'Part II-Development Team'!Q22</f>
        <v>4042702503</v>
      </c>
      <c r="R225" s="2116">
        <f>'Part II-Development Team'!R22</f>
        <v>0</v>
      </c>
      <c r="S225" s="2116">
        <f>'Part II-Development Team'!S22</f>
        <v>0</v>
      </c>
    </row>
    <row r="226" spans="1:19">
      <c r="A226" s="1647"/>
      <c r="B226" s="1647"/>
      <c r="C226" s="1647"/>
      <c r="D226" s="1647"/>
      <c r="E226" s="1654" t="s">
        <v>1799</v>
      </c>
      <c r="F226" s="1647"/>
      <c r="G226" s="1647"/>
      <c r="H226" s="1654" t="str">
        <f>'Part II-Development Team'!H23</f>
        <v>GA</v>
      </c>
      <c r="I226" s="1647"/>
      <c r="J226" s="1647"/>
      <c r="K226" s="1651" t="s">
        <v>2229</v>
      </c>
      <c r="L226" s="2115">
        <f>'Part II-Development Team'!L23</f>
        <v>300302612</v>
      </c>
      <c r="M226" s="2115">
        <f>'Part II-Development Team'!M23</f>
        <v>0</v>
      </c>
      <c r="N226" s="1647"/>
      <c r="O226" s="1654" t="s">
        <v>1979</v>
      </c>
      <c r="P226" s="1647"/>
      <c r="Q226" s="2116">
        <f>'Part II-Development Team'!Q23</f>
        <v>4042702633</v>
      </c>
      <c r="R226" s="2116">
        <f>'Part II-Development Team'!R23</f>
        <v>0</v>
      </c>
      <c r="S226" s="2116">
        <f>'Part II-Development Team'!S23</f>
        <v>0</v>
      </c>
    </row>
    <row r="227" spans="1:19">
      <c r="A227" s="1647"/>
      <c r="B227" s="1647"/>
      <c r="C227" s="1647"/>
      <c r="D227" s="1699"/>
      <c r="E227" s="1654" t="s">
        <v>4259</v>
      </c>
      <c r="F227" s="1647"/>
      <c r="G227" s="1647"/>
      <c r="H227" s="2116">
        <f>'Part II-Development Team'!H24</f>
        <v>4704408610</v>
      </c>
      <c r="I227" s="2116">
        <f>'Part II-Development Team'!I24</f>
        <v>0</v>
      </c>
      <c r="J227" s="1661">
        <f>'Part II-Development Team'!J24</f>
        <v>0</v>
      </c>
      <c r="K227" s="1651" t="s">
        <v>1984</v>
      </c>
      <c r="L227" s="2023" t="str">
        <f>'Part II-Development Team'!L24</f>
        <v>pete.walker@dekalbhousing.org</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2703</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RBC Capital Markets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Brian Flanagan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4720 Piedmont Row Drive, Suite 240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Director - Acquisitions</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Charlotte</v>
      </c>
      <c r="I238" s="1647">
        <f>'Part II-Development Team'!I35</f>
        <v>0</v>
      </c>
      <c r="J238" s="1647">
        <f>'Part II-Development Team'!J35</f>
        <v>0</v>
      </c>
      <c r="K238" s="1651" t="s">
        <v>2703</v>
      </c>
      <c r="L238" s="1647" t="str">
        <f>'Part II-Development Team'!L35</f>
        <v>www.rbccm.com</v>
      </c>
      <c r="M238" s="1647">
        <f>'Part II-Development Team'!M35</f>
        <v>0</v>
      </c>
      <c r="N238" s="1647">
        <f>'Part II-Development Team'!N35</f>
        <v>0</v>
      </c>
      <c r="O238" s="1654" t="s">
        <v>1721</v>
      </c>
      <c r="P238" s="1647"/>
      <c r="Q238" s="2116">
        <f>'Part II-Development Team'!Q35</f>
        <v>9802336462</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NC</v>
      </c>
      <c r="I239" s="1647"/>
      <c r="J239" s="1647"/>
      <c r="K239" s="1651" t="s">
        <v>2229</v>
      </c>
      <c r="L239" s="2115">
        <f>'Part II-Development Team'!L36</f>
        <v>282104272</v>
      </c>
      <c r="M239" s="2115">
        <f>'Part II-Development Team'!M36</f>
        <v>0</v>
      </c>
      <c r="N239" s="1647"/>
      <c r="O239" s="1654" t="s">
        <v>1979</v>
      </c>
      <c r="P239" s="1647"/>
      <c r="Q239" s="2116">
        <f>'Part II-Development Team'!Q36</f>
        <v>7044918511</v>
      </c>
      <c r="R239" s="2116">
        <f>'Part II-Development Team'!R36</f>
        <v>0</v>
      </c>
      <c r="S239" s="2116">
        <f>'Part II-Development Team'!S36</f>
        <v>0</v>
      </c>
    </row>
    <row r="240" spans="1:19">
      <c r="A240" s="1647"/>
      <c r="B240" s="1647"/>
      <c r="C240" s="1647"/>
      <c r="D240" s="1699"/>
      <c r="E240" s="1654" t="s">
        <v>4259</v>
      </c>
      <c r="F240" s="1647"/>
      <c r="G240" s="1647"/>
      <c r="H240" s="2116">
        <f>'Part II-Development Team'!H37</f>
        <v>9802336500</v>
      </c>
      <c r="I240" s="2116">
        <f>'Part II-Development Team'!I37</f>
        <v>0</v>
      </c>
      <c r="J240" s="1661">
        <f>'Part II-Development Team'!J37</f>
        <v>0</v>
      </c>
      <c r="K240" s="1651" t="s">
        <v>1984</v>
      </c>
      <c r="L240" s="2023" t="str">
        <f>'Part II-Development Team'!L37</f>
        <v>brian.flanagan@rbc.com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RBC Capital Markets</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Brian Flanagan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4720 Piedmont Row Drive, Suite 240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Director - Acquisitions</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Charlotte</v>
      </c>
      <c r="I244" s="1647">
        <f>'Part II-Development Team'!I41</f>
        <v>0</v>
      </c>
      <c r="J244" s="1647">
        <f>'Part II-Development Team'!J41</f>
        <v>0</v>
      </c>
      <c r="K244" s="1651" t="s">
        <v>2703</v>
      </c>
      <c r="L244" s="1647" t="str">
        <f>'Part II-Development Team'!L41</f>
        <v>www.rbccm.com</v>
      </c>
      <c r="M244" s="1647">
        <f>'Part II-Development Team'!M41</f>
        <v>0</v>
      </c>
      <c r="N244" s="1647">
        <f>'Part II-Development Team'!N41</f>
        <v>0</v>
      </c>
      <c r="O244" s="1654" t="s">
        <v>1721</v>
      </c>
      <c r="P244" s="1647"/>
      <c r="Q244" s="2116">
        <f>'Part II-Development Team'!Q41</f>
        <v>9802336462</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NC</v>
      </c>
      <c r="I245" s="1647"/>
      <c r="J245" s="1647"/>
      <c r="K245" s="1651" t="s">
        <v>2229</v>
      </c>
      <c r="L245" s="2115">
        <f>'Part II-Development Team'!L42</f>
        <v>282104272</v>
      </c>
      <c r="M245" s="2115">
        <f>'Part II-Development Team'!M42</f>
        <v>0</v>
      </c>
      <c r="N245" s="1647"/>
      <c r="O245" s="1654" t="s">
        <v>1979</v>
      </c>
      <c r="P245" s="1647"/>
      <c r="Q245" s="2116">
        <f>'Part II-Development Team'!Q42</f>
        <v>7044918511</v>
      </c>
      <c r="R245" s="2116">
        <f>'Part II-Development Team'!R42</f>
        <v>0</v>
      </c>
      <c r="S245" s="2116">
        <f>'Part II-Development Team'!S42</f>
        <v>0</v>
      </c>
    </row>
    <row r="246" spans="1:19">
      <c r="A246" s="1647"/>
      <c r="B246" s="1647"/>
      <c r="C246" s="1647"/>
      <c r="D246" s="1699"/>
      <c r="E246" s="1654" t="s">
        <v>4259</v>
      </c>
      <c r="F246" s="1647"/>
      <c r="G246" s="1647"/>
      <c r="H246" s="2116">
        <f>'Part II-Development Team'!H43</f>
        <v>9802336500</v>
      </c>
      <c r="I246" s="2116">
        <f>'Part II-Development Team'!I43</f>
        <v>0</v>
      </c>
      <c r="J246" s="1661">
        <f>'Part II-Development Team'!J43</f>
        <v>0</v>
      </c>
      <c r="K246" s="1651" t="s">
        <v>1984</v>
      </c>
      <c r="L246" s="2023" t="str">
        <f>'Part II-Development Team'!L43</f>
        <v>brian.flanagan@rbc.com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2533</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t="str">
        <f>'Part II-Development Team'!H46</f>
        <v>Housing Development Corporation</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t="str">
        <f>'Part II-Development Team'!Q46</f>
        <v>E. P. Walker, Jr.</v>
      </c>
      <c r="R249" s="1647">
        <f>'Part II-Development Team'!R46</f>
        <v>0</v>
      </c>
      <c r="S249" s="1647">
        <f>'Part II-Development Team'!S46</f>
        <v>0</v>
      </c>
    </row>
    <row r="250" spans="1:19">
      <c r="A250" s="1647"/>
      <c r="B250" s="1647"/>
      <c r="C250" s="1647"/>
      <c r="D250" s="1699"/>
      <c r="E250" s="1654" t="s">
        <v>1021</v>
      </c>
      <c r="F250" s="1657"/>
      <c r="G250" s="1647"/>
      <c r="H250" s="1647" t="str">
        <f>'Part II-Development Team'!H47</f>
        <v>750 Commerce Dr., Suite 110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t="str">
        <f>'Part II-Development Team'!Q47</f>
        <v>President &amp; CEO</v>
      </c>
      <c r="R250" s="1647">
        <f>'Part II-Development Team'!R47</f>
        <v>0</v>
      </c>
      <c r="S250" s="1647">
        <f>'Part II-Development Team'!S47</f>
        <v>0</v>
      </c>
    </row>
    <row r="251" spans="1:19">
      <c r="A251" s="1647"/>
      <c r="B251" s="1647"/>
      <c r="C251" s="1647"/>
      <c r="D251" s="1699"/>
      <c r="E251" s="1654" t="s">
        <v>618</v>
      </c>
      <c r="F251" s="1647"/>
      <c r="G251" s="1647"/>
      <c r="H251" s="1647" t="str">
        <f>'Part II-Development Team'!H48</f>
        <v>Decatur</v>
      </c>
      <c r="I251" s="1647">
        <f>'Part II-Development Team'!I48</f>
        <v>0</v>
      </c>
      <c r="J251" s="1647">
        <f>'Part II-Development Team'!J48</f>
        <v>0</v>
      </c>
      <c r="K251" s="1651" t="s">
        <v>2703</v>
      </c>
      <c r="L251" s="1647" t="str">
        <f>'Part II-Development Team'!L48</f>
        <v>www.housingdevelopmentcorp.org</v>
      </c>
      <c r="M251" s="1647">
        <f>'Part II-Development Team'!M48</f>
        <v>0</v>
      </c>
      <c r="N251" s="1647">
        <f>'Part II-Development Team'!N48</f>
        <v>0</v>
      </c>
      <c r="O251" s="1654" t="s">
        <v>1721</v>
      </c>
      <c r="P251" s="1647"/>
      <c r="Q251" s="2116">
        <f>'Part II-Development Team'!Q48</f>
        <v>4042702503</v>
      </c>
      <c r="R251" s="2116">
        <f>'Part II-Development Team'!R48</f>
        <v>0</v>
      </c>
      <c r="S251" s="2116">
        <f>'Part II-Development Team'!S48</f>
        <v>0</v>
      </c>
    </row>
    <row r="252" spans="1:19">
      <c r="A252" s="1647"/>
      <c r="B252" s="1647"/>
      <c r="C252" s="1647"/>
      <c r="D252" s="1647"/>
      <c r="E252" s="1654" t="s">
        <v>1799</v>
      </c>
      <c r="F252" s="1647"/>
      <c r="G252" s="1647"/>
      <c r="H252" s="1654" t="str">
        <f>'Part II-Development Team'!H49</f>
        <v>GA</v>
      </c>
      <c r="I252" s="1647"/>
      <c r="J252" s="1647"/>
      <c r="K252" s="1651" t="s">
        <v>2229</v>
      </c>
      <c r="L252" s="2115">
        <f>'Part II-Development Team'!L49</f>
        <v>300302612</v>
      </c>
      <c r="M252" s="2115">
        <f>'Part II-Development Team'!M49</f>
        <v>0</v>
      </c>
      <c r="N252" s="1647"/>
      <c r="O252" s="1654" t="s">
        <v>1979</v>
      </c>
      <c r="P252" s="1647"/>
      <c r="Q252" s="2116">
        <f>'Part II-Development Team'!Q49</f>
        <v>4042702633</v>
      </c>
      <c r="R252" s="2116">
        <f>'Part II-Development Team'!R49</f>
        <v>0</v>
      </c>
      <c r="S252" s="2116">
        <f>'Part II-Development Team'!S49</f>
        <v>0</v>
      </c>
    </row>
    <row r="253" spans="1:19">
      <c r="A253" s="1647"/>
      <c r="B253" s="1647"/>
      <c r="C253" s="1647"/>
      <c r="D253" s="1699"/>
      <c r="E253" s="1654" t="s">
        <v>4259</v>
      </c>
      <c r="F253" s="1647"/>
      <c r="G253" s="1647"/>
      <c r="H253" s="2116">
        <f>'Part II-Development Team'!H50</f>
        <v>4704408610</v>
      </c>
      <c r="I253" s="2116">
        <f>'Part II-Development Team'!I50</f>
        <v>0</v>
      </c>
      <c r="J253" s="1661">
        <f>'Part II-Development Team'!J50</f>
        <v>0</v>
      </c>
      <c r="K253" s="1651" t="s">
        <v>1984</v>
      </c>
      <c r="L253" s="2023" t="str">
        <f>'Part II-Development Team'!L50</f>
        <v>pete.walker@dekalbhousing.org</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HDC Residential,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E. P. Walker, Jr.</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750 Commerce Drive, Suite 110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President &amp; CEO</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Decatur</v>
      </c>
      <c r="I259" s="1647">
        <f>'Part II-Development Team'!I56</f>
        <v>0</v>
      </c>
      <c r="J259" s="1647">
        <f>'Part II-Development Team'!J56</f>
        <v>0</v>
      </c>
      <c r="K259" s="1651" t="s">
        <v>2703</v>
      </c>
      <c r="L259" s="1647" t="str">
        <f>'Part II-Development Team'!L56</f>
        <v>N/A</v>
      </c>
      <c r="M259" s="1647">
        <f>'Part II-Development Team'!M56</f>
        <v>0</v>
      </c>
      <c r="N259" s="1647">
        <f>'Part II-Development Team'!N56</f>
        <v>0</v>
      </c>
      <c r="O259" s="1654" t="s">
        <v>1721</v>
      </c>
      <c r="P259" s="1647"/>
      <c r="Q259" s="2116">
        <f>'Part II-Development Team'!Q56</f>
        <v>4042702503</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GA</v>
      </c>
      <c r="I260" s="1647"/>
      <c r="J260" s="1647"/>
      <c r="K260" s="1651" t="s">
        <v>2229</v>
      </c>
      <c r="L260" s="2115">
        <f>'Part II-Development Team'!L57</f>
        <v>300302612</v>
      </c>
      <c r="M260" s="2115">
        <f>'Part II-Development Team'!M57</f>
        <v>0</v>
      </c>
      <c r="N260" s="1647"/>
      <c r="O260" s="1654" t="s">
        <v>1979</v>
      </c>
      <c r="P260" s="1647"/>
      <c r="Q260" s="2116">
        <f>'Part II-Development Team'!Q57</f>
        <v>4042702633</v>
      </c>
      <c r="R260" s="2116">
        <f>'Part II-Development Team'!R57</f>
        <v>0</v>
      </c>
      <c r="S260" s="2116">
        <f>'Part II-Development Team'!S57</f>
        <v>0</v>
      </c>
    </row>
    <row r="261" spans="1:19">
      <c r="A261" s="1647"/>
      <c r="B261" s="1647"/>
      <c r="C261" s="1647"/>
      <c r="D261" s="1699"/>
      <c r="E261" s="1654" t="s">
        <v>4259</v>
      </c>
      <c r="F261" s="1647"/>
      <c r="G261" s="1647"/>
      <c r="H261" s="2116">
        <f>'Part II-Development Team'!H58</f>
        <v>4704408610</v>
      </c>
      <c r="I261" s="2116">
        <f>'Part II-Development Team'!I58</f>
        <v>0</v>
      </c>
      <c r="J261" s="1661">
        <f>'Part II-Development Team'!J58</f>
        <v>0</v>
      </c>
      <c r="K261" s="1651" t="s">
        <v>1984</v>
      </c>
      <c r="L261" s="2023" t="str">
        <f>'Part II-Development Team'!L58</f>
        <v>pete.walker@dekalbhousing.org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2703</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4259</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4259</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4259</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Bluepoint Construction Southeast</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Ed Frayer</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410 Plasters Ave. NE</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Atlanta</v>
      </c>
      <c r="I291" s="1647">
        <f>'Part II-Development Team'!I88</f>
        <v>0</v>
      </c>
      <c r="J291" s="1647">
        <f>'Part II-Development Team'!J88</f>
        <v>0</v>
      </c>
      <c r="K291" s="1651" t="s">
        <v>2703</v>
      </c>
      <c r="L291" s="1647" t="str">
        <f>'Part II-Development Team'!L88</f>
        <v>bluepointse.com</v>
      </c>
      <c r="M291" s="1647">
        <f>'Part II-Development Team'!M88</f>
        <v>0</v>
      </c>
      <c r="N291" s="1647">
        <f>'Part II-Development Team'!N88</f>
        <v>0</v>
      </c>
      <c r="O291" s="1654" t="s">
        <v>1721</v>
      </c>
      <c r="P291" s="1647"/>
      <c r="Q291" s="2116">
        <f>'Part II-Development Team'!Q88</f>
        <v>4045789953</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GA</v>
      </c>
      <c r="I292" s="1647"/>
      <c r="J292" s="1647"/>
      <c r="K292" s="1651" t="s">
        <v>2229</v>
      </c>
      <c r="L292" s="2115">
        <f>'Part II-Development Team'!L89</f>
        <v>303243951</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4259</v>
      </c>
      <c r="F293" s="1647"/>
      <c r="G293" s="1647"/>
      <c r="H293" s="2116">
        <f>'Part II-Development Team'!H90</f>
        <v>4044752553</v>
      </c>
      <c r="I293" s="2116">
        <f>'Part II-Development Team'!I90</f>
        <v>0</v>
      </c>
      <c r="J293" s="1661">
        <f>'Part II-Development Team'!J90</f>
        <v>0</v>
      </c>
      <c r="K293" s="1651" t="s">
        <v>1984</v>
      </c>
      <c r="L293" s="2023" t="str">
        <f>'Part II-Development Team'!L90</f>
        <v>efrayer@bluepointse.com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HDC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John Corcoran</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750 Commerce Dr., Suite 110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Executive Vice 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Decatur</v>
      </c>
      <c r="I297" s="1647">
        <f>'Part II-Development Team'!I94</f>
        <v>0</v>
      </c>
      <c r="J297" s="1647">
        <f>'Part II-Development Team'!J94</f>
        <v>0</v>
      </c>
      <c r="K297" s="1651" t="s">
        <v>2703</v>
      </c>
      <c r="L297" s="1647" t="str">
        <f>'Part II-Development Team'!L94</f>
        <v>N/A</v>
      </c>
      <c r="M297" s="1647">
        <f>'Part II-Development Team'!M94</f>
        <v>0</v>
      </c>
      <c r="N297" s="1647">
        <f>'Part II-Development Team'!N94</f>
        <v>0</v>
      </c>
      <c r="O297" s="1654" t="s">
        <v>1721</v>
      </c>
      <c r="P297" s="1647"/>
      <c r="Q297" s="2116">
        <f>'Part II-Development Team'!Q94</f>
        <v>4704408594</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GA</v>
      </c>
      <c r="I298" s="1647"/>
      <c r="J298" s="1647"/>
      <c r="K298" s="1651" t="s">
        <v>2229</v>
      </c>
      <c r="L298" s="2115">
        <f>'Part II-Development Team'!L95</f>
        <v>300302612</v>
      </c>
      <c r="M298" s="2115">
        <f>'Part II-Development Team'!M95</f>
        <v>0</v>
      </c>
      <c r="N298" s="1647"/>
      <c r="O298" s="1654" t="s">
        <v>1979</v>
      </c>
      <c r="P298" s="1647"/>
      <c r="Q298" s="2116">
        <f>'Part II-Development Team'!Q95</f>
        <v>6783081424</v>
      </c>
      <c r="R298" s="2116">
        <f>'Part II-Development Team'!R95</f>
        <v>0</v>
      </c>
      <c r="S298" s="2116">
        <f>'Part II-Development Team'!S95</f>
        <v>0</v>
      </c>
    </row>
    <row r="299" spans="1:19">
      <c r="A299" s="1647"/>
      <c r="B299" s="1647"/>
      <c r="C299" s="1647"/>
      <c r="D299" s="1699"/>
      <c r="E299" s="1654" t="s">
        <v>4259</v>
      </c>
      <c r="F299" s="1647"/>
      <c r="G299" s="1647"/>
      <c r="H299" s="2116">
        <f>'Part II-Development Team'!H96</f>
        <v>4704408610</v>
      </c>
      <c r="I299" s="2116">
        <f>'Part II-Development Team'!I96</f>
        <v>0</v>
      </c>
      <c r="J299" s="1661">
        <f>'Part II-Development Team'!J96</f>
        <v>0</v>
      </c>
      <c r="K299" s="1651" t="s">
        <v>1984</v>
      </c>
      <c r="L299" s="2023" t="str">
        <f>'Part II-Development Team'!L96</f>
        <v>john.corcoran@thehdc.org</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Coleman Talley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L. Lake Jordan</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3475 Lenox Rd NE, #400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2703</v>
      </c>
      <c r="L303" s="1647" t="str">
        <f>'Part II-Development Team'!L100</f>
        <v>www.colemantalley.com</v>
      </c>
      <c r="M303" s="1647">
        <f>'Part II-Development Team'!M100</f>
        <v>0</v>
      </c>
      <c r="N303" s="1647">
        <f>'Part II-Development Team'!N100</f>
        <v>0</v>
      </c>
      <c r="O303" s="1654" t="s">
        <v>1721</v>
      </c>
      <c r="P303" s="1647"/>
      <c r="Q303" s="2116">
        <f>'Part II-Development Team'!Q100</f>
        <v>2296718233</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303263229</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7706989556</v>
      </c>
      <c r="I305" s="2116">
        <f>'Part II-Development Team'!I102</f>
        <v>0</v>
      </c>
      <c r="J305" s="1661">
        <f>'Part II-Development Team'!J102</f>
        <v>0</v>
      </c>
      <c r="K305" s="1651" t="s">
        <v>1984</v>
      </c>
      <c r="L305" s="2023" t="str">
        <f>'Part II-Development Team'!L102</f>
        <v>lake.jordan@colemantalley.com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CohnReznick LLP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Deanne Rareshide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3560 Lenox Rd NE,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Director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2703</v>
      </c>
      <c r="L309" s="1647" t="str">
        <f>'Part II-Development Team'!L106</f>
        <v>www.cohnreznick.com</v>
      </c>
      <c r="M309" s="1647">
        <f>'Part II-Development Team'!M106</f>
        <v>0</v>
      </c>
      <c r="N309" s="1647">
        <f>'Part II-Development Team'!N106</f>
        <v>0</v>
      </c>
      <c r="O309" s="1654" t="s">
        <v>1721</v>
      </c>
      <c r="P309" s="1647"/>
      <c r="Q309" s="2116">
        <f>'Part II-Development Team'!Q106</f>
        <v>4048477647</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GA</v>
      </c>
      <c r="I310" s="1647"/>
      <c r="J310" s="1647"/>
      <c r="K310" s="1651" t="s">
        <v>2229</v>
      </c>
      <c r="L310" s="2115">
        <f>'Part II-Development Team'!L107</f>
        <v>303264276</v>
      </c>
      <c r="M310" s="2115">
        <f>'Part II-Development Team'!M107</f>
        <v>0</v>
      </c>
      <c r="N310" s="1647"/>
      <c r="O310" s="1654" t="s">
        <v>1979</v>
      </c>
      <c r="P310" s="1647"/>
      <c r="Q310" s="2116">
        <f>'Part II-Development Team'!Q107</f>
        <v>4048477647</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4048479447</v>
      </c>
      <c r="I311" s="2116">
        <f>'Part II-Development Team'!I108</f>
        <v>0</v>
      </c>
      <c r="J311" s="1661">
        <f>'Part II-Development Team'!J108</f>
        <v>0</v>
      </c>
      <c r="K311" s="1651" t="s">
        <v>1984</v>
      </c>
      <c r="L311" s="2023">
        <f>'Part II-Development Team'!L108</f>
        <v>0</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Rosemann &amp; Associates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Jarrett Cooper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3290 Northside Pkwy NW, #850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Vice 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2703</v>
      </c>
      <c r="L315" s="1647" t="str">
        <f>'Part II-Development Team'!L112</f>
        <v>www.rosemann.com</v>
      </c>
      <c r="M315" s="1647">
        <f>'Part II-Development Team'!M112</f>
        <v>0</v>
      </c>
      <c r="N315" s="1647">
        <f>'Part II-Development Team'!N112</f>
        <v>0</v>
      </c>
      <c r="O315" s="1654" t="s">
        <v>1721</v>
      </c>
      <c r="P315" s="1647"/>
      <c r="Q315" s="2116">
        <f>'Part II-Development Team'!Q112</f>
        <v>3146781448</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303272284</v>
      </c>
      <c r="M316" s="2115">
        <f>'Part II-Development Team'!M113</f>
        <v>0</v>
      </c>
      <c r="N316" s="1647"/>
      <c r="O316" s="1654" t="s">
        <v>1979</v>
      </c>
      <c r="P316" s="1647"/>
      <c r="Q316" s="2116">
        <f>'Part II-Development Team'!Q113</f>
        <v>3143784641</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6785903200</v>
      </c>
      <c r="I317" s="2116">
        <f>'Part II-Development Team'!I114</f>
        <v>0</v>
      </c>
      <c r="J317" s="1661">
        <f>'Part II-Development Team'!J114</f>
        <v>0</v>
      </c>
      <c r="K317" s="1651" t="s">
        <v>1984</v>
      </c>
      <c r="L317" s="2023" t="str">
        <f>'Part II-Development Team'!L114</f>
        <v>jcooper@rosemann.com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4498</v>
      </c>
      <c r="D320" s="1647"/>
      <c r="E320" s="1647"/>
      <c r="F320" s="1647"/>
      <c r="G320" s="1647"/>
      <c r="H320" s="1647" t="str">
        <f>'Part II-Development Team'!H117</f>
        <v>Milledgeville Manor Partners, LLC</v>
      </c>
      <c r="I320" s="1647">
        <f>'Part II-Development Team'!I117</f>
        <v>0</v>
      </c>
      <c r="J320" s="1647">
        <f>'Part II-Development Team'!J117</f>
        <v>0</v>
      </c>
      <c r="K320" s="1651" t="s">
        <v>2473</v>
      </c>
      <c r="L320" s="1647" t="str">
        <f>'Part II-Development Team'!L117</f>
        <v>Richard Sims</v>
      </c>
      <c r="M320" s="1647">
        <f>'Part II-Development Team'!M117</f>
        <v>0</v>
      </c>
      <c r="N320" s="1647">
        <f>'Part II-Development Team'!N117</f>
        <v>0</v>
      </c>
      <c r="O320" s="1654" t="s">
        <v>3578</v>
      </c>
      <c r="P320" s="1647"/>
      <c r="Q320" s="1647">
        <f>'Part II-Development Team'!Q117</f>
        <v>4042616154</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12600 Deerfield Parkway, Suite 100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Alpharetta</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2229</v>
      </c>
      <c r="J322" s="2115">
        <f>'Part II-Development Team'!J119</f>
        <v>300046130</v>
      </c>
      <c r="K322" s="2115">
        <f>'Part II-Development Team'!K119</f>
        <v>0</v>
      </c>
      <c r="L322" s="1651" t="s">
        <v>1984</v>
      </c>
      <c r="M322" s="2023" t="str">
        <f>'Part II-Development Team'!M119</f>
        <v>richard.sims@comcast.net</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3447</v>
      </c>
      <c r="F336" s="1682"/>
      <c r="G336" s="1682"/>
      <c r="H336" s="1682"/>
      <c r="I336" s="1682"/>
      <c r="J336" s="1682" t="s">
        <v>3448</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8.0000000000000007E-5</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For Profit</v>
      </c>
      <c r="L342" s="2131">
        <f>'Part II-Development Team'!L140</f>
        <v>2.0000000000000002E-5</v>
      </c>
      <c r="M342" s="2129" t="str">
        <f>'Part II-Development Team'!M140</f>
        <v>No</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No</v>
      </c>
      <c r="J346" s="2129" t="str">
        <f>'Part II-Development Team'!J144</f>
        <v>No</v>
      </c>
      <c r="K346" s="2130" t="str">
        <f>'Part II-Development Team'!K144</f>
        <v>Nonprofit</v>
      </c>
      <c r="L346" s="2131">
        <f>'Part II-Development Team'!L144</f>
        <v>0</v>
      </c>
      <c r="M346" s="2129" t="str">
        <f>'Part II-Development Team'!M144</f>
        <v>No</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Enclave at Milledgeville, Milledgeville, Baldwin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2490</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3890</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Yes</v>
      </c>
      <c r="M369" s="1654" t="s">
        <v>2600</v>
      </c>
      <c r="N369" s="1710"/>
      <c r="O369" s="1710"/>
      <c r="P369" s="1710"/>
      <c r="Q369" s="1710"/>
    </row>
    <row r="370" spans="1:17" ht="13.5">
      <c r="A370" s="1647"/>
      <c r="B370" s="1651" t="str">
        <f>'Part III-Sources of Funds'!E14</f>
        <v>Yes</v>
      </c>
      <c r="C370" s="1654" t="s">
        <v>3887</v>
      </c>
      <c r="D370" s="1710"/>
      <c r="E370" s="1710"/>
      <c r="F370" s="1766">
        <f>'Part III-Sources of Funds'!I14</f>
        <v>13000000</v>
      </c>
      <c r="G370" s="1766">
        <f>'Part III-Sources of Funds'!J14</f>
        <v>0</v>
      </c>
      <c r="H370" s="1651" t="str">
        <f>'Part III-Sources of Funds'!L13</f>
        <v>No</v>
      </c>
      <c r="I370" s="1654" t="s">
        <v>3680</v>
      </c>
      <c r="J370" s="1710"/>
      <c r="K370" s="1710"/>
      <c r="L370" s="1651" t="str">
        <f>'Part III-Sources of Funds'!B8</f>
        <v>No</v>
      </c>
      <c r="M370" s="1654" t="s">
        <v>2601</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2609</v>
      </c>
      <c r="J371" s="1710"/>
      <c r="K371" s="1710"/>
      <c r="L371" s="1651" t="str">
        <f>'Part III-Sources of Funds'!B9</f>
        <v>No</v>
      </c>
      <c r="M371" s="1654" t="s">
        <v>3685</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2607</v>
      </c>
      <c r="J372" s="1710"/>
      <c r="K372" s="1710"/>
      <c r="L372" s="1651" t="str">
        <f>'Part III-Sources of Funds'!B10</f>
        <v>No</v>
      </c>
      <c r="M372" s="1654" t="s">
        <v>2608</v>
      </c>
      <c r="N372" s="1710"/>
      <c r="O372" s="1710"/>
      <c r="P372" s="1710"/>
      <c r="Q372" s="1710"/>
    </row>
    <row r="373" spans="1:17" ht="13.5">
      <c r="A373" s="1645"/>
      <c r="B373" s="1651" t="str">
        <f>'Part III-Sources of Funds'!L5</f>
        <v>No</v>
      </c>
      <c r="C373" s="1654" t="s">
        <v>3888</v>
      </c>
      <c r="D373" s="1710"/>
      <c r="E373" s="1710"/>
      <c r="F373" s="1710"/>
      <c r="G373" s="1711"/>
      <c r="H373" s="1651" t="str">
        <f>'Part III-Sources of Funds'!B13</f>
        <v>No</v>
      </c>
      <c r="I373" s="1647" t="s">
        <v>3719</v>
      </c>
      <c r="J373" s="1682"/>
      <c r="K373" s="1682"/>
      <c r="L373" s="1651" t="str">
        <f>'Part III-Sources of Funds'!E9</f>
        <v>No</v>
      </c>
      <c r="M373" s="1654" t="s">
        <v>3721</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4504</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5">
      <c r="A375" s="1645"/>
      <c r="B375" s="1651" t="str">
        <f>'Part III-Sources of Funds'!E6</f>
        <v>No</v>
      </c>
      <c r="C375" s="1654" t="s">
        <v>4505</v>
      </c>
      <c r="D375" s="1710"/>
      <c r="E375" s="2132">
        <f>'Part III-Sources of Funds'!H6</f>
        <v>0</v>
      </c>
      <c r="F375" s="2111">
        <f>'Part III-Sources of Funds'!I6</f>
        <v>0</v>
      </c>
      <c r="G375" s="1710"/>
      <c r="H375" s="1651" t="str">
        <f>'Part III-Sources of Funds'!L7</f>
        <v>No</v>
      </c>
      <c r="I375" s="1692" t="s">
        <v>2795</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3720</v>
      </c>
      <c r="D376" s="1710"/>
      <c r="E376" s="1710" t="str">
        <f>'Part III-Sources of Funds'!H7</f>
        <v>Specify Other HOME Source here</v>
      </c>
      <c r="F376" s="1710">
        <f>'Part III-Sources of Funds'!I7</f>
        <v>0</v>
      </c>
      <c r="G376" s="1710">
        <f>'Part III-Sources of Funds'!J7</f>
        <v>0</v>
      </c>
      <c r="H376" s="1651" t="str">
        <f>'Part III-Sources of Funds'!L8</f>
        <v>No</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3686</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Bank OZK</v>
      </c>
      <c r="I382" s="1703">
        <f>'Part III-Sources of Funds'!I20</f>
        <v>0</v>
      </c>
      <c r="J382" s="1703">
        <f>'Part III-Sources of Funds'!J20</f>
        <v>0</v>
      </c>
      <c r="K382" s="1703">
        <f>'Part III-Sources of Funds'!K20</f>
        <v>0</v>
      </c>
      <c r="L382" s="1729">
        <f>'Part III-Sources of Funds'!L20</f>
        <v>12082864</v>
      </c>
      <c r="M382" s="1729">
        <f>'Part III-Sources of Funds'!M20</f>
        <v>0</v>
      </c>
      <c r="N382" s="1712">
        <f>'Part III-Sources of Funds'!N20</f>
        <v>4.1000000000000002E-2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t="str">
        <f>'Part III-Sources of Funds'!H25</f>
        <v xml:space="preserve">HDC </v>
      </c>
      <c r="I387" s="1703">
        <f>'Part III-Sources of Funds'!I25</f>
        <v>0</v>
      </c>
      <c r="J387" s="1703">
        <f>'Part III-Sources of Funds'!J25</f>
        <v>0</v>
      </c>
      <c r="K387" s="1703">
        <f>'Part III-Sources of Funds'!K25</f>
        <v>0</v>
      </c>
      <c r="L387" s="1729">
        <f>'Part III-Sources of Funds'!L25</f>
        <v>1330000</v>
      </c>
      <c r="M387" s="1729">
        <f>'Part III-Sources of Funds'!M25</f>
        <v>0</v>
      </c>
      <c r="N387" s="1712"/>
      <c r="O387" s="1712"/>
      <c r="P387" s="1647"/>
      <c r="Q387" s="1647"/>
    </row>
    <row r="388" spans="1:17" ht="13.5">
      <c r="A388" s="1647"/>
      <c r="B388" s="1647" t="s">
        <v>802</v>
      </c>
      <c r="C388" s="1647"/>
      <c r="D388" s="1647"/>
      <c r="E388" s="1647"/>
      <c r="F388" s="1710"/>
      <c r="G388" s="1710"/>
      <c r="H388" s="1703" t="str">
        <f>'Part III-Sources of Funds'!H26</f>
        <v>Aegon</v>
      </c>
      <c r="I388" s="1703">
        <f>'Part III-Sources of Funds'!I26</f>
        <v>0</v>
      </c>
      <c r="J388" s="1703">
        <f>'Part III-Sources of Funds'!J26</f>
        <v>0</v>
      </c>
      <c r="K388" s="1703">
        <f>'Part III-Sources of Funds'!K26</f>
        <v>0</v>
      </c>
      <c r="L388" s="1729">
        <f>'Part III-Sources of Funds'!L26</f>
        <v>1199400</v>
      </c>
      <c r="M388" s="1729">
        <f>'Part III-Sources of Funds'!M26</f>
        <v>0</v>
      </c>
      <c r="N388" s="1647"/>
      <c r="O388" s="1647"/>
      <c r="P388" s="1647"/>
      <c r="Q388" s="1647"/>
    </row>
    <row r="389" spans="1:17" ht="13.5">
      <c r="A389" s="1647"/>
      <c r="B389" s="1647" t="s">
        <v>803</v>
      </c>
      <c r="C389" s="1647"/>
      <c r="D389" s="1647"/>
      <c r="E389" s="1647"/>
      <c r="F389" s="1710"/>
      <c r="G389" s="1710"/>
      <c r="H389" s="1703" t="str">
        <f>'Part III-Sources of Funds'!H27</f>
        <v>Twain</v>
      </c>
      <c r="I389" s="1703">
        <f>'Part III-Sources of Funds'!I27</f>
        <v>0</v>
      </c>
      <c r="J389" s="1703">
        <f>'Part III-Sources of Funds'!J27</f>
        <v>0</v>
      </c>
      <c r="K389" s="1703">
        <f>'Part III-Sources of Funds'!K27</f>
        <v>0</v>
      </c>
      <c r="L389" s="1729">
        <f>'Part III-Sources of Funds'!L27</f>
        <v>845770</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15458034</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11920838.560000001</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3537195.4399999995</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25.5">
      <c r="A400" s="1647"/>
      <c r="B400" s="1647" t="s">
        <v>2613</v>
      </c>
      <c r="C400" s="1647"/>
      <c r="D400" s="1647"/>
      <c r="E400" s="1703" t="str">
        <f>'Part III-Sources of Funds'!E38</f>
        <v>JLL/Freddie Mac</v>
      </c>
      <c r="F400" s="1703">
        <f>'Part III-Sources of Funds'!F38</f>
        <v>0</v>
      </c>
      <c r="G400" s="1703">
        <f>'Part III-Sources of Funds'!G38</f>
        <v>0</v>
      </c>
      <c r="H400" s="1703">
        <f>'Part III-Sources of Funds'!H38</f>
        <v>0</v>
      </c>
      <c r="I400" s="1779">
        <f>'Part III-Sources of Funds'!I38</f>
        <v>8640000</v>
      </c>
      <c r="J400" s="1647">
        <f>'Part III-Sources of Funds'!J38</f>
        <v>0</v>
      </c>
      <c r="K400" s="1716">
        <f>'Part III-Sources of Funds'!K38</f>
        <v>3.3599999999999998E-2</v>
      </c>
      <c r="L400" s="1651">
        <f>'Part III-Sources of Funds'!L38</f>
        <v>35</v>
      </c>
      <c r="M400" s="1651">
        <f>'Part III-Sources of Funds'!M38</f>
        <v>35</v>
      </c>
      <c r="N400" s="1717">
        <f>'Part III-Sources of Funds'!P38</f>
        <v>420132.3350591315</v>
      </c>
      <c r="O400" s="1717">
        <f>'Part III-Sources of Funds'!Q38</f>
        <v>0</v>
      </c>
      <c r="P400" s="1647" t="str">
        <f>'Part III-Sources of Funds'!N38</f>
        <v>Amortizing</v>
      </c>
      <c r="Q400" s="1647">
        <f>'Part III-Sources of Funds'!O38</f>
        <v>0</v>
      </c>
    </row>
    <row r="401" spans="1:17">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c r="A405" s="1647"/>
      <c r="B405" s="1647" t="s">
        <v>228</v>
      </c>
      <c r="C405" s="1647"/>
      <c r="D405" s="1718">
        <f>'Part III-Sources of Funds'!D43</f>
        <v>4.2105263157894739E-4</v>
      </c>
      <c r="E405" s="1703" t="str">
        <f>'Part III-Sources of Funds'!E43</f>
        <v>HDC</v>
      </c>
      <c r="F405" s="1703">
        <f>'Part III-Sources of Funds'!F43</f>
        <v>0</v>
      </c>
      <c r="G405" s="1703">
        <f>'Part III-Sources of Funds'!G43</f>
        <v>0</v>
      </c>
      <c r="H405" s="1703">
        <f>'Part III-Sources of Funds'!H43</f>
        <v>0</v>
      </c>
      <c r="I405" s="1779">
        <f>'Part III-Sources of Funds'!I43</f>
        <v>800</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4186</v>
      </c>
      <c r="C407" s="1647"/>
      <c r="D407" s="1710"/>
      <c r="E407" s="1710" t="s">
        <v>4088</v>
      </c>
      <c r="F407" s="1719" t="e">
        <f>'Part III-Sources of Funds'!F45</f>
        <v>#N/A</v>
      </c>
      <c r="G407" s="1710"/>
      <c r="H407" s="1711" t="s">
        <v>4185</v>
      </c>
      <c r="I407" s="1719" t="str">
        <f>'Part III-Sources of Funds'!I45</f>
        <v/>
      </c>
      <c r="J407" s="1710"/>
      <c r="K407" s="1716"/>
      <c r="L407" s="1651"/>
      <c r="M407" s="1651"/>
      <c r="N407" s="2134"/>
      <c r="O407" s="2134"/>
      <c r="P407" s="1651"/>
      <c r="Q407" s="1651"/>
    </row>
    <row r="408" spans="1:17" ht="13.5">
      <c r="A408" s="1647"/>
      <c r="B408" s="1710" t="s">
        <v>4506</v>
      </c>
      <c r="C408" s="1647"/>
      <c r="D408" s="1718"/>
      <c r="E408" s="1710"/>
      <c r="F408" s="1720" t="e">
        <f>'Part III-Sources of Funds'!#REF!</f>
        <v>#REF!</v>
      </c>
      <c r="G408" s="1720" t="e">
        <f>'Part III-Sources of Funds'!#REF!</f>
        <v>#REF!</v>
      </c>
      <c r="H408" s="1711" t="s">
        <v>4187</v>
      </c>
      <c r="I408" s="1720" t="e">
        <f>'Part III-Sources of Funds'!L45</f>
        <v>#N/A</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c r="A412" s="1647"/>
      <c r="B412" s="1647" t="s">
        <v>802</v>
      </c>
      <c r="C412" s="1647"/>
      <c r="D412" s="1647"/>
      <c r="E412" s="1703" t="str">
        <f>'Part III-Sources of Funds'!E49</f>
        <v>Aegon</v>
      </c>
      <c r="F412" s="1703">
        <f>'Part III-Sources of Funds'!F49</f>
        <v>0</v>
      </c>
      <c r="G412" s="1703">
        <f>'Part III-Sources of Funds'!G49</f>
        <v>0</v>
      </c>
      <c r="H412" s="1703">
        <f>'Part III-Sources of Funds'!H49</f>
        <v>0</v>
      </c>
      <c r="I412" s="1779">
        <f>'Part III-Sources of Funds'!I49</f>
        <v>3998000</v>
      </c>
      <c r="J412" s="1647">
        <f>'Part III-Sources of Funds'!J49</f>
        <v>0</v>
      </c>
      <c r="K412" s="1710"/>
      <c r="L412" s="1723">
        <f>'Part IV-A-Uses of Funds'!$J$175*10*'Part IV-A-Uses of Funds'!$N$168</f>
        <v>3998584.2</v>
      </c>
      <c r="M412" s="1723"/>
      <c r="N412" s="1724">
        <f>I412-L412</f>
        <v>-584.20000000018626</v>
      </c>
      <c r="O412" s="1724"/>
      <c r="P412" s="1725" t="s">
        <v>2559</v>
      </c>
      <c r="Q412" s="1647"/>
    </row>
    <row r="413" spans="1:17" ht="13.5">
      <c r="A413" s="1647"/>
      <c r="B413" s="1647" t="s">
        <v>803</v>
      </c>
      <c r="C413" s="1647"/>
      <c r="D413" s="1647"/>
      <c r="E413" s="1703" t="str">
        <f>'Part III-Sources of Funds'!E50</f>
        <v>Twain</v>
      </c>
      <c r="F413" s="1703">
        <f>'Part III-Sources of Funds'!F50</f>
        <v>0</v>
      </c>
      <c r="G413" s="1703">
        <f>'Part III-Sources of Funds'!G50</f>
        <v>0</v>
      </c>
      <c r="H413" s="1703">
        <f>'Part III-Sources of Funds'!H50</f>
        <v>0</v>
      </c>
      <c r="I413" s="1779">
        <f>'Part III-Sources of Funds'!I50</f>
        <v>2819234</v>
      </c>
      <c r="J413" s="1647">
        <f>'Part III-Sources of Funds'!J50</f>
        <v>0</v>
      </c>
      <c r="K413" s="1710"/>
      <c r="L413" s="1723">
        <f>'Part IV-A-Uses of Funds'!$J$175*10*'Part IV-A-Uses of Funds'!$Q$168</f>
        <v>2819514.5</v>
      </c>
      <c r="M413" s="1723"/>
      <c r="N413" s="1724">
        <f>I413-L413</f>
        <v>-280.5</v>
      </c>
      <c r="O413" s="1724"/>
      <c r="P413" s="1726">
        <f>I412/I422</f>
        <v>0.25863459805179534</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0.18237905262730245</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0.44101365067909781</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15458034</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15458102.010000002</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-68.010000001639128</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Enclave at Milledgeville,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Enclave at Milledgeville,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13000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13000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6000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6000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18097</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18097</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2499</v>
      </c>
      <c r="C448" s="1647"/>
      <c r="D448" s="1647"/>
      <c r="E448" s="1647"/>
      <c r="F448" s="1647"/>
      <c r="G448" s="1729">
        <f>'Part IV-A-Uses of Funds'!G12</f>
        <v>10000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10000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PNA/Energy Audit/EarthCraft/Sewer Inspections</v>
      </c>
      <c r="D450" s="1659">
        <f>'Part IV-A-Uses of Funds'!D14</f>
        <v>0</v>
      </c>
      <c r="E450" s="1659">
        <f>'Part IV-A-Uses of Funds'!E14</f>
        <v>0</v>
      </c>
      <c r="F450" s="1659">
        <f>'Part IV-A-Uses of Funds'!F14</f>
        <v>0</v>
      </c>
      <c r="G450" s="1729">
        <f>'Part IV-A-Uses of Funds'!G14</f>
        <v>62380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62380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f>'Part IV-A-Uses of Funds'!C15</f>
        <v>0</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f>'Part IV-A-Uses of Funds'!C16</f>
        <v>0</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109477</v>
      </c>
      <c r="H453" s="1729"/>
      <c r="I453" s="1647"/>
      <c r="J453" s="1729">
        <f>SUM(J444:K452)</f>
        <v>0</v>
      </c>
      <c r="K453" s="1665"/>
      <c r="L453" s="1664"/>
      <c r="M453" s="1729">
        <f>SUM(M444:N452)</f>
        <v>0</v>
      </c>
      <c r="N453" s="1729"/>
      <c r="O453" s="1647"/>
      <c r="P453" s="1729">
        <f>SUM(P444:Q452)</f>
        <v>109477</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1</v>
      </c>
      <c r="H455" s="1729">
        <f>'Part IV-A-Uses of Funds'!H19</f>
        <v>0</v>
      </c>
      <c r="I455" s="1647"/>
      <c r="J455" s="1664"/>
      <c r="K455" s="1729"/>
      <c r="L455" s="1664"/>
      <c r="M455" s="1664"/>
      <c r="N455" s="1729"/>
      <c r="O455" s="1647"/>
      <c r="P455" s="1664"/>
      <c r="Q455" s="1729"/>
      <c r="R455" s="1647"/>
      <c r="S455" s="1729">
        <f>'Part IV-A-Uses of Funds'!S19</f>
        <v>1</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3945160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3945160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3945161</v>
      </c>
      <c r="H459" s="1729"/>
      <c r="I459" s="1647"/>
      <c r="J459" s="1664"/>
      <c r="K459" s="1729"/>
      <c r="L459" s="1664"/>
      <c r="M459" s="1729">
        <f>SUM(M457:N458)</f>
        <v>0</v>
      </c>
      <c r="N459" s="1729"/>
      <c r="O459" s="1647"/>
      <c r="P459" s="1664"/>
      <c r="Q459" s="1729"/>
      <c r="R459" s="1647"/>
      <c r="S459" s="1729">
        <f>SUM(S455:T458)</f>
        <v>3945161</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3726</v>
      </c>
      <c r="F461" s="1736">
        <f>IF('Part I-Project Information'!$O$37="","",G461/'Part I-Project Information'!$O$37)</f>
        <v>180121.32524498369</v>
      </c>
      <c r="G461" s="1729">
        <f>'Part IV-A-Uses of Funds'!G25</f>
        <v>1544000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1544000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1544000</v>
      </c>
      <c r="H463" s="1729"/>
      <c r="I463" s="1647"/>
      <c r="J463" s="1729">
        <f>SUM(J461:K462)</f>
        <v>0</v>
      </c>
      <c r="K463" s="1729"/>
      <c r="L463" s="1664"/>
      <c r="M463" s="1729">
        <f>M461</f>
        <v>0</v>
      </c>
      <c r="N463" s="1729"/>
      <c r="O463" s="1647"/>
      <c r="P463" s="1729">
        <f>P461</f>
        <v>1544000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4180000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4180000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4180000</v>
      </c>
      <c r="H469" s="1729"/>
      <c r="I469" s="1647"/>
      <c r="J469" s="1729">
        <f>SUM(J465:K468)</f>
        <v>0</v>
      </c>
      <c r="K469" s="1729"/>
      <c r="L469" s="1664"/>
      <c r="M469" s="1729">
        <f>SUM(M465:N468)</f>
        <v>0</v>
      </c>
      <c r="N469" s="1729"/>
      <c r="O469" s="1647"/>
      <c r="P469" s="1729">
        <f>SUM(P465:Q468)</f>
        <v>4180000</v>
      </c>
      <c r="Q469" s="1729"/>
      <c r="R469" s="1647"/>
      <c r="S469" s="1729">
        <f>SUM(S465:T468)</f>
        <v>0</v>
      </c>
      <c r="T469" s="1729"/>
      <c r="U469" s="1647"/>
      <c r="V469" s="1735">
        <f>SUM(V465:V468)</f>
        <v>0</v>
      </c>
      <c r="W469" s="1485"/>
      <c r="X469" s="1485"/>
    </row>
    <row r="470" spans="1:24" ht="13.5">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343440</v>
      </c>
      <c r="F471" s="1742" t="e">
        <f>IF(($G$27+$G$33)=0,0,G471/($G$27+$G$33))</f>
        <v>#VALUE!</v>
      </c>
      <c r="G471" s="1729">
        <f>'Part IV-A-Uses of Funds'!G35</f>
        <v>343440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343440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2735</v>
      </c>
      <c r="C472" s="1647"/>
      <c r="D472" s="1742">
        <f>'DCA Underwriting Assumptions'!$R$74</f>
        <v>0.02</v>
      </c>
      <c r="E472" s="1743">
        <f>D472*(G463+G469)</f>
        <v>114480</v>
      </c>
      <c r="F472" s="1742" t="e">
        <f>IF(($G$27+$G$33)=0,0,G472/($G$27+$G$33))</f>
        <v>#VALUE!</v>
      </c>
      <c r="G472" s="1729">
        <f>'Part IV-A-Uses of Funds'!G36</f>
        <v>114480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114480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2736</v>
      </c>
      <c r="C473" s="1647"/>
      <c r="D473" s="1742">
        <f>'DCA Underwriting Assumptions'!$R$75</f>
        <v>0.06</v>
      </c>
      <c r="E473" s="1743">
        <f>D473*(G463+G469)</f>
        <v>343440</v>
      </c>
      <c r="F473" s="1742" t="e">
        <f>IF(($G$27+$G$33)=0,0,G473/($G$27+$G$33))</f>
        <v>#VALUE!</v>
      </c>
      <c r="G473" s="1729">
        <f>'Part IV-A-Uses of Funds'!G37</f>
        <v>343440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343330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3731</v>
      </c>
      <c r="C474" s="1647"/>
      <c r="D474" s="1740">
        <f>SUM(D471:D473)</f>
        <v>0.14000000000000001</v>
      </c>
      <c r="E474" s="1744">
        <f>SUM(E471:E473)</f>
        <v>801360</v>
      </c>
      <c r="F474" s="1733" t="s">
        <v>191</v>
      </c>
      <c r="G474" s="1729">
        <f>SUM(G471:H473)</f>
        <v>801360</v>
      </c>
      <c r="H474" s="1729"/>
      <c r="I474" s="1647"/>
      <c r="J474" s="1729">
        <f>SUM(J471:K473)</f>
        <v>0</v>
      </c>
      <c r="K474" s="1729"/>
      <c r="L474" s="1664"/>
      <c r="M474" s="1729">
        <f>SUM(M471:N473)</f>
        <v>0</v>
      </c>
      <c r="N474" s="1729"/>
      <c r="O474" s="1647"/>
      <c r="P474" s="1729">
        <f>SUM(P471:Q473)</f>
        <v>801250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2743</v>
      </c>
      <c r="F479" s="1747">
        <f>B480/'Part VI-Revenues &amp; Expenses'!$O$65</f>
        <v>85860</v>
      </c>
      <c r="G479" s="1748" t="s">
        <v>4509</v>
      </c>
      <c r="H479" s="1647"/>
      <c r="I479" s="1647"/>
      <c r="J479" s="1749">
        <f>B480/'Part VI-Revenues &amp; Expenses'!$O$67</f>
        <v>85860</v>
      </c>
      <c r="K479" s="1749"/>
      <c r="L479" s="1647"/>
      <c r="M479" s="1750" t="s">
        <v>1402</v>
      </c>
      <c r="N479" s="1750"/>
      <c r="O479" s="1647"/>
      <c r="P479" s="1749">
        <f>B480/'Part I-Project Information'!$P$75</f>
        <v>99.620774938169831</v>
      </c>
      <c r="Q479" s="1749"/>
      <c r="R479" s="1647"/>
      <c r="S479" s="1671" t="s">
        <v>2777</v>
      </c>
      <c r="T479" s="1671"/>
      <c r="U479" s="1647"/>
      <c r="V479" s="1735"/>
      <c r="W479" s="1485">
        <f>'Part IV-A-Uses of Funds'!W43</f>
        <v>0</v>
      </c>
      <c r="X479" s="1485">
        <f>'Part IV-A-Uses of Funds'!X43</f>
        <v>0</v>
      </c>
    </row>
    <row r="480" spans="1:24">
      <c r="A480" s="1647"/>
      <c r="B480" s="1751">
        <f>G463+G469+G474+G477</f>
        <v>6525360</v>
      </c>
      <c r="C480" s="1751"/>
      <c r="D480" s="1647"/>
      <c r="E480" s="1646"/>
      <c r="F480" s="1747">
        <f>B480/'Part VI-Revenues &amp; Expenses'!$O$154</f>
        <v>101.52725914861837</v>
      </c>
      <c r="G480" s="1671" t="s">
        <v>4510</v>
      </c>
      <c r="H480" s="1647"/>
      <c r="I480" s="1647"/>
      <c r="J480" s="1749">
        <f>B480/'Part VI-Revenues &amp; Expenses'!$O$156</f>
        <v>101.52725914861837</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652536</v>
      </c>
      <c r="F483" s="1755">
        <f>G483/B480</f>
        <v>0.05</v>
      </c>
      <c r="G483" s="1729">
        <f>'Part IV-A-Uses of Funds'!G47</f>
        <v>326268</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326268</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120828.64</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120828.64</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262080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209664</v>
      </c>
      <c r="Q491" s="1729">
        <f>'Part IV-A-Uses of Funds'!Q55</f>
        <v>0</v>
      </c>
      <c r="R491" s="1647"/>
      <c r="S491" s="1729">
        <f>'Part IV-A-Uses of Funds'!S55</f>
        <v>52416</v>
      </c>
      <c r="T491" s="1729">
        <f>'Part IV-A-Uses of Funds'!T55</f>
        <v>0</v>
      </c>
      <c r="U491" s="1647"/>
      <c r="V491" s="1735"/>
      <c r="W491" s="1485"/>
      <c r="X491" s="1485"/>
    </row>
    <row r="492" spans="1:24">
      <c r="A492" s="1647"/>
      <c r="B492" s="1647" t="s">
        <v>2348</v>
      </c>
      <c r="C492" s="1647"/>
      <c r="D492" s="1647"/>
      <c r="E492" s="1647"/>
      <c r="F492" s="1647"/>
      <c r="G492" s="1729">
        <f>'Part IV-A-Uses of Funds'!G56</f>
        <v>40000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40000</v>
      </c>
      <c r="Q492" s="1729">
        <f>'Part IV-A-Uses of Funds'!Q56</f>
        <v>0</v>
      </c>
      <c r="R492" s="1647"/>
      <c r="S492" s="1729">
        <f>'Part IV-A-Uses of Funds'!S56</f>
        <v>0</v>
      </c>
      <c r="T492" s="1729">
        <f>'Part IV-A-Uses of Funds'!T56</f>
        <v>0</v>
      </c>
      <c r="U492" s="1647"/>
      <c r="V492" s="1735"/>
      <c r="W492" s="1485"/>
      <c r="X492" s="1485"/>
    </row>
    <row r="493" spans="1:24">
      <c r="A493" s="1647"/>
      <c r="B493" s="1647" t="s">
        <v>2686</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20000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20000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Lender Due Diligence Fee</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442908.64</v>
      </c>
      <c r="H500" s="1729"/>
      <c r="I500" s="1647"/>
      <c r="J500" s="1729">
        <f>SUM(J488:K499)</f>
        <v>0</v>
      </c>
      <c r="K500" s="1729"/>
      <c r="L500" s="1664"/>
      <c r="M500" s="1729">
        <f>SUM(M488:N499)</f>
        <v>0</v>
      </c>
      <c r="N500" s="1729"/>
      <c r="O500" s="1647"/>
      <c r="P500" s="1729">
        <f>SUM(P488:Q499)</f>
        <v>390492.64</v>
      </c>
      <c r="Q500" s="1729"/>
      <c r="R500" s="1647"/>
      <c r="S500" s="1729">
        <f>SUM(S488:T499)</f>
        <v>52416</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283000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283000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3849</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5000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5000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58000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58000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45000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45000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20000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20000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411000</v>
      </c>
      <c r="H513" s="1729"/>
      <c r="I513" s="1647"/>
      <c r="J513" s="1729">
        <f>SUM(J502:K512)</f>
        <v>0</v>
      </c>
      <c r="K513" s="1729"/>
      <c r="L513" s="1664"/>
      <c r="M513" s="1729">
        <f>SUM(M502:N512)</f>
        <v>0</v>
      </c>
      <c r="N513" s="1729"/>
      <c r="O513" s="1647"/>
      <c r="P513" s="1729">
        <f>SUM(P502:Q512)</f>
        <v>411000</v>
      </c>
      <c r="Q513" s="1729"/>
      <c r="R513" s="1647"/>
      <c r="S513" s="1729">
        <f>SUM(S502:T512)</f>
        <v>0</v>
      </c>
      <c r="T513" s="1729"/>
      <c r="U513" s="1647"/>
      <c r="V513" s="1735">
        <f>SUM(V502:V512)</f>
        <v>0</v>
      </c>
      <c r="W513" s="1485"/>
      <c r="X513" s="1485"/>
    </row>
    <row r="514" spans="1:24">
      <c r="A514" s="1647"/>
      <c r="B514" s="1628" t="s">
        <v>1269</v>
      </c>
      <c r="C514" s="1647"/>
      <c r="D514" s="1759" t="s">
        <v>3736</v>
      </c>
      <c r="E514" s="1760">
        <f>G519/'Part VI-Revenues &amp; Expenses'!$O$67</f>
        <v>900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68400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68400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68400</v>
      </c>
      <c r="H519" s="1729"/>
      <c r="I519" s="1647"/>
      <c r="J519" s="1729">
        <f>SUM(J515:K518)</f>
        <v>0</v>
      </c>
      <c r="K519" s="1729"/>
      <c r="L519" s="1664"/>
      <c r="M519" s="1729">
        <f>SUM(M515:N518)</f>
        <v>0</v>
      </c>
      <c r="N519" s="1729"/>
      <c r="O519" s="1647"/>
      <c r="P519" s="1729">
        <f>SUM(P515:Q518)</f>
        <v>68400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129600</v>
      </c>
      <c r="H521" s="1729">
        <f>'Part IV-A-Uses of Funds'!H85</f>
        <v>0</v>
      </c>
      <c r="I521" s="1647"/>
      <c r="J521" s="1729"/>
      <c r="K521" s="1729"/>
      <c r="L521" s="1664"/>
      <c r="M521" s="1729"/>
      <c r="N521" s="1729"/>
      <c r="O521" s="1647"/>
      <c r="P521" s="1729"/>
      <c r="Q521" s="1729"/>
      <c r="R521" s="1647"/>
      <c r="S521" s="1729">
        <f>'Part IV-A-Uses of Funds'!S85</f>
        <v>129600</v>
      </c>
      <c r="T521" s="1729">
        <f>'Part IV-A-Uses of Funds'!T85</f>
        <v>0</v>
      </c>
      <c r="U521" s="1647"/>
      <c r="V521" s="1735"/>
      <c r="W521" s="1485"/>
      <c r="X521" s="1485"/>
    </row>
    <row r="522" spans="1:24">
      <c r="A522" s="1647"/>
      <c r="B522" s="1647" t="s">
        <v>1275</v>
      </c>
      <c r="C522" s="1647"/>
      <c r="D522" s="1647"/>
      <c r="E522" s="1647"/>
      <c r="F522" s="1647"/>
      <c r="G522" s="1729">
        <f>'Part IV-A-Uses of Funds'!G86</f>
        <v>55000</v>
      </c>
      <c r="H522" s="1729">
        <f>'Part IV-A-Uses of Funds'!H86</f>
        <v>0</v>
      </c>
      <c r="I522" s="1647"/>
      <c r="J522" s="1729"/>
      <c r="K522" s="1729"/>
      <c r="L522" s="1664"/>
      <c r="M522" s="1729"/>
      <c r="N522" s="1729"/>
      <c r="O522" s="1647"/>
      <c r="P522" s="1729"/>
      <c r="Q522" s="1729"/>
      <c r="R522" s="1647"/>
      <c r="S522" s="1729">
        <f>'Part IV-A-Uses of Funds'!S86</f>
        <v>55000</v>
      </c>
      <c r="T522" s="1729">
        <f>'Part IV-A-Uses of Funds'!T86</f>
        <v>0</v>
      </c>
      <c r="U522" s="1647"/>
      <c r="V522" s="1735"/>
      <c r="W522" s="1485"/>
      <c r="X522" s="1485"/>
    </row>
    <row r="523" spans="1:24">
      <c r="A523" s="1647"/>
      <c r="B523" s="1647" t="s">
        <v>1276</v>
      </c>
      <c r="C523" s="1647"/>
      <c r="D523" s="1647"/>
      <c r="E523" s="1647"/>
      <c r="F523" s="1647"/>
      <c r="G523" s="1729">
        <f>'Part IV-A-Uses of Funds'!G87</f>
        <v>70000</v>
      </c>
      <c r="H523" s="1729">
        <f>'Part IV-A-Uses of Funds'!H87</f>
        <v>0</v>
      </c>
      <c r="I523" s="1647"/>
      <c r="J523" s="1729"/>
      <c r="K523" s="1729"/>
      <c r="L523" s="1664"/>
      <c r="M523" s="1729"/>
      <c r="N523" s="1729"/>
      <c r="O523" s="1647"/>
      <c r="P523" s="1729"/>
      <c r="Q523" s="1729"/>
      <c r="R523" s="1647"/>
      <c r="S523" s="1729">
        <f>'Part IV-A-Uses of Funds'!S87</f>
        <v>70000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120828.64</v>
      </c>
      <c r="H525" s="1729">
        <f>'Part IV-A-Uses of Funds'!H89</f>
        <v>0</v>
      </c>
      <c r="I525" s="1647"/>
      <c r="J525" s="1729"/>
      <c r="K525" s="1729"/>
      <c r="L525" s="1664"/>
      <c r="M525" s="1729"/>
      <c r="N525" s="1729"/>
      <c r="O525" s="1647"/>
      <c r="P525" s="1729"/>
      <c r="Q525" s="1729"/>
      <c r="R525" s="1647"/>
      <c r="S525" s="1729">
        <f>'Part IV-A-Uses of Funds'!S89</f>
        <v>120828.64</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Lender Due Diligence Fee/Perm Loan app Fee 0.10%/Standby Fee 0.10%</v>
      </c>
      <c r="D526" s="1659">
        <f>'Part IV-A-Uses of Funds'!D90</f>
        <v>0</v>
      </c>
      <c r="E526" s="1659">
        <f>'Part IV-A-Uses of Funds'!E90</f>
        <v>0</v>
      </c>
      <c r="F526" s="1659">
        <f>'Part IV-A-Uses of Funds'!F90</f>
        <v>0</v>
      </c>
      <c r="G526" s="1729">
        <f>'Part IV-A-Uses of Funds'!G90</f>
        <v>42280</v>
      </c>
      <c r="H526" s="1729">
        <f>'Part IV-A-Uses of Funds'!H90</f>
        <v>0</v>
      </c>
      <c r="I526" s="1647"/>
      <c r="J526" s="1729"/>
      <c r="K526" s="1729"/>
      <c r="L526" s="1664"/>
      <c r="M526" s="1729"/>
      <c r="N526" s="1729"/>
      <c r="O526" s="1647"/>
      <c r="P526" s="1729"/>
      <c r="Q526" s="1729"/>
      <c r="R526" s="1647"/>
      <c r="S526" s="1729">
        <f>'Part IV-A-Uses of Funds'!S90</f>
        <v>25000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417708.64</v>
      </c>
      <c r="H527" s="1729"/>
      <c r="I527" s="1647"/>
      <c r="J527" s="1729"/>
      <c r="K527" s="1729"/>
      <c r="L527" s="1664"/>
      <c r="M527" s="1729"/>
      <c r="N527" s="1729"/>
      <c r="O527" s="1647"/>
      <c r="P527" s="1729"/>
      <c r="Q527" s="1729"/>
      <c r="R527" s="1647"/>
      <c r="S527" s="1729">
        <f>SUM(S521:T526)</f>
        <v>400428.64</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3952</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519</v>
      </c>
      <c r="C535" s="1647"/>
      <c r="D535" s="1647"/>
      <c r="E535" s="1763">
        <f>'DCA Underwriting Assumptions'!$Q$88*J611</f>
        <v>41011.120000000003</v>
      </c>
      <c r="F535" s="1763"/>
      <c r="G535" s="1729">
        <f>'Part IV-A-Uses of Funds'!G99</f>
        <v>51263.92</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51264</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60800</v>
      </c>
      <c r="F536" s="1763"/>
      <c r="G536" s="1729">
        <f>'Part IV-A-Uses of Funds'!G100</f>
        <v>60800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60800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16000</v>
      </c>
      <c r="H538" s="1729">
        <f>'Part IV-A-Uses of Funds'!H102</f>
        <v>0</v>
      </c>
      <c r="I538" s="1647"/>
      <c r="J538" s="1653"/>
      <c r="K538" s="1653"/>
      <c r="L538" s="1653"/>
      <c r="M538" s="1653"/>
      <c r="N538" s="1653"/>
      <c r="O538" s="1653"/>
      <c r="P538" s="1653"/>
      <c r="Q538" s="1653"/>
      <c r="R538" s="1647"/>
      <c r="S538" s="1729">
        <f>'Part IV-A-Uses of Funds'!S102</f>
        <v>16000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133063.91999999998</v>
      </c>
      <c r="H541" s="1729"/>
      <c r="I541" s="1647"/>
      <c r="J541" s="1664"/>
      <c r="K541" s="1664"/>
      <c r="L541" s="1664"/>
      <c r="M541" s="1664"/>
      <c r="N541" s="1664"/>
      <c r="O541" s="1647"/>
      <c r="P541" s="1664"/>
      <c r="Q541" s="1664"/>
      <c r="R541" s="1647"/>
      <c r="S541" s="1729">
        <f>SUM(S532:T540)</f>
        <v>133064</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c r="A544" s="1647"/>
      <c r="B544" s="1647" t="s">
        <v>280</v>
      </c>
      <c r="C544" s="1647"/>
      <c r="D544" s="1647"/>
      <c r="E544" s="1647"/>
      <c r="F544" s="1647"/>
      <c r="G544" s="1729">
        <f>'Part IV-A-Uses of Funds'!G108</f>
        <v>20000</v>
      </c>
      <c r="H544" s="1729">
        <f>'Part IV-A-Uses of Funds'!H108</f>
        <v>0</v>
      </c>
      <c r="I544" s="1647"/>
      <c r="J544" s="1729"/>
      <c r="K544" s="1729"/>
      <c r="L544" s="1664"/>
      <c r="M544" s="1729"/>
      <c r="N544" s="1729"/>
      <c r="O544" s="1647"/>
      <c r="P544" s="1729"/>
      <c r="Q544" s="1729"/>
      <c r="R544" s="1647"/>
      <c r="S544" s="1729">
        <f>'Part IV-A-Uses of Funds'!S108</f>
        <v>20000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f>'Part IV-A-Uses of Funds'!C110</f>
        <v>0</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20000</v>
      </c>
      <c r="H547" s="1729"/>
      <c r="I547" s="1647"/>
      <c r="J547" s="1729"/>
      <c r="K547" s="1729"/>
      <c r="L547" s="1664"/>
      <c r="M547" s="1729"/>
      <c r="N547" s="1729"/>
      <c r="O547" s="1647"/>
      <c r="P547" s="1729"/>
      <c r="Q547" s="1729"/>
      <c r="R547" s="1647"/>
      <c r="S547" s="1729">
        <f>SUM(S543:T546)</f>
        <v>20000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570000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570000</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1330000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1330000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1900000</v>
      </c>
      <c r="H554" s="1729"/>
      <c r="I554" s="1647"/>
      <c r="J554" s="1729">
        <f>SUM(J549:K553)</f>
        <v>0</v>
      </c>
      <c r="K554" s="1729"/>
      <c r="L554" s="1664"/>
      <c r="M554" s="1729">
        <f>SUM(M549:N553)</f>
        <v>0</v>
      </c>
      <c r="N554" s="1729"/>
      <c r="O554" s="1647"/>
      <c r="P554" s="1729">
        <f>SUM(P549:Q553)</f>
        <v>1900000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20000</v>
      </c>
      <c r="H556" s="1729">
        <f>'Part IV-A-Uses of Funds'!H120</f>
        <v>0</v>
      </c>
      <c r="I556" s="1647"/>
      <c r="J556" s="1762"/>
      <c r="K556" s="1762"/>
      <c r="L556" s="1762"/>
      <c r="M556" s="1762"/>
      <c r="N556" s="1762"/>
      <c r="O556" s="1647"/>
      <c r="P556" s="1762"/>
      <c r="Q556" s="1762"/>
      <c r="R556" s="1647"/>
      <c r="S556" s="1729">
        <f>'Part IV-A-Uses of Funds'!S120</f>
        <v>20000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93340.25</v>
      </c>
      <c r="G557" s="1729">
        <f>'Part IV-A-Uses of Funds'!G121</f>
        <v>25000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25000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396746.66752956575</v>
      </c>
      <c r="G558" s="1729">
        <f>'Part IV-A-Uses of Funds'!G122</f>
        <v>410046.81</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410047</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3566</v>
      </c>
      <c r="F560" s="1736">
        <f>IF('Part VI-Revenues &amp; Expenses'!$O$67=0,0,G560/'Part VI-Revenues &amp; Expenses'!$O$67)</f>
        <v>1000</v>
      </c>
      <c r="G560" s="1729">
        <f>'Part IV-A-Uses of Funds'!G124</f>
        <v>76000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76000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531046.81000000006</v>
      </c>
      <c r="H562" s="1729"/>
      <c r="I562" s="1647"/>
      <c r="J562" s="1729">
        <f>SUM(J560:K561)</f>
        <v>0</v>
      </c>
      <c r="K562" s="1729"/>
      <c r="L562" s="1664"/>
      <c r="M562" s="1729">
        <f>SUM(M560:N561)</f>
        <v>0</v>
      </c>
      <c r="N562" s="1729"/>
      <c r="O562" s="1647"/>
      <c r="P562" s="1729">
        <f>SUM(P560:Q561)</f>
        <v>0</v>
      </c>
      <c r="Q562" s="1729"/>
      <c r="R562" s="1647"/>
      <c r="S562" s="1729">
        <f>SUM(S556:T561)</f>
        <v>531047</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627708</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400000</v>
      </c>
      <c r="Q564" s="1729">
        <f>'Part IV-A-Uses of Funds'!Q128</f>
        <v>0</v>
      </c>
      <c r="R564" s="1647"/>
      <c r="S564" s="1729">
        <f>'Part IV-A-Uses of Funds'!S128</f>
        <v>227708</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f>'Part IV-A-Uses of Funds'!C129</f>
        <v>0</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627708</v>
      </c>
      <c r="H566" s="1729"/>
      <c r="I566" s="1647"/>
      <c r="J566" s="1729">
        <f>SUM(J564:K565)</f>
        <v>0</v>
      </c>
      <c r="K566" s="1729"/>
      <c r="L566" s="1664"/>
      <c r="M566" s="1729">
        <f>SUM(M564:N565)</f>
        <v>0</v>
      </c>
      <c r="N566" s="1729"/>
      <c r="O566" s="1647"/>
      <c r="P566" s="1729">
        <f>SUM(P564:Q565)</f>
        <v>400000</v>
      </c>
      <c r="Q566" s="1729"/>
      <c r="R566" s="1647"/>
      <c r="S566" s="1729">
        <f>SUM(S564:T565)</f>
        <v>227708</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15458102.010000002</v>
      </c>
      <c r="H568" s="1771"/>
      <c r="I568" s="1647"/>
      <c r="J568" s="1771">
        <f>J453+J459+J463+J469+J474+J477+J483+J500+J513+J519+J527+J541+J547+J554+J562+J566</f>
        <v>0</v>
      </c>
      <c r="K568" s="1771"/>
      <c r="L568" s="1647"/>
      <c r="M568" s="1771">
        <f>M453+M459+M463+M469+M474+M477+M483+M500+M513+M519+M527+M541+M547+M554+M562+M566</f>
        <v>0</v>
      </c>
      <c r="N568" s="1771"/>
      <c r="O568" s="1647"/>
      <c r="P568" s="1771">
        <f>P453+P459+P463+P469+P474+P477+P483+P500+P513+P519+P527+P541+P547+P554+P562+P566</f>
        <v>10130887.640000001</v>
      </c>
      <c r="Q568" s="1771"/>
      <c r="R568" s="1647"/>
      <c r="S568" s="1771">
        <f>S453+S459+S463+S469+S474+S477+S483+S500+S513+S519+S527+S541+S547+S554+S562+S566</f>
        <v>5309824.6399999997</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203396.0790789474</v>
      </c>
      <c r="E570" s="1773"/>
      <c r="F570" s="1774" t="s">
        <v>2762</v>
      </c>
      <c r="G570" s="1773">
        <f>IF('Part I-Project Information'!$P$75=0,0,G568/'Part I-Project Information'!$P$75)</f>
        <v>235.99435147018414</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f>'Part IV-A-Uses of Funds'!C145</f>
        <v>0</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0</v>
      </c>
      <c r="N585" s="1779"/>
      <c r="O585" s="1647"/>
      <c r="P585" s="1779">
        <f>P568</f>
        <v>10130887.640000001</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0</v>
      </c>
      <c r="N587" s="1779"/>
      <c r="O587" s="1647"/>
      <c r="P587" s="1779">
        <f>P585-P586</f>
        <v>10130887.640000001</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0</v>
      </c>
      <c r="N589" s="1779"/>
      <c r="O589" s="1647"/>
      <c r="P589" s="1779">
        <f>P587*P588</f>
        <v>13170153.932000002</v>
      </c>
      <c r="Q589" s="1779"/>
      <c r="R589" s="1647"/>
      <c r="S589" s="1647"/>
      <c r="T589" s="1647"/>
      <c r="U589" s="1647"/>
      <c r="V589" s="1735"/>
      <c r="W589" s="1485"/>
      <c r="X589" s="1485"/>
    </row>
    <row r="590" spans="1:24">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0</v>
      </c>
      <c r="N591" s="1779"/>
      <c r="O591" s="1647"/>
      <c r="P591" s="1779">
        <f>P589*P590</f>
        <v>13170153.932000002</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1</v>
      </c>
      <c r="K592" s="1780">
        <f>'Part IV-A-Uses of Funds'!K156</f>
        <v>0</v>
      </c>
      <c r="L592" s="1647"/>
      <c r="M592" s="1780">
        <f>'Part IV-A-Uses of Funds'!M156</f>
        <v>1</v>
      </c>
      <c r="N592" s="1780">
        <f>'Part IV-A-Uses of Funds'!N156</f>
        <v>0</v>
      </c>
      <c r="O592" s="1647"/>
      <c r="P592" s="1780">
        <f>'Part IV-A-Uses of Funds'!P156</f>
        <v>1</v>
      </c>
      <c r="Q592" s="1780">
        <f>'Part IV-A-Uses of Funds'!Q156</f>
        <v>0</v>
      </c>
      <c r="R592" s="1647"/>
      <c r="S592" s="1647"/>
      <c r="T592" s="1647"/>
      <c r="U592" s="1647"/>
      <c r="V592" s="1735"/>
      <c r="W592" s="1485"/>
      <c r="X592" s="1485"/>
    </row>
    <row r="593" spans="1:24">
      <c r="A593" s="1647"/>
      <c r="B593" s="1647" t="s">
        <v>2541</v>
      </c>
      <c r="C593" s="1647"/>
      <c r="D593" s="1647"/>
      <c r="E593" s="1647"/>
      <c r="F593" s="1647"/>
      <c r="G593" s="1647"/>
      <c r="H593" s="1647"/>
      <c r="I593" s="1647"/>
      <c r="J593" s="1779">
        <f>J591*J592</f>
        <v>0</v>
      </c>
      <c r="K593" s="1779"/>
      <c r="L593" s="1647"/>
      <c r="M593" s="1779">
        <f>M591*M592</f>
        <v>0</v>
      </c>
      <c r="N593" s="1779"/>
      <c r="O593" s="1647"/>
      <c r="P593" s="1779">
        <f>P591*P592</f>
        <v>13170153.932000002</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13170153.932000002</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
      </c>
      <c r="H598" s="1741"/>
      <c r="I598" s="1741"/>
      <c r="J598" s="1784">
        <f>'Part VIII-Threshold Criteria'!$P$63</f>
        <v>16229310</v>
      </c>
      <c r="K598" s="1784"/>
      <c r="L598" s="1784"/>
      <c r="M598" s="1785" t="s">
        <v>2745</v>
      </c>
      <c r="N598" s="1785"/>
      <c r="O598" s="1785"/>
      <c r="P598" s="1785"/>
      <c r="Q598" s="1785"/>
      <c r="R598" s="1785"/>
      <c r="S598" s="1785" t="s">
        <v>3674</v>
      </c>
      <c r="T598" s="1785"/>
      <c r="U598" s="1647"/>
      <c r="V598" s="1735"/>
      <c r="W598" s="1485"/>
      <c r="X598" s="1485"/>
    </row>
    <row r="599" spans="1:24">
      <c r="A599" s="1647"/>
      <c r="B599" s="1647" t="s">
        <v>4516</v>
      </c>
      <c r="C599" s="1647"/>
      <c r="D599" s="1647"/>
      <c r="E599" s="1647"/>
      <c r="F599" s="1647"/>
      <c r="G599" s="1647"/>
      <c r="H599" s="1647"/>
      <c r="I599" s="1647"/>
      <c r="J599" s="1779">
        <f>'Part IV-A-Uses of Funds'!J163</f>
        <v>15458102.010000002</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8640000</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6818102.0100000016</v>
      </c>
      <c r="K601" s="1779"/>
      <c r="L601" s="1779"/>
      <c r="M601" s="1710" t="s">
        <v>2746</v>
      </c>
      <c r="N601" s="1710"/>
      <c r="O601" s="1786">
        <f>'Part III-Sources of Funds'!$I$42</f>
        <v>0</v>
      </c>
      <c r="P601" s="1786"/>
      <c r="Q601" s="1786"/>
      <c r="R601" s="1786"/>
      <c r="S601" s="1787" t="s">
        <v>1662</v>
      </c>
      <c r="T601" s="2137" t="str">
        <f>'Part IV-A-Uses of Funds'!T165</f>
        <v>No</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681810.20100000012</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1.33</v>
      </c>
      <c r="K604" s="1788"/>
      <c r="L604" s="1788"/>
      <c r="M604" s="1651" t="s">
        <v>1289</v>
      </c>
      <c r="N604" s="2138">
        <f>'Part IV-A-Uses of Funds'!N168</f>
        <v>0.78</v>
      </c>
      <c r="O604" s="2138">
        <f>'Part IV-A-Uses of Funds'!O168</f>
        <v>0</v>
      </c>
      <c r="P604" s="1651" t="s">
        <v>612</v>
      </c>
      <c r="Q604" s="2138">
        <f>'Part IV-A-Uses of Funds'!Q168</f>
        <v>0.55000000000000004</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512639.24887218053</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512639.24887218053</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512639</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4520</v>
      </c>
      <c r="C611" s="1647"/>
      <c r="D611" s="1653"/>
      <c r="E611" s="1653"/>
      <c r="F611" s="1654"/>
      <c r="G611" s="1647"/>
      <c r="H611" s="1647"/>
      <c r="I611" s="1647"/>
      <c r="J611" s="1714">
        <f>IF(J609="",0,+MIN(J607,J609))</f>
        <v>512639</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5.75">
      <c r="A623" s="1791" t="str">
        <f>CONCATENATE("PART FOUR (b) -  OTHER COSTS","  -  ",'Part I-Project Information'!$O$6," - ",'Part I-Project Information'!$F$34,"  -  ",'Part I-Project Information'!$F$38,"  -  ",'Part I-Project Information'!$J$39,",  ","County")</f>
        <v>PART FOUR (b) -  OTHER COSTS  -  2019-5 - Enclave at Milledgeville  -  Milledgeville  -  Baldwin,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PNA/Energy Audit/EarthCraft/Sewer Inspections</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3707</v>
      </c>
      <c r="B634" s="1800">
        <f>'Part IV-A-Uses of Funds'!$G$14</f>
        <v>62380</v>
      </c>
      <c r="C634" s="1799" t="s">
        <v>1790</v>
      </c>
      <c r="D634" s="1800">
        <f>'Part IV-A-Uses of Funds'!$J$14+'Part IV-A-Uses of Funds'!$M$14+'Part IV-A-Uses of Funds'!$P$14</f>
        <v>62380</v>
      </c>
      <c r="E634" s="2141"/>
      <c r="F634" s="2142"/>
      <c r="G634" s="1797"/>
      <c r="H634" s="2142"/>
    </row>
    <row r="635" spans="1:8" ht="13.5">
      <c r="A635" s="1797"/>
      <c r="B635" s="1801"/>
      <c r="C635" s="1797"/>
      <c r="D635" s="1797"/>
      <c r="E635" s="2141"/>
      <c r="F635" s="2142"/>
      <c r="G635" s="1802"/>
      <c r="H635" s="2142"/>
    </row>
    <row r="636" spans="1:8" ht="13.5" customHeight="1">
      <c r="A636" s="1798">
        <f>'Part IV-A-Uses of Funds'!$C$15</f>
        <v>0</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f>'Part IV-A-Uses of Funds'!$C$16</f>
        <v>0</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Lender Due Diligence Fee</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Lender Due Diligence Fee/Perm Loan app Fee 0.10%/Standby Fee 0.10%</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3707</v>
      </c>
      <c r="B673" s="1800">
        <f>'Part IV-A-Uses of Funds'!$G$90</f>
        <v>42280</v>
      </c>
      <c r="C673" s="1804"/>
      <c r="D673" s="1804"/>
      <c r="E673" s="1797"/>
      <c r="F673" s="2142"/>
      <c r="G673" s="1797"/>
      <c r="H673" s="2141"/>
    </row>
    <row r="674" spans="1:8" ht="13.5">
      <c r="A674" s="1797"/>
      <c r="B674" s="1797"/>
      <c r="C674" s="1797"/>
      <c r="D674" s="1797"/>
      <c r="E674" s="1797"/>
      <c r="F674" s="2142"/>
      <c r="G674" s="1802"/>
      <c r="H674" s="2141"/>
    </row>
    <row r="675" spans="1:8" ht="13.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3707</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4523</v>
      </c>
      <c r="B686" s="1797"/>
      <c r="C686" s="1797"/>
      <c r="D686" s="1797"/>
      <c r="E686" s="1797"/>
      <c r="F686" s="1797"/>
      <c r="G686" s="1797"/>
      <c r="H686" s="2141"/>
    </row>
    <row r="687" spans="1:8" ht="13.5" customHeight="1">
      <c r="A687" s="1798">
        <f>'Part IV-A-Uses of Funds'!$C$110</f>
        <v>0</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3707</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4524</v>
      </c>
      <c r="B698" s="1801"/>
      <c r="C698" s="1797"/>
      <c r="D698" s="1797"/>
      <c r="E698" s="1797"/>
      <c r="F698" s="1797"/>
      <c r="G698" s="1802"/>
      <c r="H698" s="2141"/>
    </row>
    <row r="699" spans="1:8" ht="13.5" customHeight="1">
      <c r="A699" s="1798">
        <f>'Part IV-A-Uses of Funds'!$C$129</f>
        <v>0</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Enclave at Milledgeville,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South</v>
      </c>
    </row>
    <row r="714" spans="1:13">
      <c r="A714" s="1806" t="s">
        <v>3806</v>
      </c>
    </row>
    <row r="716" spans="1:13">
      <c r="A716" s="1641" t="s">
        <v>616</v>
      </c>
      <c r="B716" s="1641" t="s">
        <v>2227</v>
      </c>
      <c r="F716" s="742" t="s">
        <v>2518</v>
      </c>
      <c r="I716" s="1635" t="str">
        <f>'Part V-Utility Allowances'!I7</f>
        <v>HUD</v>
      </c>
      <c r="J716" s="1635"/>
      <c r="K716" s="1635"/>
      <c r="L716" s="1635"/>
      <c r="M716" s="1635"/>
    </row>
    <row r="717" spans="1:13">
      <c r="A717" s="1641"/>
      <c r="F717" s="742" t="s">
        <v>636</v>
      </c>
      <c r="I717" s="2143">
        <f>'Part V-Utility Allowances'!I8</f>
        <v>43891</v>
      </c>
      <c r="J717" s="2143">
        <f>'Part V-Utility Allowances'!J8</f>
        <v>0</v>
      </c>
      <c r="K717" s="1637" t="s">
        <v>540</v>
      </c>
      <c r="L717" s="2111" t="str">
        <f>'Part V-Utility Allowances'!L8</f>
        <v>MF</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Natural Gas</v>
      </c>
      <c r="E721" s="2111">
        <f>'Part V-Utility Allowances'!E12</f>
        <v>0</v>
      </c>
      <c r="F721" s="2144" t="str">
        <f>'Part V-Utility Allowances'!F12</f>
        <v>X</v>
      </c>
      <c r="G721" s="2144">
        <f>'Part V-Utility Allowances'!G12</f>
        <v>0</v>
      </c>
      <c r="I721" s="1637">
        <f>'Part V-Utility Allowances'!I12</f>
        <v>0</v>
      </c>
      <c r="J721" s="1637">
        <f>'Part V-Utility Allowances'!J12</f>
        <v>52</v>
      </c>
      <c r="K721" s="1637">
        <f>'Part V-Utility Allowances'!K12</f>
        <v>84</v>
      </c>
      <c r="L721" s="1637">
        <f>'Part V-Utility Allowances'!L12</f>
        <v>105</v>
      </c>
      <c r="M721" s="1637">
        <f>'Part V-Utility Allowances'!M12</f>
        <v>0</v>
      </c>
    </row>
    <row r="722" spans="1:13">
      <c r="B722" s="742" t="s">
        <v>1597</v>
      </c>
      <c r="D722" s="2111" t="str">
        <f>'Part V-Utility Allowances'!D13</f>
        <v>Natural Gas</v>
      </c>
      <c r="E722" s="2111">
        <f>'Part V-Utility Allowances'!E13</f>
        <v>0</v>
      </c>
      <c r="F722" s="2144" t="str">
        <f>'Part V-Utility Allowances'!F13</f>
        <v>X</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Natural Gas</v>
      </c>
      <c r="E723" s="2111">
        <f>'Part V-Utility Allowances'!E14</f>
        <v>0</v>
      </c>
      <c r="F723" s="2144" t="str">
        <f>'Part V-Utility Allowances'!F14</f>
        <v>X</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3803</v>
      </c>
      <c r="D725" s="742" t="s">
        <v>1596</v>
      </c>
      <c r="F725" s="2144" t="str">
        <f>'Part V-Utility Allowances'!F16</f>
        <v>X</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3804</v>
      </c>
      <c r="D726" s="742" t="s">
        <v>1596</v>
      </c>
      <c r="F726" s="2144" t="str">
        <f>'Part V-Utility Allowances'!F17</f>
        <v>X</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3805</v>
      </c>
      <c r="D727" s="742" t="s">
        <v>1596</v>
      </c>
      <c r="F727" s="2144" t="str">
        <f>'Part V-Utility Allowances'!F18</f>
        <v>X</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c r="B728" s="742" t="s">
        <v>1370</v>
      </c>
      <c r="D728" s="742" t="s">
        <v>4525</v>
      </c>
      <c r="E728" s="1637" t="str">
        <f>'Part V-Utility Allowances'!E19</f>
        <v>Yes</v>
      </c>
      <c r="F728" s="2144" t="str">
        <f>'Part V-Utility Allowances'!F19</f>
        <v>X</v>
      </c>
      <c r="G728" s="2144">
        <f>'Part V-Utility Allowances'!G19</f>
        <v>0</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52</v>
      </c>
      <c r="K730" s="1639">
        <f>IF(SUM(K721:K729)=0,0,IF(OR($D721="&lt;&lt;Select Fuel &gt;&gt;",$D722="&lt;&lt;Select Fuel &gt;&gt;",$D723="&lt;&lt;Select Fuel &gt;&gt;"),"Select Fuel",IF($E728="&lt;Select&gt;","Submeter?",SUM(K721:K729))))</f>
        <v>84</v>
      </c>
      <c r="L730" s="1639">
        <f>IF(SUM(L721:L729)=0,0,IF(OR($D721="&lt;&lt;Select Fuel &gt;&gt;",$D722="&lt;&lt;Select Fuel &gt;&gt;",$D723="&lt;&lt;Select Fuel &gt;&gt;"),"Select Fuel",IF($E728="&lt;Select&gt;","Submeter?",SUM(L721:L729))))</f>
        <v>105</v>
      </c>
      <c r="M730" s="1639">
        <f>IF(SUM(M721:M729)=0,0,IF(OR($D721="&lt;&lt;Select Fuel &gt;&gt;",$D722="&lt;&lt;Select Fuel &gt;&gt;",$D723="&lt;&lt;Select Fuel &gt;&gt;"),"Select Fuel",IF($E728="&lt;Select&gt;","Submeter?",SUM(M721:M729))))</f>
        <v>0</v>
      </c>
    </row>
    <row r="732" spans="1:13">
      <c r="A732" s="1641" t="s">
        <v>740</v>
      </c>
      <c r="B732" s="1641" t="s">
        <v>2228</v>
      </c>
      <c r="F732" s="742" t="s">
        <v>2518</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3803</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3804</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3805</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4525</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4526</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Enclave at Milledgeville,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Enclave at Milledgeville,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2439</v>
      </c>
      <c r="FD760" s="1632" t="s">
        <v>2440</v>
      </c>
      <c r="FE760" s="1632" t="s">
        <v>2441</v>
      </c>
      <c r="FF760" s="1632" t="s">
        <v>2442</v>
      </c>
      <c r="FG760" s="1632" t="s">
        <v>485</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485</v>
      </c>
      <c r="FW760" s="1632" t="s">
        <v>2439</v>
      </c>
      <c r="FX760" s="1632" t="s">
        <v>2440</v>
      </c>
      <c r="FY760" s="1632" t="s">
        <v>2441</v>
      </c>
      <c r="FZ760" s="1632" t="s">
        <v>2442</v>
      </c>
      <c r="GA760" s="1632" t="s">
        <v>485</v>
      </c>
      <c r="GB760" s="1632" t="s">
        <v>2439</v>
      </c>
      <c r="GC760" s="1632" t="s">
        <v>2440</v>
      </c>
      <c r="GD760" s="1632" t="s">
        <v>2441</v>
      </c>
      <c r="GE760" s="1632" t="s">
        <v>2442</v>
      </c>
      <c r="GF760" s="1632" t="s">
        <v>485</v>
      </c>
      <c r="GG760" s="1632" t="s">
        <v>2439</v>
      </c>
      <c r="GH760" s="1632" t="s">
        <v>2440</v>
      </c>
      <c r="GI760" s="1632" t="s">
        <v>2441</v>
      </c>
      <c r="GJ760" s="1632" t="s">
        <v>2442</v>
      </c>
      <c r="GK760" s="1632" t="s">
        <v>485</v>
      </c>
      <c r="GL760" s="1632" t="s">
        <v>2439</v>
      </c>
      <c r="GM760" s="1632" t="s">
        <v>2440</v>
      </c>
      <c r="GN760" s="1632" t="s">
        <v>2441</v>
      </c>
      <c r="GO760" s="1632" t="s">
        <v>2442</v>
      </c>
      <c r="GP760" s="1632" t="s">
        <v>485</v>
      </c>
      <c r="GQ760" s="1632" t="s">
        <v>2439</v>
      </c>
      <c r="GR760" s="1632" t="s">
        <v>2440</v>
      </c>
      <c r="GS760" s="1632" t="s">
        <v>2441</v>
      </c>
      <c r="GT760" s="1632" t="s">
        <v>2442</v>
      </c>
      <c r="GU760" s="1632" t="s">
        <v>485</v>
      </c>
      <c r="GV760" s="1632" t="s">
        <v>2439</v>
      </c>
      <c r="GW760" s="1632" t="s">
        <v>2440</v>
      </c>
      <c r="GX760" s="1632" t="s">
        <v>2441</v>
      </c>
      <c r="GY760" s="1632" t="s">
        <v>2442</v>
      </c>
      <c r="GZ760" s="1632" t="s">
        <v>485</v>
      </c>
      <c r="HA760" s="1632" t="s">
        <v>2439</v>
      </c>
      <c r="HB760" s="1632" t="s">
        <v>2440</v>
      </c>
      <c r="HC760" s="1632" t="s">
        <v>2441</v>
      </c>
      <c r="HD760" s="1632" t="s">
        <v>2442</v>
      </c>
      <c r="HE760" s="1632" t="s">
        <v>485</v>
      </c>
      <c r="HF760" s="1632" t="s">
        <v>2439</v>
      </c>
      <c r="HG760" s="1632" t="s">
        <v>2440</v>
      </c>
      <c r="HH760" s="1632" t="s">
        <v>2441</v>
      </c>
      <c r="HI760" s="1632" t="s">
        <v>2442</v>
      </c>
      <c r="HJ760" s="1632" t="s">
        <v>485</v>
      </c>
      <c r="HK760" s="1632" t="s">
        <v>2439</v>
      </c>
      <c r="HL760" s="1632" t="s">
        <v>2440</v>
      </c>
      <c r="HM760" s="1632" t="s">
        <v>2441</v>
      </c>
      <c r="HN760" s="1632" t="s">
        <v>2442</v>
      </c>
      <c r="HO760" s="1632" t="s">
        <v>485</v>
      </c>
      <c r="HP760" s="1632" t="s">
        <v>2439</v>
      </c>
      <c r="HQ760" s="1632" t="s">
        <v>2440</v>
      </c>
      <c r="HR760" s="1632" t="s">
        <v>2441</v>
      </c>
      <c r="HS760" s="1632" t="s">
        <v>2442</v>
      </c>
      <c r="HT760" s="1632" t="s">
        <v>485</v>
      </c>
      <c r="HU760" s="1632" t="s">
        <v>2439</v>
      </c>
      <c r="HV760" s="1632" t="s">
        <v>2440</v>
      </c>
      <c r="HW760" s="1632" t="s">
        <v>2441</v>
      </c>
      <c r="HX760" s="1632" t="s">
        <v>2442</v>
      </c>
      <c r="HY760" s="1632" t="s">
        <v>485</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2429</v>
      </c>
      <c r="BV761" s="1810" t="s">
        <v>2430</v>
      </c>
      <c r="BW761" s="1810" t="s">
        <v>2431</v>
      </c>
      <c r="BX761" s="1810" t="s">
        <v>2432</v>
      </c>
      <c r="BY761" s="1810" t="s">
        <v>2433</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2428</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c r="A763" s="1811"/>
      <c r="B763" s="1814" t="s">
        <v>1805</v>
      </c>
      <c r="E763" s="1629"/>
      <c r="F763" s="1637" t="str">
        <f>'Part VI-Revenues &amp; Expenses'!F6</f>
        <v>Yes</v>
      </c>
      <c r="G763" s="1812" t="s">
        <v>3664</v>
      </c>
      <c r="H763" s="1808" t="s">
        <v>3891</v>
      </c>
      <c r="I763" s="1812" t="s">
        <v>799</v>
      </c>
      <c r="J763" s="1812" t="s">
        <v>3667</v>
      </c>
      <c r="K763" s="1636"/>
      <c r="L763" s="1636"/>
      <c r="M763" s="1815" t="str">
        <f>'Part I-Project Information'!$O$40</f>
        <v>Baldwin Co.</v>
      </c>
      <c r="N763" s="1815"/>
      <c r="O763" s="1816">
        <f>VLOOKUP('Part I-Project Information'!$O$40,'DCA Underwriting Assumptions'!$C$158:$D$268,2)</f>
        <v>51500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3851</v>
      </c>
      <c r="J764" s="1812" t="s">
        <v>3668</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4528</v>
      </c>
      <c r="K765" s="1820" t="s">
        <v>145</v>
      </c>
      <c r="L765" s="1820"/>
      <c r="M765" s="1812" t="s">
        <v>2367</v>
      </c>
      <c r="N765" s="1812" t="s">
        <v>532</v>
      </c>
      <c r="O765" s="1812" t="s">
        <v>383</v>
      </c>
      <c r="P765" s="1808"/>
      <c r="Q765" s="1820" t="s">
        <v>3573</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568</v>
      </c>
      <c r="FM765" s="1637" t="s">
        <v>2439</v>
      </c>
      <c r="FN765" s="1637" t="s">
        <v>2440</v>
      </c>
      <c r="FO765" s="1637" t="s">
        <v>2441</v>
      </c>
      <c r="FP765" s="1637" t="s">
        <v>2442</v>
      </c>
      <c r="FQ765" s="1637" t="s">
        <v>568</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3314</v>
      </c>
      <c r="O766" s="1812" t="s">
        <v>384</v>
      </c>
      <c r="P766" s="1808"/>
      <c r="Q766" s="1812" t="s">
        <v>3574</v>
      </c>
      <c r="R766" s="1812" t="s">
        <v>1040</v>
      </c>
      <c r="S766" s="1812" t="s">
        <v>1478</v>
      </c>
      <c r="T766" s="1812" t="s">
        <v>2696</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14</v>
      </c>
      <c r="F777" s="2148">
        <f>'Part VI-Revenues &amp; Expenses'!F20</f>
        <v>616</v>
      </c>
      <c r="G777" s="2148">
        <f>'Part VI-Revenues &amp; Expenses'!G20</f>
        <v>949</v>
      </c>
      <c r="H777" s="2148">
        <f>'Part VI-Revenues &amp; Expenses'!H20</f>
        <v>949</v>
      </c>
      <c r="I777" s="2148">
        <f>'Part VI-Revenues &amp; Expenses'!I20</f>
        <v>52</v>
      </c>
      <c r="J777" s="2149" t="str">
        <f>'Part VI-Revenues &amp; Expenses'!J20</f>
        <v>HUD</v>
      </c>
      <c r="K777" s="1822">
        <f t="shared" si="1"/>
        <v>897</v>
      </c>
      <c r="L777" s="1822">
        <f t="shared" si="2"/>
        <v>12558</v>
      </c>
      <c r="M777" s="2133" t="str">
        <f>'Part VI-Revenues &amp; Expenses'!M20</f>
        <v>No</v>
      </c>
      <c r="N777" s="2133" t="str">
        <f>'Part VI-Revenues &amp; Expenses'!N20</f>
        <v>2-Story</v>
      </c>
      <c r="O777" s="2133" t="str">
        <f>'Part VI-Revenues &amp; Expenses'!O20</f>
        <v>Acquisition/Rehab</v>
      </c>
      <c r="P777" s="1633" t="str">
        <f>'Part VI-Revenues &amp; Expenses'!P20</f>
        <v>No</v>
      </c>
      <c r="Q777" s="1823">
        <f>'Part VI-Revenues &amp; Expenses'!Q20</f>
        <v>37960</v>
      </c>
      <c r="R777" s="1824">
        <f>'Part VI-Revenues &amp; Expenses'!R20</f>
        <v>0.98278317152103556</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f t="shared" si="79"/>
        <v>8624</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f t="shared" si="104"/>
        <v>14</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14</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f t="shared" si="189"/>
        <v>14</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14</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1</v>
      </c>
      <c r="E778" s="2148">
        <f>'Part VI-Revenues &amp; Expenses'!E21</f>
        <v>30</v>
      </c>
      <c r="F778" s="2148">
        <f>'Part VI-Revenues &amp; Expenses'!F21</f>
        <v>832</v>
      </c>
      <c r="G778" s="2148">
        <f>'Part VI-Revenues &amp; Expenses'!G21</f>
        <v>1116</v>
      </c>
      <c r="H778" s="2148">
        <f>'Part VI-Revenues &amp; Expenses'!H21</f>
        <v>1116</v>
      </c>
      <c r="I778" s="2148">
        <f>'Part VI-Revenues &amp; Expenses'!I21</f>
        <v>84</v>
      </c>
      <c r="J778" s="2149" t="str">
        <f>'Part VI-Revenues &amp; Expenses'!J21</f>
        <v>HUD</v>
      </c>
      <c r="K778" s="1822">
        <f t="shared" si="1"/>
        <v>1032</v>
      </c>
      <c r="L778" s="1822">
        <f t="shared" si="2"/>
        <v>30960</v>
      </c>
      <c r="M778" s="2133" t="str">
        <f>'Part VI-Revenues &amp; Expenses'!M21</f>
        <v>No</v>
      </c>
      <c r="N778" s="2133" t="str">
        <f>'Part VI-Revenues &amp; Expenses'!N21</f>
        <v>2-Story</v>
      </c>
      <c r="O778" s="2133" t="str">
        <f>'Part VI-Revenues &amp; Expenses'!O21</f>
        <v>Acquisition/Rehab</v>
      </c>
      <c r="P778" s="1633" t="str">
        <f>'Part VI-Revenues &amp; Expenses'!P21</f>
        <v>No</v>
      </c>
      <c r="Q778" s="1823">
        <f>'Part VI-Revenues &amp; Expenses'!Q21</f>
        <v>44640</v>
      </c>
      <c r="R778" s="1824">
        <f>'Part VI-Revenues &amp; Expenses'!R21</f>
        <v>0.96310679611650485</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f t="shared" si="80"/>
        <v>24960</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f t="shared" si="105"/>
        <v>30</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30</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f t="shared" si="190"/>
        <v>30</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30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3</v>
      </c>
      <c r="D779" s="2147">
        <f>'Part VI-Revenues &amp; Expenses'!D22</f>
        <v>1</v>
      </c>
      <c r="E779" s="2148">
        <f>'Part VI-Revenues &amp; Expenses'!E22</f>
        <v>32</v>
      </c>
      <c r="F779" s="2148">
        <f>'Part VI-Revenues &amp; Expenses'!F22</f>
        <v>959</v>
      </c>
      <c r="G779" s="2148">
        <f>'Part VI-Revenues &amp; Expenses'!G22</f>
        <v>1262</v>
      </c>
      <c r="H779" s="2148">
        <f>'Part VI-Revenues &amp; Expenses'!H22</f>
        <v>1262</v>
      </c>
      <c r="I779" s="2148">
        <f>'Part VI-Revenues &amp; Expenses'!I22</f>
        <v>105</v>
      </c>
      <c r="J779" s="2149" t="str">
        <f>'Part VI-Revenues &amp; Expenses'!J22</f>
        <v>HUD</v>
      </c>
      <c r="K779" s="1822">
        <f t="shared" si="1"/>
        <v>1157</v>
      </c>
      <c r="L779" s="1822">
        <f t="shared" si="2"/>
        <v>37024</v>
      </c>
      <c r="M779" s="2133" t="str">
        <f>'Part VI-Revenues &amp; Expenses'!M22</f>
        <v>No</v>
      </c>
      <c r="N779" s="2133" t="str">
        <f>'Part VI-Revenues &amp; Expenses'!N22</f>
        <v>2-Story</v>
      </c>
      <c r="O779" s="2133" t="str">
        <f>'Part VI-Revenues &amp; Expenses'!O22</f>
        <v>Acquisition/Rehab</v>
      </c>
      <c r="P779" s="1633" t="str">
        <f>'Part VI-Revenues &amp; Expenses'!P22</f>
        <v>No</v>
      </c>
      <c r="Q779" s="1823">
        <f>'Part VI-Revenues &amp; Expenses'!Q22</f>
        <v>50480</v>
      </c>
      <c r="R779" s="1824">
        <f>'Part VI-Revenues &amp; Expenses'!R22</f>
        <v>0.94249439880507846</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f t="shared" si="81"/>
        <v>30688</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f t="shared" si="106"/>
        <v>32</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f t="shared" si="136"/>
        <v>32</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f t="shared" si="191"/>
        <v>32</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32</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60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76</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64272</v>
      </c>
      <c r="G805" s="522"/>
      <c r="H805" s="522"/>
      <c r="I805" s="522"/>
      <c r="J805" s="522"/>
      <c r="K805" s="1828" t="s">
        <v>1302</v>
      </c>
      <c r="L805" s="1826">
        <f>SUM(L767:L804)</f>
        <v>80542</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8624</v>
      </c>
      <c r="CV805" s="1640">
        <f t="shared" si="259"/>
        <v>24960</v>
      </c>
      <c r="CW805" s="1640">
        <f t="shared" si="259"/>
        <v>30688</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14</v>
      </c>
      <c r="DU805" s="1640">
        <f t="shared" si="259"/>
        <v>30</v>
      </c>
      <c r="DV805" s="1640">
        <f t="shared" si="259"/>
        <v>32</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14</v>
      </c>
      <c r="EY805" s="1640">
        <f t="shared" si="260"/>
        <v>30</v>
      </c>
      <c r="EZ805" s="1640">
        <f t="shared" si="260"/>
        <v>32</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14</v>
      </c>
      <c r="HB805" s="1640">
        <f t="shared" si="260"/>
        <v>30</v>
      </c>
      <c r="HC805" s="1640">
        <f t="shared" si="260"/>
        <v>32</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14</v>
      </c>
      <c r="JE805" s="1640">
        <f t="shared" si="261"/>
        <v>30</v>
      </c>
      <c r="JF805" s="1640">
        <f t="shared" si="261"/>
        <v>32</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966504</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14</v>
      </c>
      <c r="L832" s="1833">
        <f>DU805</f>
        <v>30</v>
      </c>
      <c r="M832" s="1833">
        <f>DV805</f>
        <v>32</v>
      </c>
      <c r="N832" s="1833">
        <f>DW805</f>
        <v>0</v>
      </c>
      <c r="O832" s="1833">
        <f t="shared" si="263"/>
        <v>76</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14</v>
      </c>
      <c r="L834" s="1833">
        <f>SUM(L832:L833)+EE805</f>
        <v>30</v>
      </c>
      <c r="M834" s="1833">
        <f>SUM(M832:M833)+EF805</f>
        <v>32</v>
      </c>
      <c r="N834" s="1833">
        <f>SUM(N832:N833)+EG805</f>
        <v>0</v>
      </c>
      <c r="O834" s="1833">
        <f t="shared" si="263"/>
        <v>76</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14</v>
      </c>
      <c r="L843" s="1833">
        <f t="shared" si="264"/>
        <v>30</v>
      </c>
      <c r="M843" s="1833">
        <f t="shared" si="264"/>
        <v>32</v>
      </c>
      <c r="N843" s="1833">
        <f t="shared" si="264"/>
        <v>0</v>
      </c>
      <c r="O843" s="1833">
        <f t="shared" si="264"/>
        <v>76</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14</v>
      </c>
      <c r="L846" s="1833">
        <f>HB805</f>
        <v>30</v>
      </c>
      <c r="M846" s="1833">
        <f>HC805</f>
        <v>32</v>
      </c>
      <c r="N846" s="1833">
        <f>HD805</f>
        <v>0</v>
      </c>
      <c r="O846" s="1833">
        <f t="shared" si="265"/>
        <v>76</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14</v>
      </c>
      <c r="L867" s="1833">
        <f t="shared" si="270"/>
        <v>30</v>
      </c>
      <c r="M867" s="1833">
        <f t="shared" si="270"/>
        <v>32</v>
      </c>
      <c r="N867" s="1833">
        <f t="shared" si="270"/>
        <v>0</v>
      </c>
      <c r="O867" s="1833">
        <f t="shared" si="267"/>
        <v>76</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19330.080000000002</v>
      </c>
      <c r="I879" s="2151">
        <f>'Part VI-Revenues &amp; Expenses'!I173</f>
        <v>0</v>
      </c>
      <c r="J879" s="1486"/>
      <c r="K879" s="1849" t="s">
        <v>4534</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32000</v>
      </c>
      <c r="G921" s="1847">
        <f>'Part VI-Revenues &amp; Expenses'!G215</f>
        <v>0</v>
      </c>
      <c r="I921" s="1631" t="s">
        <v>1378</v>
      </c>
      <c r="K921" s="1847">
        <f>'Part VI-Revenues &amp; Expenses'!K215</f>
        <v>0</v>
      </c>
      <c r="L921" s="1847">
        <f>'Part VI-Revenues &amp; Expenses'!L215</f>
        <v>0</v>
      </c>
      <c r="N921" s="1631" t="s">
        <v>929</v>
      </c>
      <c r="P921" s="1862">
        <f>'Part VI-Revenues &amp; Expenses'!P215</f>
        <v>48000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32000</v>
      </c>
      <c r="G922" s="1847">
        <f>'Part VI-Revenues &amp; Expenses'!G216</f>
        <v>0</v>
      </c>
      <c r="I922" s="1631" t="s">
        <v>1379</v>
      </c>
      <c r="K922" s="1847">
        <f>'Part VI-Revenues &amp; Expenses'!K216</f>
        <v>3000</v>
      </c>
      <c r="L922" s="1847">
        <f>'Part VI-Revenues &amp; Expenses'!L216</f>
        <v>0</v>
      </c>
      <c r="N922" s="1631" t="s">
        <v>147</v>
      </c>
      <c r="P922" s="1862">
        <f>'Part VI-Revenues &amp; Expenses'!P216</f>
        <v>22800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3000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Payroll Burden</v>
      </c>
      <c r="C924" s="521">
        <f>'Part VI-Revenues &amp; Expenses'!C218</f>
        <v>0</v>
      </c>
      <c r="D924" s="521">
        <f>'Part VI-Revenues &amp; Expenses'!D218</f>
        <v>0</v>
      </c>
      <c r="E924" s="521">
        <f>'Part VI-Revenues &amp; Expenses'!E218</f>
        <v>0</v>
      </c>
      <c r="F924" s="1847">
        <f>'Part VI-Revenues &amp; Expenses'!F218</f>
        <v>19200</v>
      </c>
      <c r="G924" s="1847">
        <f>'Part VI-Revenues &amp; Expenses'!G218</f>
        <v>0</v>
      </c>
      <c r="N924" s="1861" t="s">
        <v>191</v>
      </c>
      <c r="P924" s="1862">
        <f>SUM(P921:P923)</f>
        <v>70800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83200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45841</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1300</v>
      </c>
      <c r="G928" s="1847">
        <f>'Part VI-Revenues &amp; Expenses'!G222</f>
        <v>0</v>
      </c>
      <c r="I928" s="1631" t="s">
        <v>1602</v>
      </c>
      <c r="K928" s="1862">
        <f>'Part VI-Revenues &amp; Expenses'!K222</f>
        <v>5000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1200</v>
      </c>
      <c r="G929" s="1847">
        <f>'Part VI-Revenues &amp; Expenses'!G223</f>
        <v>0</v>
      </c>
      <c r="I929" s="1631" t="s">
        <v>2049</v>
      </c>
      <c r="K929" s="1862">
        <f>'Part VI-Revenues &amp; Expenses'!K223</f>
        <v>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600</v>
      </c>
      <c r="G930" s="1847">
        <f>'Part VI-Revenues &amp; Expenses'!G224</f>
        <v>0</v>
      </c>
      <c r="I930" s="1631" t="s">
        <v>1603</v>
      </c>
      <c r="K930" s="1862">
        <f>'Part VI-Revenues &amp; Expenses'!K224</f>
        <v>12000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1000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17000</v>
      </c>
      <c r="L932" s="1862"/>
      <c r="M932" s="1868" t="str">
        <f>IF(P934="","",IF(P932&lt;P934, "WARNING! OE below required minimum.",""))</f>
        <v/>
      </c>
      <c r="N932" s="1629" t="s">
        <v>2186</v>
      </c>
      <c r="P932" s="1862">
        <f>F925+F934+F945+K923+K932+K942+P924+P927</f>
        <v>373361</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Bookkeeping/Compliance</v>
      </c>
      <c r="C933" s="521">
        <f>'Part VI-Revenues &amp; Expenses'!C227</f>
        <v>0</v>
      </c>
      <c r="D933" s="521">
        <f>'Part VI-Revenues &amp; Expenses'!D227</f>
        <v>0</v>
      </c>
      <c r="E933" s="521">
        <f>'Part VI-Revenues &amp; Expenses'!E227</f>
        <v>0</v>
      </c>
      <c r="F933" s="1847">
        <f>'Part VI-Revenues &amp; Expenses'!F227</f>
        <v>9120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13220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2754</v>
      </c>
      <c r="N936" s="1629" t="s">
        <v>3480</v>
      </c>
      <c r="O936" s="1629"/>
      <c r="P936" s="2155">
        <f>'Part VI-Revenues &amp; Expenses'!P230</f>
        <v>26600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20000</v>
      </c>
      <c r="G937" s="1847">
        <f>'Part VI-Revenues &amp; Expenses'!G231</f>
        <v>0</v>
      </c>
      <c r="I937" s="1631" t="s">
        <v>1368</v>
      </c>
      <c r="J937" s="1736" t="e">
        <f>K937/12/O819</f>
        <v>#DIV/0!</v>
      </c>
      <c r="K937" s="1862">
        <f>'Part VI-Revenues &amp; Expenses'!K231</f>
        <v>7800</v>
      </c>
      <c r="L937" s="1862">
        <f>'Part VI-Revenues &amp; Expenses'!L231</f>
        <v>0</v>
      </c>
      <c r="M937" s="1868" t="str">
        <f>IF(P936&lt;P945, "WARNING! RR proposed is below the DCA required minimum.","")</f>
        <v/>
      </c>
      <c r="N937" s="521" t="s">
        <v>3739</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23500</v>
      </c>
      <c r="G938" s="1847">
        <f>'Part VI-Revenues &amp; Expenses'!G232</f>
        <v>0</v>
      </c>
      <c r="I938" s="1631" t="s">
        <v>1369</v>
      </c>
      <c r="J938" s="1736" t="e">
        <f>K938/12/O819</f>
        <v>#DIV/0!</v>
      </c>
      <c r="K938" s="1862">
        <f>'Part VI-Revenues &amp; Expenses'!K232</f>
        <v>0</v>
      </c>
      <c r="L938" s="1862">
        <f>'Part VI-Revenues &amp; Expenses'!L232</f>
        <v>0</v>
      </c>
      <c r="M938" s="1868"/>
      <c r="N938" s="1870" t="s">
        <v>3738</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7000</v>
      </c>
      <c r="G939" s="1847">
        <f>'Part VI-Revenues &amp; Expenses'!G233</f>
        <v>0</v>
      </c>
      <c r="I939" s="1631" t="s">
        <v>2352</v>
      </c>
      <c r="J939" s="1736" t="e">
        <f>K939/12/O819</f>
        <v>#DIV/0!</v>
      </c>
      <c r="K939" s="1862">
        <f>'Part VI-Revenues &amp; Expenses'!K233</f>
        <v>60000</v>
      </c>
      <c r="L939" s="1862">
        <f>'Part VI-Revenues &amp; Expenses'!L233</f>
        <v>0</v>
      </c>
      <c r="M939" s="1868"/>
      <c r="N939" s="1871" t="s">
        <v>2713</v>
      </c>
      <c r="O939" s="1872" t="s">
        <v>3850</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3500</v>
      </c>
      <c r="G940" s="1847">
        <f>'Part VI-Revenues &amp; Expenses'!G234</f>
        <v>0</v>
      </c>
      <c r="I940" s="1631" t="s">
        <v>1371</v>
      </c>
      <c r="K940" s="1862">
        <f>'Part VI-Revenues &amp; Expenses'!K234</f>
        <v>13000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4000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76 units x $350 =</v>
      </c>
      <c r="P941" s="1874">
        <f>SUM(JC805:JG805)*'DCA Underwriting Assumptions'!$Q$64</f>
        <v>26600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80800</v>
      </c>
      <c r="L942" s="1862"/>
      <c r="M942" s="1868"/>
      <c r="N942" s="1652" t="s">
        <v>3428</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1500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59500</v>
      </c>
      <c r="G945" s="1847"/>
      <c r="J945" s="1833"/>
      <c r="N945" s="1828" t="s">
        <v>2716</v>
      </c>
      <c r="O945" s="1823">
        <f>SUM(JC805:JG805)+SUM(JH805:JL805)+SUM(JM805:JQ805)+O841</f>
        <v>76</v>
      </c>
      <c r="P945" s="1875">
        <f>SUM(P941:P944)</f>
        <v>26600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399961</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Enclave at Milledgeville,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4537</v>
      </c>
    </row>
    <row r="961" spans="1:19" ht="12.75" customHeight="1">
      <c r="A961" s="742" t="s">
        <v>2188</v>
      </c>
      <c r="B961" s="1876">
        <v>0.02</v>
      </c>
      <c r="D961" s="1838" t="s">
        <v>4538</v>
      </c>
      <c r="E961" s="1838"/>
      <c r="F961" s="1838"/>
      <c r="G961" s="2156">
        <f>'Part VII-Pro Forma'!G5</f>
        <v>7500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2507</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0.05</v>
      </c>
    </row>
    <row r="967" spans="1:19">
      <c r="A967" s="1641" t="s">
        <v>91</v>
      </c>
      <c r="D967" s="1805"/>
    </row>
    <row r="969" spans="1:19">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966504</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5" t="s">
        <v>4189</v>
      </c>
    </row>
    <row r="971" spans="1:19">
      <c r="A971" s="742" t="s">
        <v>1016</v>
      </c>
      <c r="B971" s="1881">
        <f>MIN(B970*B965,'Part VI-Revenues &amp; Expenses'!$H$173)</f>
        <v>19330.080000000002</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5"/>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5" t="s">
        <v>3885</v>
      </c>
      <c r="R972" s="4315" t="s">
        <v>4188</v>
      </c>
      <c r="S972" s="4315"/>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5"/>
      <c r="R973" s="4315"/>
      <c r="S973" s="4315"/>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-327520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154789.74494086846</v>
      </c>
    </row>
    <row r="976" spans="1:19">
      <c r="A976" s="742" t="s">
        <v>1115</v>
      </c>
      <c r="B976" s="1881">
        <f>IF(AND('Part VII-Pro Forma'!$G$8="Yes",'Part VII-Pro Forma'!$G$9="Yes"),"Choose One!",IF('Part VII-Pro Forma'!$G$8="Yes",ROUND((-$K$8*(1+'Part VII-Pro Forma'!$B$6)^('Part VII-Pro Forma'!B977-1)),),IF('Part VII-Pro Forma'!$G$9="Yes",ROUND((-(SUM(B970:B973)*'Part VII-Pro Forma'!$K$9)),),"Choose mgt fee")))</f>
        <v>-49292</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-272842.59011826303</v>
      </c>
    </row>
    <row r="977" spans="1:19">
      <c r="A977" s="742" t="s">
        <v>1202</v>
      </c>
      <c r="B977" s="1881">
        <f>-('Part VI-Revenues &amp; Expenses'!$P$230)</f>
        <v>-26600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-700474.92517739453</v>
      </c>
    </row>
    <row r="978" spans="1:19">
      <c r="A978" s="742" t="s">
        <v>1203</v>
      </c>
      <c r="B978" s="1881">
        <f t="shared" ref="B978:K978" si="284">SUM(B970:B977)</f>
        <v>582422.07999999996</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-1128107.2602365259</v>
      </c>
    </row>
    <row r="979" spans="1:19">
      <c r="A979" s="742" t="s">
        <v>1591</v>
      </c>
      <c r="B979" s="1881">
        <f>'Part VII-Pro Forma'!B25</f>
        <v>-420132.3350591315</v>
      </c>
      <c r="C979" s="1881">
        <f>'Part VII-Pro Forma'!C25</f>
        <v>-420132.3350591315</v>
      </c>
      <c r="D979" s="1881">
        <f>'Part VII-Pro Forma'!D25</f>
        <v>-420132.3350591315</v>
      </c>
      <c r="E979" s="1881">
        <f>'Part VII-Pro Forma'!E25</f>
        <v>-420132.3350591315</v>
      </c>
      <c r="F979" s="1881">
        <f>'Part VII-Pro Forma'!F25</f>
        <v>-420132.3350591315</v>
      </c>
      <c r="G979" s="1881">
        <f>'Part VII-Pro Forma'!G25</f>
        <v>-420132.3350591315</v>
      </c>
      <c r="H979" s="1881">
        <f>'Part VII-Pro Forma'!H25</f>
        <v>-420132.3350591315</v>
      </c>
      <c r="I979" s="1881">
        <f>'Part VII-Pro Forma'!I25</f>
        <v>-420132.3350591315</v>
      </c>
      <c r="J979" s="1881">
        <f>'Part VII-Pro Forma'!J25</f>
        <v>-420132.3350591315</v>
      </c>
      <c r="K979" s="1881">
        <f>'Part VII-Pro Forma'!K25</f>
        <v>-420132.3350591315</v>
      </c>
      <c r="Q979" s="517">
        <v>5</v>
      </c>
      <c r="R979" s="518">
        <f>-SUM(B985:F985)</f>
        <v>0</v>
      </c>
      <c r="S979" s="518">
        <f>SUM(B986:F986)+R979</f>
        <v>-1555739.5952956574</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-1983371.9303547889</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-2411004.2654139204</v>
      </c>
    </row>
    <row r="982" spans="1:19">
      <c r="A982" s="742" t="s">
        <v>3853</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-2838636.6004730519</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-3266268.9355321834</v>
      </c>
    </row>
    <row r="984" spans="1:19">
      <c r="A984" s="742" t="s">
        <v>1163</v>
      </c>
      <c r="B984" s="1881">
        <f>'Part VII-Pro Forma'!B30</f>
        <v>-7500</v>
      </c>
      <c r="C984" s="1881">
        <f>'Part VII-Pro Forma'!C30</f>
        <v>-7500</v>
      </c>
      <c r="D984" s="1881">
        <f>'Part VII-Pro Forma'!D30</f>
        <v>-7500</v>
      </c>
      <c r="E984" s="1881">
        <f>'Part VII-Pro Forma'!E30</f>
        <v>-7500</v>
      </c>
      <c r="F984" s="1881">
        <f>'Part VII-Pro Forma'!F30</f>
        <v>-7500</v>
      </c>
      <c r="G984" s="1881">
        <f>'Part VII-Pro Forma'!G30</f>
        <v>-7500</v>
      </c>
      <c r="H984" s="1881">
        <f>'Part VII-Pro Forma'!H30</f>
        <v>-7500</v>
      </c>
      <c r="I984" s="1881">
        <f>'Part VII-Pro Forma'!I30</f>
        <v>-7500</v>
      </c>
      <c r="J984" s="1881">
        <f>'Part VII-Pro Forma'!J30</f>
        <v>-7500</v>
      </c>
      <c r="K984" s="1881">
        <f>'Part VII-Pro Forma'!K30</f>
        <v>-7500</v>
      </c>
      <c r="Q984" s="517">
        <v>10</v>
      </c>
      <c r="R984" s="518">
        <f>-SUM(B985:K985)</f>
        <v>0</v>
      </c>
      <c r="S984" s="518">
        <f>SUM(B986:K986)+R984</f>
        <v>-3693901.2705913149</v>
      </c>
    </row>
    <row r="985" spans="1:19">
      <c r="A985" s="742" t="s">
        <v>4086</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-4121533.6056504464</v>
      </c>
    </row>
    <row r="986" spans="1:19">
      <c r="A986" s="742" t="s">
        <v>1164</v>
      </c>
      <c r="B986" s="1881">
        <f>SUM(B978:B985)</f>
        <v>154789.74494086846</v>
      </c>
      <c r="C986" s="1881">
        <f t="shared" ref="C986:K986" si="285">SUM(C978:C985)</f>
        <v>-427632.3350591315</v>
      </c>
      <c r="D986" s="1881">
        <f t="shared" si="285"/>
        <v>-427632.3350591315</v>
      </c>
      <c r="E986" s="1881">
        <f t="shared" si="285"/>
        <v>-427632.3350591315</v>
      </c>
      <c r="F986" s="1881">
        <f t="shared" si="285"/>
        <v>-427632.3350591315</v>
      </c>
      <c r="G986" s="1881">
        <f t="shared" si="285"/>
        <v>-427632.3350591315</v>
      </c>
      <c r="H986" s="1881">
        <f t="shared" si="285"/>
        <v>-427632.3350591315</v>
      </c>
      <c r="I986" s="1881">
        <f t="shared" si="285"/>
        <v>-427632.3350591315</v>
      </c>
      <c r="J986" s="1881">
        <f t="shared" si="285"/>
        <v>-427632.3350591315</v>
      </c>
      <c r="K986" s="1881">
        <f t="shared" si="285"/>
        <v>-427632.3350591315</v>
      </c>
      <c r="Q986" s="517">
        <v>12</v>
      </c>
      <c r="R986" s="518">
        <f>-SUM(B985:K985) - SUM(B1015:C1015)</f>
        <v>0</v>
      </c>
      <c r="S986" s="518">
        <f>SUM(B986:K986) + SUM(B60:C60)+R986</f>
        <v>-3693901.2705913149</v>
      </c>
    </row>
    <row r="987" spans="1:19">
      <c r="A987" s="742" t="str">
        <f>IF('Part III-Sources of Funds'!$E$38 = "Neither", "", "DCR Mortgage A")</f>
        <v>DCR Mortgage A</v>
      </c>
      <c r="B987" s="1882">
        <f t="shared" ref="B987:K987" si="286">IF(B979=0,"",-B978/B979)</f>
        <v>1.3862824434068541</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-4976798.2757687094</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-5404430.6108278409</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-5832062.9458869724</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-6259695.2809461039</v>
      </c>
    </row>
    <row r="991" spans="1:19">
      <c r="A991" s="742" t="s">
        <v>3712</v>
      </c>
      <c r="B991" s="1882">
        <f t="shared" ref="B991:K991" si="290">IF(AND(B979=0,B980=0,B981=0,B982=0),"",-B978/(B979+B980+B981+B982))</f>
        <v>1.3862824434068541</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-6687327.6160052354</v>
      </c>
    </row>
    <row r="992" spans="1:19">
      <c r="A992" s="742" t="s">
        <v>770</v>
      </c>
      <c r="B992" s="1883">
        <f t="shared" ref="B992:K992" si="291">IF(OR(B976="Choose mgt fee",B976="Choose One!"),"",(B970+B971+B972+B973+B974) / -(B975+B976+B977))</f>
        <v>2.4437400969728218</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-7114959.9510643668</v>
      </c>
    </row>
    <row r="993" spans="1:19">
      <c r="A993" s="742" t="s">
        <v>2616</v>
      </c>
      <c r="B993" s="1881">
        <f>'Part VII-Pro Forma'!B39</f>
        <v>8508153.5298310425</v>
      </c>
      <c r="C993" s="1881">
        <f>'Part VII-Pro Forma'!C39</f>
        <v>8371808.154852747</v>
      </c>
      <c r="D993" s="1881">
        <f>'Part VII-Pro Forma'!D39</f>
        <v>8230810.3620855259</v>
      </c>
      <c r="E993" s="1881">
        <f>'Part VII-Pro Forma'!E39</f>
        <v>8085001.4003338506</v>
      </c>
      <c r="F993" s="1881">
        <f>'Part VII-Pro Forma'!F39</f>
        <v>7934217.1014462709</v>
      </c>
      <c r="G993" s="1881">
        <f>'Part VII-Pro Forma'!G39</f>
        <v>7778287.6954764239</v>
      </c>
      <c r="H993" s="1881">
        <f>'Part VII-Pro Forma'!H39</f>
        <v>7617037.6195369055</v>
      </c>
      <c r="I993" s="1881">
        <f>'Part VII-Pro Forma'!I39</f>
        <v>7450285.3201307971</v>
      </c>
      <c r="J993" s="1881">
        <f>'Part VII-Pro Forma'!J39</f>
        <v>7277843.0487382933</v>
      </c>
      <c r="K993" s="1881">
        <f>'Part VII-Pro Forma'!K39</f>
        <v>7099516.6504282691</v>
      </c>
      <c r="Q993" s="517">
        <v>19</v>
      </c>
      <c r="R993" s="518">
        <f>-SUM(B985:K985) - SUM(B1015:J1015)</f>
        <v>0</v>
      </c>
      <c r="S993" s="518">
        <f>SUM(B986:K986) + SUM(B1016:J1016)+R993</f>
        <v>-7542592.2861234983</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-7970224.6211826298</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800</v>
      </c>
      <c r="C997" s="1881">
        <f>'Part VII-Pro Forma'!C43</f>
        <v>800</v>
      </c>
      <c r="D997" s="1881">
        <f>'Part VII-Pro Forma'!D43</f>
        <v>800</v>
      </c>
      <c r="E997" s="1881">
        <f>'Part VII-Pro Forma'!E43</f>
        <v>800</v>
      </c>
      <c r="F997" s="1881">
        <f>'Part VII-Pro Forma'!F43</f>
        <v>800</v>
      </c>
      <c r="G997" s="1881">
        <f>'Part VII-Pro Forma'!G43</f>
        <v>800</v>
      </c>
      <c r="H997" s="1881">
        <f>'Part VII-Pro Forma'!H43</f>
        <v>800</v>
      </c>
      <c r="I997" s="1881">
        <f>'Part VII-Pro Forma'!I43</f>
        <v>800</v>
      </c>
      <c r="J997" s="1881">
        <f>'Part VII-Pro Forma'!J43</f>
        <v>800</v>
      </c>
      <c r="K997" s="1881">
        <f>'Part VII-Pro Forma'!K43</f>
        <v>800</v>
      </c>
    </row>
    <row r="998" spans="1:19">
      <c r="B998" s="1881"/>
      <c r="C998" s="1881"/>
      <c r="D998" s="1881"/>
      <c r="E998" s="1881"/>
      <c r="F998" s="1881"/>
      <c r="G998" s="1881"/>
      <c r="H998" s="1881"/>
      <c r="I998" s="1881"/>
      <c r="J998" s="1881"/>
      <c r="K998" s="1881"/>
    </row>
    <row r="999" spans="1:19">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-420132.3350591315</v>
      </c>
      <c r="C1009" s="1881">
        <f>'Part VII-Pro Forma'!C57</f>
        <v>-420132.3350591315</v>
      </c>
      <c r="D1009" s="1881">
        <f>'Part VII-Pro Forma'!D57</f>
        <v>-420132.3350591315</v>
      </c>
      <c r="E1009" s="1881">
        <f>'Part VII-Pro Forma'!E57</f>
        <v>-420132.3350591315</v>
      </c>
      <c r="F1009" s="1881">
        <f>'Part VII-Pro Forma'!F57</f>
        <v>-420132.3350591315</v>
      </c>
      <c r="G1009" s="1881">
        <f>'Part VII-Pro Forma'!G57</f>
        <v>-420132.3350591315</v>
      </c>
      <c r="H1009" s="1881">
        <f>'Part VII-Pro Forma'!H57</f>
        <v>-420132.3350591315</v>
      </c>
      <c r="I1009" s="1881">
        <f>'Part VII-Pro Forma'!I57</f>
        <v>-420132.3350591315</v>
      </c>
      <c r="J1009" s="1881">
        <f>'Part VII-Pro Forma'!J57</f>
        <v>-420132.3350591315</v>
      </c>
      <c r="K1009" s="1881">
        <f>'Part VII-Pro Forma'!K57</f>
        <v>-420132.3350591315</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-7500</v>
      </c>
      <c r="C1014" s="1881">
        <f>'Part VII-Pro Forma'!C62</f>
        <v>-7500</v>
      </c>
      <c r="D1014" s="1881">
        <f>'Part VII-Pro Forma'!D62</f>
        <v>-7500</v>
      </c>
      <c r="E1014" s="1881">
        <f>'Part VII-Pro Forma'!E62</f>
        <v>-7500</v>
      </c>
      <c r="F1014" s="1881">
        <f>'Part VII-Pro Forma'!F62</f>
        <v>-7500</v>
      </c>
      <c r="G1014" s="1881">
        <f>'Part VII-Pro Forma'!G62</f>
        <v>-7500</v>
      </c>
      <c r="H1014" s="1881">
        <f>'Part VII-Pro Forma'!H62</f>
        <v>-7500</v>
      </c>
      <c r="I1014" s="1881">
        <f>'Part VII-Pro Forma'!I62</f>
        <v>-7500</v>
      </c>
      <c r="J1014" s="1881">
        <f>'Part VII-Pro Forma'!J62</f>
        <v>-7500</v>
      </c>
      <c r="K1014" s="1881">
        <f>'Part VII-Pro Forma'!K62</f>
        <v>-7500</v>
      </c>
    </row>
    <row r="1015" spans="1:11">
      <c r="A1015" s="742" t="s">
        <v>4086</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-427632.3350591315</v>
      </c>
      <c r="C1016" s="1881">
        <f t="shared" ref="C1016:K1016" si="299">SUM(C1008:C1015)</f>
        <v>-427632.3350591315</v>
      </c>
      <c r="D1016" s="1881">
        <f t="shared" si="299"/>
        <v>-427632.3350591315</v>
      </c>
      <c r="E1016" s="1881">
        <f t="shared" si="299"/>
        <v>-427632.3350591315</v>
      </c>
      <c r="F1016" s="1881">
        <f t="shared" si="299"/>
        <v>-427632.3350591315</v>
      </c>
      <c r="G1016" s="1881">
        <f t="shared" si="299"/>
        <v>-427632.3350591315</v>
      </c>
      <c r="H1016" s="1881">
        <f t="shared" si="299"/>
        <v>-427632.3350591315</v>
      </c>
      <c r="I1016" s="1881">
        <f t="shared" si="299"/>
        <v>-427632.3350591315</v>
      </c>
      <c r="J1016" s="1881">
        <f t="shared" si="299"/>
        <v>-427632.3350591315</v>
      </c>
      <c r="K1016" s="1881">
        <f t="shared" si="299"/>
        <v>-427632.3350591315</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6915105.3452567942</v>
      </c>
      <c r="C1023" s="1881">
        <f>'Part VII-Pro Forma'!C71</f>
        <v>6724401.5022064568</v>
      </c>
      <c r="D1023" s="1881">
        <f>'Part VII-Pro Forma'!D71</f>
        <v>6527190.4054119783</v>
      </c>
      <c r="E1023" s="1881">
        <f>'Part VII-Pro Forma'!E71</f>
        <v>6323250.0124089113</v>
      </c>
      <c r="F1023" s="1881">
        <f>'Part VII-Pro Forma'!F71</f>
        <v>6112350.7041332219</v>
      </c>
      <c r="G1023" s="1881">
        <f>'Part VII-Pro Forma'!G71</f>
        <v>5894255.026390288</v>
      </c>
      <c r="H1023" s="1881">
        <f>'Part VII-Pro Forma'!H71</f>
        <v>5668717.4225022215</v>
      </c>
      <c r="I1023" s="1881">
        <f>'Part VII-Pro Forma'!I71</f>
        <v>5435483.9568325039</v>
      </c>
      <c r="J1023" s="1881">
        <f>'Part VII-Pro Forma'!J71</f>
        <v>5194292.0288766455</v>
      </c>
      <c r="K1023" s="1881">
        <f>'Part VII-Pro Forma'!K71</f>
        <v>4944870.0775969625</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800</v>
      </c>
      <c r="C1027" s="1881">
        <f>'Part VII-Pro Forma'!C75</f>
        <v>800</v>
      </c>
      <c r="D1027" s="1881">
        <f>'Part VII-Pro Forma'!D75</f>
        <v>800</v>
      </c>
      <c r="E1027" s="1881">
        <f>'Part VII-Pro Forma'!E75</f>
        <v>800</v>
      </c>
      <c r="F1027" s="1881">
        <f>'Part VII-Pro Forma'!F75</f>
        <v>800</v>
      </c>
      <c r="G1027" s="1881">
        <f>'Part VII-Pro Forma'!G75</f>
        <v>800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-420132.3350591315</v>
      </c>
      <c r="C1039" s="1881">
        <f>'Part VII-Pro Forma'!C89</f>
        <v>-420132.3350591315</v>
      </c>
      <c r="D1039" s="1881">
        <f>'Part VII-Pro Forma'!D89</f>
        <v>-420132.3350591315</v>
      </c>
      <c r="E1039" s="1881">
        <f>'Part VII-Pro Forma'!E89</f>
        <v>-420132.3350591315</v>
      </c>
      <c r="F1039" s="1881">
        <f>'Part VII-Pro Forma'!F89</f>
        <v>-420132.3350591315</v>
      </c>
      <c r="G1039" s="1881">
        <f>'Part VII-Pro Forma'!G89</f>
        <v>-420132.3350591315</v>
      </c>
      <c r="H1039" s="1881">
        <f>'Part VII-Pro Forma'!H89</f>
        <v>-420132.3350591315</v>
      </c>
      <c r="I1039" s="1881">
        <f>'Part VII-Pro Forma'!I89</f>
        <v>-420132.3350591315</v>
      </c>
      <c r="J1039" s="1881">
        <f>'Part VII-Pro Forma'!J89</f>
        <v>-420132.3350591315</v>
      </c>
      <c r="K1039" s="1881">
        <f>'Part VII-Pro Forma'!K89</f>
        <v>-420132.3350591315</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-7500</v>
      </c>
      <c r="C1044" s="1881">
        <f>'Part VII-Pro Forma'!C94</f>
        <v>-7500</v>
      </c>
      <c r="D1044" s="1881">
        <f>'Part VII-Pro Forma'!D94</f>
        <v>-7500</v>
      </c>
      <c r="E1044" s="1881">
        <f>'Part VII-Pro Forma'!E94</f>
        <v>-7500</v>
      </c>
      <c r="F1044" s="1881">
        <f>'Part VII-Pro Forma'!F94</f>
        <v>-7500</v>
      </c>
      <c r="G1044" s="1881">
        <f>'Part VII-Pro Forma'!G94</f>
        <v>-7500</v>
      </c>
      <c r="H1044" s="1881">
        <f>'Part VII-Pro Forma'!H94</f>
        <v>-7500</v>
      </c>
      <c r="I1044" s="1881">
        <f>'Part VII-Pro Forma'!I94</f>
        <v>-7500</v>
      </c>
      <c r="J1044" s="1881">
        <f>'Part VII-Pro Forma'!J94</f>
        <v>-7500</v>
      </c>
      <c r="K1044" s="1881">
        <f>'Part VII-Pro Forma'!K94</f>
        <v>-7500</v>
      </c>
    </row>
    <row r="1045" spans="1:11">
      <c r="A1045" s="742" t="s">
        <v>1164</v>
      </c>
      <c r="B1045" s="1881">
        <f t="shared" ref="B1045:K1045" si="313">SUM(B1038:B1044)</f>
        <v>-427632.3350591315</v>
      </c>
      <c r="C1045" s="1881">
        <f t="shared" si="313"/>
        <v>-427632.3350591315</v>
      </c>
      <c r="D1045" s="1881">
        <f t="shared" si="313"/>
        <v>-427632.3350591315</v>
      </c>
      <c r="E1045" s="1881">
        <f t="shared" si="313"/>
        <v>-427632.3350591315</v>
      </c>
      <c r="F1045" s="1881">
        <f t="shared" si="313"/>
        <v>-427632.3350591315</v>
      </c>
      <c r="G1045" s="1881">
        <f t="shared" si="313"/>
        <v>-427632.3350591315</v>
      </c>
      <c r="H1045" s="1881">
        <f t="shared" si="313"/>
        <v>-427632.3350591315</v>
      </c>
      <c r="I1045" s="1881">
        <f t="shared" si="313"/>
        <v>-427632.3350591315</v>
      </c>
      <c r="J1045" s="1881">
        <f t="shared" si="313"/>
        <v>-427632.3350591315</v>
      </c>
      <c r="K1045" s="1881">
        <f t="shared" si="313"/>
        <v>-427632.3350591315</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4686937.2756685736</v>
      </c>
      <c r="C1052" s="1881">
        <f>'Part VII-Pro Forma'!C102</f>
        <v>4420203.2132923706</v>
      </c>
      <c r="D1052" s="1881">
        <f>'Part VII-Pro Forma'!D102</f>
        <v>4144367.5712189544</v>
      </c>
      <c r="E1052" s="1881">
        <f>'Part VII-Pro Forma'!E102</f>
        <v>3859119.7826154027</v>
      </c>
      <c r="F1052" s="1881">
        <f>'Part VII-Pro Forma'!F102</f>
        <v>3564138.6833941499</v>
      </c>
      <c r="G1052" s="1881">
        <f>'Part VII-Pro Forma'!G102</f>
        <v>3259092.150610283</v>
      </c>
      <c r="H1052" s="1881">
        <f>'Part VII-Pro Forma'!H102</f>
        <v>2943636.728520127</v>
      </c>
      <c r="I1052" s="1881">
        <f>'Part VII-Pro Forma'!I102</f>
        <v>2617417.2418800825</v>
      </c>
      <c r="J1052" s="1881">
        <f>'Part VII-Pro Forma'!J102</f>
        <v>2280066.3960503349</v>
      </c>
      <c r="K1052" s="1881">
        <f>'Part VII-Pro Forma'!K102</f>
        <v>1931204.3634531808</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-420132.3350591315</v>
      </c>
      <c r="C1067" s="1881">
        <f>'Part VII-Pro Forma'!C119</f>
        <v>-420132.3350591315</v>
      </c>
      <c r="D1067" s="1881">
        <f>'Part VII-Pro Forma'!D119</f>
        <v>-420132.3350591315</v>
      </c>
      <c r="E1067" s="1881">
        <f>'Part VII-Pro Forma'!E119</f>
        <v>-420132.3350591315</v>
      </c>
      <c r="F1067" s="1881">
        <f>'Part VII-Pro Forma'!F119</f>
        <v>-420132.3350591315</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-7500</v>
      </c>
      <c r="C1072" s="1881">
        <f>'Part VII-Pro Forma'!C124</f>
        <v>-7500</v>
      </c>
      <c r="D1072" s="1881">
        <f>'Part VII-Pro Forma'!D124</f>
        <v>-7500</v>
      </c>
      <c r="E1072" s="1881">
        <f>'Part VII-Pro Forma'!E124</f>
        <v>-7500</v>
      </c>
      <c r="F1072" s="1881">
        <f>'Part VII-Pro Forma'!F124</f>
        <v>-7500</v>
      </c>
      <c r="G1072" s="1881"/>
      <c r="H1072" s="1881"/>
      <c r="I1072" s="1881"/>
      <c r="J1072" s="1881"/>
      <c r="K1072" s="1881"/>
    </row>
    <row r="1073" spans="1:11">
      <c r="A1073" s="742" t="s">
        <v>1164</v>
      </c>
      <c r="B1073" s="1881">
        <f>SUM(B1066:B1072)</f>
        <v>-427632.3350591315</v>
      </c>
      <c r="C1073" s="1881">
        <f>SUM(C1066:C1072)</f>
        <v>-427632.3350591315</v>
      </c>
      <c r="D1073" s="1881">
        <f>SUM(D1066:D1072)</f>
        <v>-427632.3350591315</v>
      </c>
      <c r="E1073" s="1881">
        <f>SUM(E1066:E1072)</f>
        <v>-427632.3350591315</v>
      </c>
      <c r="F1073" s="1881">
        <f>SUM(F1066:F1072)</f>
        <v>-427632.3350591315</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1570438.3559203607</v>
      </c>
      <c r="C1080" s="1881">
        <f>'Part VII-Pro Forma'!C132</f>
        <v>1197362.182447901</v>
      </c>
      <c r="D1080" s="1881">
        <f>'Part VII-Pro Forma'!D132</f>
        <v>811555.79186053225</v>
      </c>
      <c r="E1080" s="1881">
        <f>'Part VII-Pro Forma'!E132</f>
        <v>412584.799870766</v>
      </c>
      <c r="F1080" s="1881">
        <f>'Part VII-Pro Forma'!F132</f>
        <v>1.3993121683597565E-7</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Enclave at Milledgeville,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2650</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3755</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2710</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2714</v>
      </c>
      <c r="H1131" s="1741"/>
      <c r="I1131" s="1894"/>
      <c r="J1131" s="1631"/>
      <c r="K1131" s="1894" t="s">
        <v>3634</v>
      </c>
      <c r="L1131" s="1894"/>
      <c r="M1131" s="1894"/>
      <c r="N1131" s="1894"/>
    </row>
    <row r="1132" spans="1:17" ht="13.5">
      <c r="A1132" s="1902"/>
      <c r="B1132" s="1902"/>
      <c r="C1132" s="1902"/>
      <c r="D1132" s="1902"/>
      <c r="E1132" s="1902"/>
      <c r="F1132" s="1902"/>
      <c r="G1132" s="1741" t="s">
        <v>346</v>
      </c>
      <c r="H1132" s="1741"/>
      <c r="I1132" s="1894"/>
      <c r="J1132" s="1631"/>
      <c r="K1132" s="521" t="s">
        <v>3635</v>
      </c>
      <c r="L1132" s="521"/>
      <c r="M1132" s="521"/>
      <c r="N1132" s="521"/>
      <c r="P1132" s="1753" t="s">
        <v>2734</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Macon</v>
      </c>
      <c r="Q1136" s="1910">
        <f>'Part VIII-Threshold Criteria'!Q42</f>
        <v>0</v>
      </c>
    </row>
    <row r="1137" spans="1:17">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15458102.010000002</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2440</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14</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14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16229310</v>
      </c>
      <c r="Q1157" s="1926">
        <f>'Part VIII-Threshold Criteria'!Q63</f>
        <v>0</v>
      </c>
    </row>
    <row r="1158" spans="1:17" ht="12.75" customHeight="1">
      <c r="C1158" s="1631"/>
      <c r="D1158" s="1906" t="s">
        <v>2440</v>
      </c>
      <c r="E1158" s="1895">
        <v>2</v>
      </c>
      <c r="F1158" s="1907">
        <f>'Part VI-Revenues &amp; Expenses'!$L$141</f>
        <v>30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30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32</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32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76</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3368</v>
      </c>
      <c r="B1163" s="1631"/>
      <c r="C1163" s="1631"/>
      <c r="D1163" s="1631"/>
      <c r="E1163" s="1634"/>
      <c r="F1163" s="1930">
        <f>F1140+F1147+F1154+F1161</f>
        <v>76</v>
      </c>
      <c r="G1163" s="1698"/>
      <c r="H1163" s="1931">
        <f>'Part VIII-Threshold Criteria'!H69</f>
        <v>16229310</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3755</v>
      </c>
      <c r="D1164" s="1842"/>
      <c r="E1164" s="1842"/>
      <c r="F1164" s="1842"/>
      <c r="G1164" s="1842"/>
      <c r="H1164" s="1841"/>
      <c r="I1164" s="1895"/>
      <c r="J1164" s="1895"/>
      <c r="K1164" s="1897" t="s">
        <v>1866</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3755</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2651</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3743</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3742</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3904</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t="str">
        <f>'Part VIII-Threshold Criteria'!L86</f>
        <v>N/A</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3755</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2652</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2459</v>
      </c>
      <c r="D1186" s="1867"/>
      <c r="E1186" s="1867"/>
      <c r="F1186" s="1867"/>
      <c r="G1186" s="1867"/>
      <c r="H1186" s="1867"/>
      <c r="I1186" s="1631"/>
      <c r="J1186" s="1631"/>
      <c r="K1186" s="1631"/>
      <c r="L1186" s="1937" t="s">
        <v>1983</v>
      </c>
      <c r="M1186" s="1894" t="str">
        <f>'Part VIII-Threshold Criteria'!M94</f>
        <v xml:space="preserve">Novogradac </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3-4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2878</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3897</v>
      </c>
      <c r="D1189" s="1867"/>
      <c r="E1189" s="1867"/>
      <c r="F1189" s="1867"/>
      <c r="L1189" s="1937" t="s">
        <v>3898</v>
      </c>
      <c r="M1189" s="2161">
        <f>'Part VIII-Threshold Criteria'!M97</f>
        <v>2.5999999999999999E-2</v>
      </c>
      <c r="N1189" s="1939"/>
      <c r="O1189" s="1940" t="s">
        <v>4129</v>
      </c>
      <c r="P1189" s="2008" t="str">
        <f>'Part VIII-Threshold Criteria'!P97</f>
        <v>N/A</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f>'Part VIII-Threshold Criteria'!D100</f>
        <v>0</v>
      </c>
      <c r="E1192" s="1894" t="str">
        <f>'Part VIII-Threshold Criteria'!E100</f>
        <v>Sumpter Street Station</v>
      </c>
      <c r="F1192" s="1894">
        <f>'Part VIII-Threshold Criteria'!F100</f>
        <v>0</v>
      </c>
      <c r="G1192" s="1894">
        <f>'Part VIII-Threshold Criteria'!G100</f>
        <v>0</v>
      </c>
      <c r="H1192" s="1937" t="s">
        <v>1739</v>
      </c>
      <c r="I1192" s="1938">
        <f>'Part VIII-Threshold Criteria'!I100</f>
        <v>0</v>
      </c>
      <c r="J1192" s="1894" t="str">
        <f>'Part VIII-Threshold Criteria'!J100</f>
        <v>The Pines at Westdale</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f>'Part VIII-Threshold Criteria'!D101</f>
        <v>0</v>
      </c>
      <c r="E1193" s="1894" t="str">
        <f>'Part VIII-Threshold Criteria'!E101</f>
        <v>AL Miller Village</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No</v>
      </c>
      <c r="Q1194" s="1938">
        <f>'Part VIII-Threshold Criteria'!Q102</f>
        <v>0</v>
      </c>
    </row>
    <row r="1195" spans="1:17">
      <c r="A1195" s="1216" t="s">
        <v>1670</v>
      </c>
      <c r="M1195" s="1941"/>
      <c r="O1195" s="1942"/>
      <c r="Q1195" s="1943" t="s">
        <v>2509</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3370</v>
      </c>
      <c r="B1199" s="1921" t="s">
        <v>3613</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3755</v>
      </c>
      <c r="D1200" s="1842"/>
      <c r="E1200" s="1842"/>
      <c r="F1200" s="1842"/>
      <c r="G1200" s="1842"/>
      <c r="H1200" s="1841"/>
      <c r="I1200" s="1895"/>
      <c r="J1200" s="1895"/>
      <c r="K1200" s="1895"/>
      <c r="L1200" s="1812"/>
      <c r="M1200" s="1812"/>
      <c r="N1200" s="1812"/>
      <c r="O1200" s="1812"/>
      <c r="P1200" s="1812"/>
      <c r="Q1200" s="1812"/>
    </row>
    <row r="1201" spans="1:17" ht="202.5">
      <c r="A1201" s="1900" t="str">
        <f>'Part VIII-Threshold Criteria'!A104</f>
        <v>The attached market study indicated an additonal amenities not required by DCA.  We removed the extra amenitiy to ensure that the project met project cost limits.</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2653</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No</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 Appraisals</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2688</v>
      </c>
      <c r="D1212" s="1900"/>
      <c r="E1212" s="1900"/>
      <c r="F1212" s="1900"/>
      <c r="G1212" s="1900"/>
      <c r="H1212" s="1900"/>
      <c r="I1212" s="1900"/>
      <c r="J1212" s="1900"/>
      <c r="K1212" s="1900"/>
      <c r="L1212" s="1900"/>
      <c r="M1212" s="1900"/>
      <c r="N1212" s="1900"/>
      <c r="O1212" s="1944" t="s">
        <v>2365</v>
      </c>
      <c r="P1212" s="1945" t="str">
        <f>'Part VIII-Threshold Criteria'!P117</f>
        <v>No</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3755</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2654</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United Consulting</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2687</v>
      </c>
      <c r="E1227" s="1867"/>
      <c r="F1227" s="1867"/>
      <c r="G1227" s="1867"/>
      <c r="H1227" s="1867"/>
      <c r="I1227" s="1631"/>
      <c r="J1227" s="1631"/>
      <c r="K1227" s="1937" t="s">
        <v>1737</v>
      </c>
      <c r="L1227" s="1820" t="str">
        <f>'Part VIII-Threshold Criteria'!L132</f>
        <v>Harry Walls Environmental Consulting</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54.53</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v>
      </c>
      <c r="Q1238" s="1949">
        <f>'Part VIII-Threshold Criteria'!Q142</f>
        <v>0</v>
      </c>
    </row>
    <row r="1239" spans="1:17">
      <c r="A1239" s="1935"/>
      <c r="B1239" s="1937"/>
      <c r="E1239" s="1937" t="s">
        <v>2435</v>
      </c>
      <c r="F1239" s="521" t="s">
        <v>2636</v>
      </c>
      <c r="G1239" s="1631"/>
      <c r="H1239" s="521"/>
      <c r="I1239" s="1631"/>
      <c r="J1239" s="1631"/>
      <c r="O1239" s="1937" t="s">
        <v>2435</v>
      </c>
      <c r="P1239" s="1938">
        <f>'Part VIII-Threshold Criteria'!P143</f>
        <v>0</v>
      </c>
      <c r="Q1239" s="1938">
        <f>'Part VIII-Threshold Criteria'!Q143</f>
        <v>0</v>
      </c>
    </row>
    <row r="1240" spans="1:17">
      <c r="A1240" s="1935"/>
      <c r="B1240" s="1937"/>
      <c r="E1240" s="1937" t="s">
        <v>2436</v>
      </c>
      <c r="F1240" s="521" t="s">
        <v>2634</v>
      </c>
      <c r="G1240" s="1631"/>
      <c r="H1240" s="521"/>
      <c r="I1240" s="1631"/>
      <c r="J1240" s="1631"/>
      <c r="O1240" s="1937" t="s">
        <v>2436</v>
      </c>
      <c r="P1240" s="1938">
        <f>'Part VIII-Threshold Criteria'!P144</f>
        <v>0</v>
      </c>
      <c r="Q1240" s="1938">
        <f>'Part VIII-Threshold Criteria'!Q144</f>
        <v>0</v>
      </c>
    </row>
    <row r="1241" spans="1:17">
      <c r="A1241" s="521"/>
      <c r="B1241" s="1937" t="s">
        <v>2365</v>
      </c>
      <c r="C1241" s="521" t="s">
        <v>2637</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2494</v>
      </c>
      <c r="E1243" s="1867"/>
      <c r="F1243" s="1938" t="str">
        <f>'Part VIII-Threshold Criteria'!F146</f>
        <v>No</v>
      </c>
      <c r="G1243" s="1938">
        <f>'Part VIII-Threshold Criteria'!G146</f>
        <v>0</v>
      </c>
      <c r="H1243" s="1937" t="s">
        <v>1549</v>
      </c>
      <c r="I1243" s="1216" t="s">
        <v>2639</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2802</v>
      </c>
      <c r="E1244" s="1867"/>
      <c r="F1244" s="1938" t="str">
        <f>'Part VIII-Threshold Criteria'!F147</f>
        <v>No</v>
      </c>
      <c r="G1244" s="1938">
        <f>'Part VIII-Threshold Criteria'!G147</f>
        <v>0</v>
      </c>
      <c r="H1244" s="1937" t="s">
        <v>1550</v>
      </c>
      <c r="I1244" s="1216" t="s">
        <v>2640</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2638</v>
      </c>
      <c r="E1245" s="1867"/>
      <c r="F1245" s="1938" t="str">
        <f>'Part VIII-Threshold Criteria'!F148</f>
        <v>No</v>
      </c>
      <c r="G1245" s="1938">
        <f>'Part VIII-Threshold Criteria'!G148</f>
        <v>0</v>
      </c>
      <c r="H1245" s="1937" t="s">
        <v>98</v>
      </c>
      <c r="I1245" s="1216" t="s">
        <v>3847</v>
      </c>
      <c r="L1245" s="1938" t="str">
        <f>'Part VIII-Threshold Criteria'!L148</f>
        <v>No</v>
      </c>
      <c r="M1245" s="1938">
        <f>'Part VIII-Threshold Criteria'!M148</f>
        <v>0</v>
      </c>
      <c r="N1245" s="1937" t="s">
        <v>2804</v>
      </c>
      <c r="O1245" s="521" t="s">
        <v>1553</v>
      </c>
      <c r="P1245" s="1938" t="str">
        <f>'Part VIII-Threshold Criteria'!P148</f>
        <v>Yes</v>
      </c>
      <c r="Q1245" s="1938">
        <f>'Part VIII-Threshold Criteria'!Q148</f>
        <v>0</v>
      </c>
    </row>
    <row r="1246" spans="1:17">
      <c r="A1246" s="521"/>
      <c r="B1246" s="1937" t="s">
        <v>2365</v>
      </c>
      <c r="C1246" s="521" t="s">
        <v>2805</v>
      </c>
      <c r="E1246" s="1867"/>
      <c r="F1246" s="1938" t="str">
        <f>'Part VIII-Threshold Criteria'!F149</f>
        <v>No</v>
      </c>
      <c r="G1246" s="1938">
        <f>'Part VIII-Threshold Criteria'!G149</f>
        <v>0</v>
      </c>
      <c r="H1246" s="1937" t="s">
        <v>511</v>
      </c>
      <c r="I1246" s="521" t="s">
        <v>2801</v>
      </c>
      <c r="L1246" s="1938" t="str">
        <f>'Part VIII-Threshold Criteria'!L149</f>
        <v>Yes</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2806</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4542</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3755</v>
      </c>
      <c r="D1258" s="1842"/>
      <c r="E1258" s="1842"/>
      <c r="F1258" s="1842"/>
      <c r="G1258" s="1842"/>
      <c r="H1258" s="1841"/>
      <c r="I1258" s="1895"/>
      <c r="J1258" s="1895"/>
      <c r="K1258" s="1895"/>
      <c r="L1258" s="1812"/>
      <c r="M1258" s="1812"/>
      <c r="N1258" s="1812"/>
      <c r="O1258" s="1812"/>
      <c r="P1258" s="1812"/>
      <c r="Q1258" s="1812"/>
    </row>
    <row r="1259" spans="1:17" ht="180">
      <c r="A1259" s="1900" t="str">
        <f>'Part VIII-Threshold Criteria'!A160</f>
        <v>E.11) Although Radon was found in some areas, it is below the EPA Action Level and no mitigration is required and no further testing is required.</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2655</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4543</v>
      </c>
      <c r="D1265" s="521"/>
      <c r="E1265" s="521"/>
      <c r="F1265" s="521"/>
      <c r="G1265" s="521"/>
      <c r="I1265" s="521" t="s">
        <v>2706</v>
      </c>
      <c r="K1265" s="2162">
        <f>'Part VIII-Threshold Criteria'!K166</f>
        <v>44105</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HDC Enclave at Milledgeville GP,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2881</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3755</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2656</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3744</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3745</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2641</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3755</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2657</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2642</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2643</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2631</v>
      </c>
      <c r="C1288" s="1900"/>
      <c r="D1288" s="1937" t="s">
        <v>1737</v>
      </c>
      <c r="E1288" s="1841" t="s">
        <v>2644</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3746</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2646</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2647</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2648</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3755</v>
      </c>
      <c r="D1296" s="1842"/>
      <c r="E1296" s="1842"/>
      <c r="F1296" s="1842"/>
      <c r="G1296" s="1842"/>
      <c r="H1296" s="1841"/>
      <c r="I1296" s="1895"/>
      <c r="J1296" s="1895"/>
      <c r="K1296" s="1895"/>
      <c r="L1296" s="1812"/>
      <c r="M1296" s="1812"/>
      <c r="N1296" s="1812"/>
      <c r="O1296" s="1812"/>
      <c r="P1296" s="1812"/>
      <c r="Q1296" s="1812"/>
    </row>
    <row r="1297" spans="1:17" ht="135">
      <c r="A1297" s="1900" t="str">
        <f>'Part VIII-Threshold Criteria'!A197</f>
        <v>This property is located in unincorporated Baldwin County and therefore there is no applicable zoning codes.</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2658</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Atlanta Gas Light</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3755</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2659</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Baldwin County Water and Sewer</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Baldwin County Water and Sewer</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3906</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3755</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2660</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4545</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2722</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2508</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2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c r="A1331" s="1938"/>
      <c r="B1331" s="1937" t="s">
        <v>1738</v>
      </c>
      <c r="C1331" s="1900" t="str">
        <f>'Part VIII-Threshold Criteria'!C230</f>
        <v>Wellness Center</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2808</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2809</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2799</v>
      </c>
      <c r="P1339" s="1938" t="str">
        <f>'Part VIII-Threshold Criteria'!P240</f>
        <v>No</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3755</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2781</v>
      </c>
      <c r="B1348" s="1629" t="s">
        <v>2661</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2811</v>
      </c>
      <c r="D1351" s="521"/>
      <c r="E1351" s="521"/>
      <c r="F1351" s="521"/>
      <c r="J1351" s="1937" t="s">
        <v>1985</v>
      </c>
      <c r="K1351" s="1894">
        <f>'Part VIII-Threshold Criteria'!K251</f>
        <v>43893</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United Consulting</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3762</v>
      </c>
      <c r="D1354" s="521"/>
      <c r="E1354" s="521"/>
      <c r="F1354" s="521"/>
      <c r="M1354" s="521"/>
      <c r="N1354" s="1957"/>
      <c r="O1354" s="1937" t="s">
        <v>749</v>
      </c>
      <c r="P1354" s="1938">
        <f>'Part VIII-Threshold Criteria'!P255</f>
        <v>0</v>
      </c>
      <c r="Q1354" s="1938">
        <f>'Part VIII-Threshold Criteria'!Q255</f>
        <v>0</v>
      </c>
    </row>
    <row r="1355" spans="1:17">
      <c r="A1355" s="1935"/>
      <c r="B1355" s="521" t="s">
        <v>3761</v>
      </c>
      <c r="D1355" s="521"/>
      <c r="E1355" s="521"/>
      <c r="F1355" s="521"/>
      <c r="K1355" s="1894" t="str">
        <f>'Part VIII-Threshold Criteria'!K258</f>
        <v>Jackie Queen/i3pv, LLC</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3908</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3763</v>
      </c>
      <c r="C1357" s="1900"/>
      <c r="D1357" s="1900"/>
      <c r="E1357" s="1900"/>
      <c r="F1357" s="1900"/>
      <c r="G1357" s="1900"/>
      <c r="H1357" s="1216" t="s">
        <v>4117</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4120</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3755</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2662</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3910</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3758</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3759</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3760</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4122</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3755</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4103</v>
      </c>
      <c r="B1379" s="1805" t="s">
        <v>2663</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2812</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2813</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3755</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4104</v>
      </c>
      <c r="B1387" s="1805" t="s">
        <v>2664</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3878</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3795</v>
      </c>
      <c r="K1393" s="1955"/>
      <c r="L1393" s="1955"/>
      <c r="M1393" s="1961" t="s">
        <v>3765</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3766</v>
      </c>
      <c r="N1394" s="1895" t="s">
        <v>3794</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4</v>
      </c>
      <c r="L1395" s="1648" t="str">
        <f>IF(K1395&lt;M1395,"Check!!!","")</f>
        <v/>
      </c>
      <c r="M1395" s="1962">
        <f>'Part VIII-Threshold Criteria'!M306</f>
        <v>4</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3879</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3764</v>
      </c>
      <c r="J1404" s="1921"/>
      <c r="K1404" s="1921"/>
      <c r="L1404" s="1921" t="str">
        <f>'Part VIII-Threshold Criteria'!L314</f>
        <v>Terracon Consultants, Inc.</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3755</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4102</v>
      </c>
      <c r="B1413" s="1629" t="s">
        <v>2665</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4552</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3755</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4105</v>
      </c>
      <c r="B1430" s="1805" t="s">
        <v>4143</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3915</v>
      </c>
      <c r="O1431" s="1944" t="s">
        <v>1983</v>
      </c>
      <c r="P1431" s="1938" t="str">
        <f>'Part VIII-Threshold Criteria'!P341</f>
        <v>Yes</v>
      </c>
      <c r="Q1431" s="1938">
        <f>'Part VIII-Threshold Criteria'!Q341</f>
        <v>0</v>
      </c>
    </row>
    <row r="1432" spans="1:17">
      <c r="A1432" s="1933" t="s">
        <v>1985</v>
      </c>
      <c r="B1432" s="1216" t="s">
        <v>4091</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Yes</v>
      </c>
      <c r="Q1433" s="1938">
        <f>'Part VIII-Threshold Criteria'!Q343</f>
        <v>0</v>
      </c>
    </row>
    <row r="1434" spans="1:17">
      <c r="A1434" s="1935" t="s">
        <v>2115</v>
      </c>
      <c r="B1434" s="1216" t="s">
        <v>3843</v>
      </c>
      <c r="O1434" s="1937" t="s">
        <v>2115</v>
      </c>
      <c r="P1434" s="1938" t="str">
        <f>'Part VIII-Threshold Criteria'!P344</f>
        <v>No</v>
      </c>
      <c r="Q1434" s="1938">
        <f>'Part VIII-Threshold Criteria'!Q344</f>
        <v>0</v>
      </c>
    </row>
    <row r="1435" spans="1:17">
      <c r="A1435" s="1933" t="s">
        <v>1735</v>
      </c>
      <c r="B1435" s="1216" t="s">
        <v>2883</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3755</v>
      </c>
      <c r="D1437" s="1842"/>
      <c r="E1437" s="1842"/>
      <c r="F1437" s="1842"/>
      <c r="G1437" s="1842"/>
      <c r="H1437" s="1841"/>
      <c r="I1437" s="1895"/>
      <c r="J1437" s="1895"/>
      <c r="K1437" s="1895"/>
      <c r="L1437" s="1812"/>
      <c r="M1437" s="1812"/>
      <c r="N1437" s="1812"/>
      <c r="O1437" s="1812"/>
      <c r="P1437" s="1812"/>
      <c r="Q1437" s="1812"/>
    </row>
    <row r="1438" spans="1:17">
      <c r="A1438" s="1900" t="str">
        <f>'Part VIII-Threshold Criteria'!A348</f>
        <v xml:space="preserve"> </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4106</v>
      </c>
      <c r="B1441" s="1629" t="s">
        <v>2666</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3852</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3755</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4109</v>
      </c>
      <c r="B1450" s="1629" t="s">
        <v>4082</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4083</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4084</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4075</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4078</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4079</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3755</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4110</v>
      </c>
      <c r="B1466" s="1629" t="s">
        <v>3916</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Rural</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512639</v>
      </c>
      <c r="G1472" s="1967">
        <f>'Part VIII-Threshold Criteria'!G384</f>
        <v>0</v>
      </c>
      <c r="H1472" s="521" t="s">
        <v>3924</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3592</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3755</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4111</v>
      </c>
      <c r="B1486" s="1629" t="s">
        <v>2683</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3463</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3755</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4112</v>
      </c>
      <c r="B1496" s="1629" t="s">
        <v>2667</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2672</v>
      </c>
      <c r="D1497" s="1900"/>
      <c r="E1497" s="1900"/>
      <c r="H1497" s="1921"/>
      <c r="O1497" s="1937" t="s">
        <v>1983</v>
      </c>
      <c r="P1497" s="1938" t="str">
        <f>'Part VIII-Threshold Criteria'!P410</f>
        <v>Yes</v>
      </c>
      <c r="Q1497" s="1938">
        <f>'Part VIII-Threshold Criteria'!Q410</f>
        <v>0</v>
      </c>
    </row>
    <row r="1498" spans="1:17">
      <c r="A1498" s="1935" t="s">
        <v>1985</v>
      </c>
      <c r="B1498" s="521" t="s">
        <v>3582</v>
      </c>
      <c r="D1498" s="1900"/>
      <c r="E1498" s="1900"/>
      <c r="O1498" s="1937" t="s">
        <v>1985</v>
      </c>
      <c r="P1498" s="1938" t="str">
        <f>'Part VIII-Threshold Criteria'!P411</f>
        <v>No</v>
      </c>
      <c r="Q1498" s="1938">
        <f>'Part VIII-Threshold Criteria'!Q411</f>
        <v>0</v>
      </c>
    </row>
    <row r="1499" spans="1:17">
      <c r="A1499" s="1935" t="s">
        <v>749</v>
      </c>
      <c r="B1499" s="521" t="s">
        <v>4081</v>
      </c>
      <c r="D1499" s="1900"/>
      <c r="E1499" s="1900"/>
      <c r="O1499" s="1937" t="s">
        <v>749</v>
      </c>
      <c r="P1499" s="1938" t="str">
        <f>'Part VIII-Threshold Criteria'!P412</f>
        <v>No</v>
      </c>
      <c r="Q1499" s="1938">
        <f>'Part VIII-Threshold Criteria'!Q412</f>
        <v>0</v>
      </c>
    </row>
    <row r="1500" spans="1:17">
      <c r="A1500" s="1935" t="s">
        <v>2115</v>
      </c>
      <c r="B1500" s="521" t="s">
        <v>3583</v>
      </c>
      <c r="E1500" s="1921"/>
      <c r="O1500" s="1937" t="s">
        <v>2115</v>
      </c>
      <c r="P1500" s="1938" t="str">
        <f>'Part VIII-Threshold Criteria'!P413</f>
        <v>No</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3755</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4113</v>
      </c>
      <c r="B1507" s="1629" t="s">
        <v>2668</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Yes</v>
      </c>
      <c r="Q1508" s="1938">
        <f>'Part VIII-Threshold Criteria'!Q421</f>
        <v>0</v>
      </c>
    </row>
    <row r="1509" spans="1:17">
      <c r="A1509" s="1935" t="s">
        <v>1985</v>
      </c>
      <c r="B1509" s="521" t="s">
        <v>3475</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3474</v>
      </c>
      <c r="E1511" s="521"/>
      <c r="F1511" s="521"/>
      <c r="G1511" s="521"/>
      <c r="H1511" s="521"/>
      <c r="I1511" s="521"/>
      <c r="J1511" s="521"/>
      <c r="K1511" s="521"/>
      <c r="L1511" s="521"/>
      <c r="M1511" s="521"/>
      <c r="N1511" s="1631"/>
      <c r="O1511" s="1937" t="s">
        <v>1738</v>
      </c>
      <c r="P1511" s="1938" t="str">
        <f>'Part VIII-Threshold Criteria'!P424</f>
        <v>No</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2</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t="str">
        <f>'Part VIII-Threshold Criteria'!M432</f>
        <v xml:space="preserve">Establised a designated relocation hotline, email. Will also distribute newletters updating residents on renovation and relocation activites. </v>
      </c>
      <c r="O1520" s="1860">
        <f>'Part VIII-Threshold Criteria'!N432</f>
        <v>0</v>
      </c>
      <c r="P1520" s="1860">
        <f>'Part VIII-Threshold Criteria'!O432</f>
        <v>0</v>
      </c>
      <c r="Q1520" s="1860">
        <f>'Part VIII-Threshold Criteria'!P432</f>
        <v>0</v>
      </c>
    </row>
    <row r="1521" spans="1:17">
      <c r="B1521" s="1842" t="s">
        <v>3755</v>
      </c>
      <c r="D1521" s="1842"/>
      <c r="E1521" s="1842"/>
      <c r="F1521" s="1842"/>
      <c r="G1521" s="1842"/>
      <c r="H1521" s="1841"/>
      <c r="I1521" s="1895"/>
      <c r="J1521" s="1895"/>
      <c r="K1521" s="1895"/>
      <c r="P1521" s="1812"/>
      <c r="Q1521" s="1812"/>
    </row>
    <row r="1522" spans="1:17" ht="292.5">
      <c r="A1522" s="1900" t="str">
        <f>'Part VIII-Threshold Criteria'!A440</f>
        <v xml:space="preserve">25 (A) We do not anticipate that any residents will be displaced. Relocation activities include onsite relocation and temporary offsite relocation (less than 12 months).  (B)(2): NA - no residents will be displaced as a result of this project. </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4114</v>
      </c>
      <c r="B1526" s="1629" t="s">
        <v>2815</v>
      </c>
      <c r="C1526" s="1629"/>
      <c r="D1526" s="1894"/>
      <c r="E1526" s="1899"/>
      <c r="F1526" s="1899"/>
      <c r="G1526" s="1899"/>
      <c r="H1526" s="1899"/>
      <c r="O1526" s="1896" t="s">
        <v>1867</v>
      </c>
      <c r="P1526" s="1820">
        <f>'Part VIII-Threshold Criteria'!P444</f>
        <v>0</v>
      </c>
      <c r="Q1526" s="1820">
        <f>'Part VIII-Threshold Criteria'!Q444</f>
        <v>0</v>
      </c>
    </row>
    <row r="1527" spans="1:17">
      <c r="B1527" s="1894" t="s">
        <v>3936</v>
      </c>
      <c r="C1527" s="1629"/>
      <c r="D1527" s="1894"/>
      <c r="E1527" s="1899"/>
      <c r="F1527" s="1899"/>
      <c r="G1527" s="1899"/>
      <c r="H1527" s="1899"/>
    </row>
    <row r="1528" spans="1:17" ht="12.75" customHeight="1">
      <c r="A1528" s="1933" t="s">
        <v>1983</v>
      </c>
      <c r="B1528" s="1900" t="s">
        <v>3939</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3937</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3944</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3755</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4115</v>
      </c>
      <c r="B1543" s="1629" t="s">
        <v>2669</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3755</v>
      </c>
      <c r="D1544" s="1842"/>
      <c r="E1544" s="1842"/>
      <c r="F1544" s="1842"/>
      <c r="G1544" s="1842"/>
      <c r="H1544" s="1841"/>
      <c r="I1544" s="1895"/>
      <c r="J1544" s="1895"/>
      <c r="K1544" s="1895"/>
      <c r="L1544" s="1812"/>
      <c r="M1544" s="1812"/>
      <c r="N1544" s="1812"/>
      <c r="O1544" s="1812"/>
      <c r="P1544" s="1812"/>
      <c r="Q1544" s="1812"/>
    </row>
    <row r="1545" spans="1:17">
      <c r="A1545" s="1900" t="str">
        <f>'Part VIII-Threshold Criteria'!A480</f>
        <v>N/A</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Enclave at Milledgeville,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2783</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4557</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3844</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3791</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2624</v>
      </c>
      <c r="C1599" s="1976"/>
      <c r="D1599" s="1976"/>
      <c r="E1599" s="521"/>
      <c r="F1599" s="1976"/>
      <c r="G1599" s="1860"/>
      <c r="H1599" s="1785" t="s">
        <v>3590</v>
      </c>
      <c r="I1599" s="1785"/>
      <c r="J1599" s="1997">
        <f>'Part VI-Revenues &amp; Expenses'!$O$65</f>
        <v>76</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3343</v>
      </c>
      <c r="B1603" s="2004" t="s">
        <v>1988</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4559</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3958</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4098</v>
      </c>
      <c r="C1611" s="1976"/>
      <c r="D1611" s="2012"/>
      <c r="E1611" s="1976"/>
      <c r="F1611" s="1976"/>
      <c r="G1611" s="1976"/>
      <c r="H1611" s="1976"/>
      <c r="I1611" s="1785" t="s">
        <v>3771</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3856</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2717</v>
      </c>
      <c r="H1614" s="1976"/>
      <c r="I1614" s="1830" t="s">
        <v>4560</v>
      </c>
      <c r="J1614" s="1830"/>
      <c r="K1614" s="1830"/>
      <c r="L1614" s="1830"/>
      <c r="M1614" s="1630">
        <v>10</v>
      </c>
      <c r="N1614" s="2013" t="s">
        <v>1983</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6.5">
      <c r="A1615" s="1825" t="s">
        <v>1985</v>
      </c>
      <c r="B1615" s="1820" t="s">
        <v>3845</v>
      </c>
      <c r="C1615" s="1976"/>
      <c r="D1615" s="2012"/>
      <c r="E1615" s="1976"/>
      <c r="F1615" s="2017"/>
      <c r="G1615" s="1652" t="s">
        <v>3987</v>
      </c>
      <c r="H1615" s="1976"/>
      <c r="I1615" s="1830"/>
      <c r="J1615" s="1830"/>
      <c r="K1615" s="1830"/>
      <c r="L1615" s="1830"/>
      <c r="M1615" s="1895" t="s">
        <v>1238</v>
      </c>
      <c r="N1615" s="1937" t="s">
        <v>1985</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5">
      <c r="A1616" s="1631"/>
      <c r="B1616" s="1994" t="s">
        <v>3756</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2630</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5">
      <c r="A1622" s="1977"/>
      <c r="B1622" s="1634" t="s">
        <v>3961</v>
      </c>
      <c r="C1622" s="1976"/>
      <c r="D1622" s="2012"/>
      <c r="E1622" s="1976"/>
      <c r="F1622" s="1976"/>
      <c r="G1622" s="1976"/>
      <c r="H1622" s="1820" t="s">
        <v>2793</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5">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2533</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3967</v>
      </c>
      <c r="C1627" s="1976"/>
      <c r="D1627" s="2012"/>
      <c r="E1627" s="1976"/>
      <c r="F1627" s="1634" t="s">
        <v>3716</v>
      </c>
      <c r="G1627" s="1634"/>
      <c r="H1627" s="1634"/>
      <c r="I1627" s="1634"/>
      <c r="J1627" s="1634" t="s">
        <v>3717</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2784</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3749</v>
      </c>
      <c r="C1634" s="1976"/>
      <c r="D1634" s="2012"/>
      <c r="E1634" s="1976"/>
      <c r="F1634" s="1994" t="s">
        <v>4564</v>
      </c>
      <c r="G1634" s="1976"/>
      <c r="H1634" s="1976"/>
      <c r="I1634" s="2027" t="s">
        <v>4565</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4566</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1353</v>
      </c>
      <c r="B1636" s="2029" t="s">
        <v>1988</v>
      </c>
      <c r="C1636" s="1921" t="s">
        <v>4567</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3750</v>
      </c>
      <c r="D1637" s="1921"/>
      <c r="E1637" s="1921"/>
      <c r="F1637" s="1921"/>
      <c r="G1637" s="1937" t="s">
        <v>4094</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5">
      <c r="A1638" s="1936" t="s">
        <v>1985</v>
      </c>
      <c r="B1638" s="2031" t="s">
        <v>3751</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1353</v>
      </c>
      <c r="B1640" s="2029" t="s">
        <v>1988</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1353</v>
      </c>
      <c r="B1641" s="2029" t="s">
        <v>2533</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2705</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2705</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2705</v>
      </c>
    </row>
    <row r="1659" spans="1:26" ht="13.5" customHeight="1">
      <c r="A1659" s="1825" t="s">
        <v>2115</v>
      </c>
      <c r="B1659" s="1820" t="s">
        <v>3780</v>
      </c>
      <c r="D1659" s="1631"/>
      <c r="E1659" s="1631"/>
      <c r="F1659" s="521" t="s">
        <v>3984</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2705</v>
      </c>
    </row>
    <row r="1660" spans="1:26" ht="15">
      <c r="A1660" s="1631"/>
      <c r="B1660" s="1994" t="s">
        <v>3756</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3986</v>
      </c>
      <c r="C1667" s="1993"/>
      <c r="D1667" s="2012"/>
      <c r="E1667" s="1216" t="s">
        <v>4100</v>
      </c>
      <c r="F1667" s="1976"/>
      <c r="G1667" s="1929"/>
      <c r="H1667" s="1976"/>
      <c r="I1667" s="1937" t="s">
        <v>4094</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3989</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8.7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3993</v>
      </c>
      <c r="D1676" s="1993"/>
      <c r="E1676" s="521"/>
      <c r="F1676" s="521"/>
      <c r="G1676" s="521"/>
      <c r="H1676" s="1993"/>
      <c r="I1676" s="1993"/>
      <c r="J1676" s="1993"/>
      <c r="K1676" s="1993"/>
      <c r="L1676" s="1993"/>
      <c r="M1676" s="1630"/>
      <c r="N1676" s="1944" t="s">
        <v>3782</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3994</v>
      </c>
      <c r="D1677" s="521"/>
      <c r="E1677" s="521"/>
      <c r="F1677" s="521"/>
      <c r="G1677" s="521"/>
      <c r="H1677" s="521"/>
      <c r="I1677" s="521"/>
      <c r="J1677" s="521"/>
      <c r="K1677" s="521"/>
      <c r="L1677" s="521"/>
      <c r="M1677" s="1895"/>
      <c r="N1677" s="1937" t="s">
        <v>3783</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3819</v>
      </c>
      <c r="M1678" s="1955"/>
      <c r="N1678" s="1955"/>
      <c r="O1678" s="1955" t="s">
        <v>3818</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4578</v>
      </c>
      <c r="D1683" s="521" t="s">
        <v>3995</v>
      </c>
      <c r="E1683" s="521"/>
      <c r="F1683" s="521"/>
      <c r="G1683" s="521"/>
      <c r="H1683" s="1993"/>
      <c r="I1683" s="1993"/>
      <c r="J1683" s="1993"/>
      <c r="K1683" s="1993"/>
      <c r="L1683" s="1993"/>
      <c r="M1683" s="1993"/>
      <c r="N1683" s="1944" t="s">
        <v>3782</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3996</v>
      </c>
      <c r="E1684" s="521"/>
      <c r="F1684" s="521"/>
      <c r="G1684" s="521"/>
      <c r="H1684" s="1993"/>
      <c r="I1684" s="1993"/>
      <c r="J1684" s="1993"/>
      <c r="K1684" s="1993"/>
      <c r="L1684" s="1993"/>
      <c r="M1684" s="1630"/>
      <c r="N1684" s="1937" t="s">
        <v>3783</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3820</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8.7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4579</v>
      </c>
      <c r="D1693" s="1960"/>
      <c r="E1693" s="1960"/>
      <c r="F1693" s="1960"/>
      <c r="G1693" s="1841" t="s">
        <v>3998</v>
      </c>
      <c r="H1693" s="521"/>
      <c r="I1693" s="1960"/>
      <c r="J1693" s="1960"/>
      <c r="K1693" s="1960"/>
      <c r="L1693" s="1960"/>
      <c r="M1693" s="1937" t="s">
        <v>2434</v>
      </c>
      <c r="N1693" s="1937" t="s">
        <v>3782</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3999</v>
      </c>
      <c r="H1694" s="521"/>
      <c r="I1694" s="1960"/>
      <c r="J1694" s="1960"/>
      <c r="K1694" s="1960"/>
      <c r="L1694" s="1960"/>
      <c r="M1694" s="1895"/>
      <c r="N1694" s="1944" t="s">
        <v>3783</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4000</v>
      </c>
      <c r="H1695" s="521"/>
      <c r="I1695" s="1960"/>
      <c r="J1695" s="1960"/>
      <c r="K1695" s="1960"/>
      <c r="L1695" s="1960"/>
      <c r="M1695" s="1895"/>
      <c r="N1695" s="1937" t="s">
        <v>3784</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4001</v>
      </c>
      <c r="H1696" s="521"/>
      <c r="I1696" s="1960"/>
      <c r="J1696" s="1960"/>
      <c r="K1696" s="1960"/>
      <c r="L1696" s="1960"/>
      <c r="M1696" s="1895"/>
      <c r="N1696" s="1937" t="s">
        <v>3786</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3787</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3834</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3829</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3826</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3828</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3824</v>
      </c>
      <c r="I1715" s="1867" t="s">
        <v>3869</v>
      </c>
      <c r="J1715" s="1867"/>
      <c r="K1715" s="1867"/>
      <c r="L1715" s="1867"/>
      <c r="M1715" s="1706" t="s">
        <v>3823</v>
      </c>
      <c r="N1715" s="1706"/>
      <c r="O1715" s="1706" t="s">
        <v>3827</v>
      </c>
      <c r="P1715" s="1706"/>
      <c r="Q1715" s="1867"/>
      <c r="R1715" s="1976"/>
      <c r="S1715" s="1976"/>
      <c r="T1715" s="1976"/>
      <c r="U1715" s="1976"/>
      <c r="V1715" s="1976"/>
      <c r="W1715" s="1976"/>
      <c r="X1715" s="1976"/>
      <c r="Y1715" s="1976"/>
      <c r="Z1715" s="1976"/>
    </row>
    <row r="1716" spans="1:26" ht="23.25">
      <c r="A1716" s="1825"/>
      <c r="B1716" s="2052" t="s">
        <v>3821</v>
      </c>
      <c r="C1716" s="1834"/>
      <c r="D1716" s="1652" t="s">
        <v>4582</v>
      </c>
      <c r="E1716" s="1652"/>
      <c r="F1716" s="1652"/>
      <c r="G1716" s="1920" t="s">
        <v>3397</v>
      </c>
      <c r="H1716" s="1904"/>
      <c r="I1716" s="1943">
        <v>2014</v>
      </c>
      <c r="J1716" s="1943">
        <v>2015</v>
      </c>
      <c r="K1716" s="1943">
        <v>2016</v>
      </c>
      <c r="L1716" s="1943">
        <v>2017</v>
      </c>
      <c r="M1716" s="1706"/>
      <c r="N1716" s="1706"/>
      <c r="O1716" s="1706"/>
      <c r="P1716" s="1706"/>
      <c r="Q1716" s="2053" t="s">
        <v>3822</v>
      </c>
      <c r="R1716" s="2053"/>
      <c r="S1716" s="1976"/>
      <c r="T1716" s="1976"/>
      <c r="U1716" s="1976"/>
      <c r="V1716" s="1976"/>
      <c r="W1716" s="1976"/>
      <c r="X1716" s="1976"/>
      <c r="Y1716" s="1976"/>
      <c r="Z1716" s="1976"/>
    </row>
    <row r="1717" spans="1:26" ht="15">
      <c r="A1717" s="1937" t="s">
        <v>2434</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2435</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2436</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2437</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2438</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2454</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4007</v>
      </c>
      <c r="C1725" s="1993"/>
      <c r="D1725" s="2041"/>
      <c r="E1725" s="2041"/>
      <c r="F1725" s="2026" t="s">
        <v>3390</v>
      </c>
      <c r="G1725" s="1993"/>
      <c r="H1725" s="1841" t="s">
        <v>3870</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3660</v>
      </c>
      <c r="G1726" s="1808" t="s">
        <v>3398</v>
      </c>
      <c r="H1726" s="1808"/>
      <c r="I1726" s="1808"/>
      <c r="J1726" s="1808"/>
      <c r="K1726" s="1808"/>
      <c r="L1726" s="1808"/>
      <c r="M1726" s="1808"/>
      <c r="N1726" s="1808"/>
      <c r="O1726" s="1216"/>
      <c r="P1726" s="1965"/>
      <c r="Q1726" s="1216"/>
      <c r="R1726" s="1216" t="s">
        <v>2832</v>
      </c>
      <c r="S1726" s="1216"/>
      <c r="T1726" s="1955" t="str">
        <f>'Part I-Project Information'!$F$38</f>
        <v>Milledgeville</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3661</v>
      </c>
      <c r="P1727" s="2058"/>
      <c r="Q1727" s="1216"/>
      <c r="R1727" s="1955" t="s">
        <v>2833</v>
      </c>
      <c r="S1727" s="1216"/>
      <c r="T1727" s="1955" t="str">
        <f>'Part I-Project Information'!$J$39</f>
        <v>Baldwin</v>
      </c>
      <c r="U1727" s="1955"/>
      <c r="V1727" s="1955"/>
      <c r="W1727" s="1955"/>
      <c r="X1727" s="1955"/>
      <c r="Y1727" s="1216"/>
      <c r="Z1727" s="1216"/>
    </row>
    <row r="1728" spans="1:26">
      <c r="A1728" s="1935"/>
      <c r="B1728" s="521" t="s">
        <v>3830</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Baldwin Co.</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3863</v>
      </c>
      <c r="S1729" s="521"/>
      <c r="T1729" s="521" t="str">
        <f>VLOOKUP('Part I-Project Information'!$J$39,'DCA Underwriting Assumptions'!$G$158:$J$317,4)</f>
        <v>Non-MSA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3864</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Rural</v>
      </c>
      <c r="U1731" s="1955"/>
      <c r="V1731" s="1955"/>
      <c r="W1731" s="1955"/>
      <c r="X1731" s="1955"/>
      <c r="Y1731" s="1216"/>
      <c r="Z1731" s="1216"/>
    </row>
    <row r="1732" spans="1:26" ht="13.5">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4169</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4011</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3756</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4135</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4584</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4021</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4012</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4013</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4585</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4016</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4586</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2705</v>
      </c>
    </row>
    <row r="1763" spans="1:26" ht="12.75" customHeight="1">
      <c r="A1763" s="1935"/>
      <c r="B1763" s="2050" t="s">
        <v>1988</v>
      </c>
      <c r="C1763" s="1965" t="s">
        <v>4587</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2705</v>
      </c>
    </row>
    <row r="1764" spans="1:26">
      <c r="A1764" s="1935"/>
      <c r="B1764" s="1964"/>
      <c r="C1764" s="1964" t="s">
        <v>3781</v>
      </c>
      <c r="E1764" s="1964" t="str">
        <f>'Part I-Project Information'!$N$39</f>
        <v>Yes</v>
      </c>
      <c r="G1764" s="1964" t="s">
        <v>3575</v>
      </c>
      <c r="I1764" s="2071" t="str">
        <f>'Part I-Project Information'!$O$38</f>
        <v>9707</v>
      </c>
      <c r="J1764" s="2071"/>
      <c r="K1764" s="1841" t="s">
        <v>3374</v>
      </c>
      <c r="M1764" s="1841" t="str">
        <f>'Part IV-A-Uses of Funds'!$H$152</f>
        <v>DDA/QCT</v>
      </c>
    </row>
    <row r="1765" spans="1:26">
      <c r="A1765" s="1935"/>
      <c r="B1765" s="1964"/>
      <c r="D1765" s="1943"/>
      <c r="E1765" s="1964"/>
      <c r="G1765" s="1841"/>
      <c r="K1765" s="1841"/>
      <c r="L1765" s="1841"/>
    </row>
    <row r="1766" spans="1:26">
      <c r="A1766" s="1825" t="s">
        <v>1985</v>
      </c>
      <c r="B1766" s="1820" t="s">
        <v>4019</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2705</v>
      </c>
    </row>
    <row r="1767" spans="1:26" ht="18.7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3860</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3861</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8.7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3790</v>
      </c>
      <c r="G1771" s="1921"/>
      <c r="J1771" s="2170">
        <f>'Part IX Scoring Criteria'!O215</f>
        <v>0</v>
      </c>
      <c r="K1771" s="2072" t="s">
        <v>3789</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4588</v>
      </c>
      <c r="D1776" s="1899"/>
      <c r="E1776" s="1976"/>
      <c r="F1776" s="1976"/>
      <c r="G1776" s="2074">
        <f>'Part IV-A-Uses of Funds'!$G$132</f>
        <v>15458102.010000002</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3756</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4020</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4025</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4026</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4027</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4589</v>
      </c>
      <c r="D1789" s="1631"/>
      <c r="G1789" s="1964" t="s">
        <v>3785</v>
      </c>
      <c r="Q1789" s="1689"/>
    </row>
    <row r="1790" spans="1:26">
      <c r="A1790" s="1935"/>
      <c r="B1790" s="521" t="s">
        <v>3865</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4028</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4033</v>
      </c>
      <c r="D1799" s="1921"/>
      <c r="E1799" s="1921"/>
      <c r="F1799" s="1921"/>
      <c r="G1799" s="1964" t="s">
        <v>3785</v>
      </c>
      <c r="H1799" s="1921"/>
      <c r="I1799" s="1921"/>
      <c r="J1799" s="1921"/>
      <c r="K1799" s="1921"/>
      <c r="L1799" s="1921"/>
      <c r="M1799" s="1921"/>
      <c r="N1799" s="1921"/>
      <c r="O1799" s="1895" t="s">
        <v>2509</v>
      </c>
      <c r="P1799" s="1895" t="s">
        <v>2509</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2434</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3788</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4041</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4042</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4592</v>
      </c>
      <c r="D1816" s="1631"/>
      <c r="G1816" s="1964" t="s">
        <v>3785</v>
      </c>
      <c r="O1816" s="1895" t="s">
        <v>2509</v>
      </c>
      <c r="P1816" s="1895" t="s">
        <v>2509</v>
      </c>
      <c r="Q1816" s="1689"/>
    </row>
    <row r="1817" spans="1:26" ht="18.75" customHeight="1">
      <c r="A1817" s="1935"/>
      <c r="B1817" s="2050" t="s">
        <v>1986</v>
      </c>
      <c r="C1817" s="1900" t="s">
        <v>4036</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4037</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3756</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2785</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3601</v>
      </c>
      <c r="B1826" s="1820" t="s">
        <v>3599</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1986</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2738</v>
      </c>
      <c r="G1829" s="1216" t="s">
        <v>2389</v>
      </c>
      <c r="H1829" s="2173" t="str">
        <f>'Part IX Scoring Criteria'!H282</f>
        <v>&lt; Select &gt;</v>
      </c>
      <c r="I1829" s="1216" t="s">
        <v>2739</v>
      </c>
      <c r="L1829" s="521" t="s">
        <v>2737</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2533</v>
      </c>
      <c r="C1830" s="1216" t="s">
        <v>2390</v>
      </c>
      <c r="G1830" s="1216" t="s">
        <v>2391</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4099</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3602</v>
      </c>
      <c r="C1836" s="1216"/>
      <c r="G1836" s="1964" t="s">
        <v>3603</v>
      </c>
      <c r="H1836" s="2088">
        <f>'Part VI-Revenues &amp; Expenses'!$O$64</f>
        <v>0</v>
      </c>
      <c r="I1836" s="1943" t="s">
        <v>3605</v>
      </c>
      <c r="J1836" s="2088">
        <f>'Part VI-Revenues &amp; Expenses'!$O$67</f>
        <v>76</v>
      </c>
      <c r="K1836" s="1943" t="s">
        <v>3606</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4046</v>
      </c>
      <c r="C1840" s="1993"/>
      <c r="D1840" s="1994"/>
      <c r="E1840" s="1994"/>
      <c r="F1840" s="1993"/>
      <c r="G1840" s="1993"/>
      <c r="H1840" s="1652"/>
      <c r="I1840" s="2090" t="s">
        <v>3801</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3792</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3793</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3756</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4594</v>
      </c>
      <c r="D1849" s="1631"/>
      <c r="E1849" s="1631"/>
      <c r="F1849" s="1631"/>
      <c r="H1849" s="1894" t="s">
        <v>3683</v>
      </c>
      <c r="I1849" s="1216"/>
      <c r="J1849" s="1894" t="str">
        <f>'Part I-Project Information'!$O$34</f>
        <v>No</v>
      </c>
      <c r="K1849" s="1894"/>
      <c r="L1849" s="2042" t="str">
        <f>'Part I-Project Information'!$O$35</f>
        <v>N/A</v>
      </c>
      <c r="M1849" s="1630">
        <v>3</v>
      </c>
      <c r="N1849" s="1937" t="s">
        <v>1983</v>
      </c>
      <c r="O1849" s="1975">
        <f>'Part IX Scoring Criteria'!O307</f>
        <v>0</v>
      </c>
      <c r="P1849" s="1975">
        <f>'Part IX Scoring Criteria'!P307</f>
        <v>0</v>
      </c>
      <c r="Q1849" s="2015" t="str">
        <f>IF(OR($O1849=$M1849,$O1849=0,$O1849=""),"","*CHECK!*")</f>
        <v/>
      </c>
      <c r="R1849" s="2057" t="s">
        <v>2705</v>
      </c>
    </row>
    <row r="1850" spans="1:26" ht="12.75" customHeight="1">
      <c r="A1850" s="1216"/>
      <c r="B1850" s="2050" t="s">
        <v>1986</v>
      </c>
      <c r="C1850" s="1900" t="s">
        <v>4195</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3807</v>
      </c>
      <c r="D1851" s="521"/>
      <c r="E1851" s="521"/>
      <c r="F1851" s="521"/>
      <c r="G1851" s="521"/>
      <c r="H1851" s="1841" t="s">
        <v>2582</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3862</v>
      </c>
      <c r="D1852" s="521"/>
      <c r="E1852" s="521"/>
      <c r="F1852" s="521"/>
      <c r="G1852" s="521"/>
      <c r="H1852" s="1841" t="s">
        <v>2582</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964</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4596</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4597</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c r="A1859" s="1938" t="s">
        <v>1353</v>
      </c>
      <c r="B1859" s="2050" t="s">
        <v>1988</v>
      </c>
      <c r="C1859" s="1950" t="s">
        <v>4598</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2705</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c r="A1863" s="1938" t="s">
        <v>1353</v>
      </c>
      <c r="B1863" s="2050" t="s">
        <v>1988</v>
      </c>
      <c r="C1863" s="1894" t="s">
        <v>4600</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2705</v>
      </c>
    </row>
    <row r="1864" spans="1:26">
      <c r="A1864" s="1938" t="s">
        <v>1353</v>
      </c>
      <c r="B1864" s="2050" t="s">
        <v>2533</v>
      </c>
      <c r="C1864" s="1950" t="s">
        <v>4601</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5">
      <c r="A1865" s="1631"/>
      <c r="B1865" s="1994" t="s">
        <v>3756</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8.75">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8.7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2781</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4055</v>
      </c>
      <c r="C1879" s="1860"/>
      <c r="D1879" s="1955"/>
      <c r="E1879" s="521"/>
      <c r="F1879" s="1976"/>
      <c r="G1879" s="1849">
        <f>'Part IX Scoring Criteria'!G343</f>
        <v>0</v>
      </c>
      <c r="H1879" s="1976"/>
      <c r="I1879" s="1976"/>
      <c r="J1879" s="1841" t="s">
        <v>2685</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3459</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4072</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2533</v>
      </c>
      <c r="C1882" s="521" t="s">
        <v>4071</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3459</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4085</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2533</v>
      </c>
      <c r="C1887" s="521" t="s">
        <v>4073</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4057</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3756</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2509</v>
      </c>
      <c r="P1902" s="1943" t="s">
        <v>2509</v>
      </c>
      <c r="Q1902" s="1976"/>
      <c r="R1902" s="1976"/>
      <c r="S1902" s="1976"/>
      <c r="T1902" s="1976"/>
      <c r="U1902" s="1976"/>
      <c r="V1902" s="1976"/>
      <c r="W1902" s="1976"/>
      <c r="X1902" s="1976"/>
      <c r="Y1902" s="1976"/>
      <c r="Z1902" s="1976"/>
    </row>
    <row r="1903" spans="1:26">
      <c r="A1903" s="521"/>
      <c r="B1903" s="2093" t="s">
        <v>1986</v>
      </c>
      <c r="C1903" s="1841" t="s">
        <v>4058</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4059</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4060</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2796</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Milledgeville</v>
      </c>
      <c r="D1910" s="1631"/>
      <c r="E1910" s="521" t="s">
        <v>3484</v>
      </c>
      <c r="F1910" s="521" t="str">
        <f>'Part I-Project Information'!$J$39</f>
        <v>Baldwin</v>
      </c>
      <c r="G1910" s="1631"/>
      <c r="H1910" s="1841" t="s">
        <v>451</v>
      </c>
      <c r="I1910" s="1841" t="str">
        <f>'Part I-Project Information'!$N$39</f>
        <v>Yes</v>
      </c>
      <c r="J1910" s="1631"/>
      <c r="K1910" s="1841" t="s">
        <v>3616</v>
      </c>
      <c r="L1910" s="2071" t="str">
        <f>'Part I-Project Information'!$O$38</f>
        <v>9707</v>
      </c>
      <c r="M1910" s="2071"/>
      <c r="N1910" s="2071"/>
      <c r="O1910" s="2071"/>
      <c r="P1910" s="2071"/>
      <c r="Q1910" s="1631"/>
      <c r="R1910" s="1631"/>
      <c r="S1910" s="1631"/>
      <c r="T1910" s="1631"/>
      <c r="U1910" s="1631"/>
      <c r="V1910" s="1631"/>
      <c r="W1910" s="1631"/>
      <c r="X1910" s="1631"/>
      <c r="Y1910" s="1631"/>
      <c r="Z1910" s="1631"/>
    </row>
    <row r="1911" spans="1:26" ht="15">
      <c r="A1911" s="1631"/>
      <c r="B1911" s="1994" t="s">
        <v>3756</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4104</v>
      </c>
      <c r="B1916" s="1978" t="s">
        <v>4064</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5">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3810</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3809</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4065</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4066</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2705</v>
      </c>
    </row>
    <row r="1924" spans="1:26" ht="12.75" customHeight="1">
      <c r="A1924" s="2097"/>
      <c r="B1924" s="2029" t="s">
        <v>1986</v>
      </c>
      <c r="C1924" s="1900" t="s">
        <v>4067</v>
      </c>
      <c r="D1924" s="1900"/>
      <c r="E1924" s="1900"/>
      <c r="F1924" s="1900"/>
      <c r="G1924" s="1900"/>
      <c r="H1924" s="1900"/>
      <c r="I1924" s="1900"/>
      <c r="J1924" s="2039" t="s">
        <v>1990</v>
      </c>
      <c r="K1924" s="2039"/>
      <c r="M1924" s="2039" t="s">
        <v>1990</v>
      </c>
      <c r="N1924" s="2039"/>
      <c r="O1924" s="2039"/>
      <c r="P1924" s="2039"/>
    </row>
    <row r="1925" spans="1:26" ht="15">
      <c r="A1925" s="1941"/>
      <c r="B1925" s="1937" t="s">
        <v>2434</v>
      </c>
      <c r="C1925" s="521" t="s">
        <v>1482</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3621</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1481</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3619</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4603</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3620</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4140</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2627</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2626</v>
      </c>
      <c r="E1937" s="1841" t="s">
        <v>2628</v>
      </c>
      <c r="H1937" s="1924">
        <f>'Part IX Scoring Criteria'!I407</f>
        <v>0</v>
      </c>
      <c r="I1937" s="1633"/>
      <c r="J1937" s="1862">
        <f>'Part IV-A-Uses of Funds'!$G$132</f>
        <v>15458102.010000002</v>
      </c>
      <c r="K1937" s="1862"/>
      <c r="M1937" s="1628"/>
      <c r="N1937" s="1628"/>
      <c r="P1937" s="1628"/>
    </row>
    <row r="1938" spans="1:26" ht="12.75" customHeight="1">
      <c r="A1938" s="1887" t="s">
        <v>4605</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4068</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2435</v>
      </c>
      <c r="C1943" s="521" t="s">
        <v>3802</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4069</v>
      </c>
      <c r="N1944" s="1937" t="s">
        <v>2436</v>
      </c>
      <c r="O1944" s="1938">
        <f>'Part IX Scoring Criteria'!O414</f>
        <v>0</v>
      </c>
      <c r="P1944" s="1938">
        <f>'Part IX Scoring Criteria'!P414</f>
        <v>0</v>
      </c>
    </row>
    <row r="1945" spans="1:26">
      <c r="B1945" s="1994" t="s">
        <v>3756</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4102</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3649</v>
      </c>
      <c r="C1951" s="1976"/>
      <c r="D1951" s="1631"/>
      <c r="E1951" s="1631"/>
      <c r="F1951" s="1631"/>
      <c r="G1951" s="1976"/>
      <c r="H1951" s="1976"/>
      <c r="I1951" s="1976"/>
      <c r="J1951" s="1841" t="s">
        <v>3813</v>
      </c>
      <c r="K1951" s="1976"/>
      <c r="L1951" s="1874">
        <f>'Part VI-Revenues &amp; Expenses'!$O$67*0.1</f>
        <v>7.6000000000000005</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3812</v>
      </c>
      <c r="D1952" s="1900"/>
      <c r="E1952" s="1900"/>
      <c r="F1952" s="1900"/>
      <c r="G1952" s="1900"/>
      <c r="H1952" s="1900"/>
      <c r="I1952" s="1900"/>
      <c r="J1952" s="1841" t="s">
        <v>3815</v>
      </c>
      <c r="K1952" s="1976"/>
      <c r="L1952" s="1874">
        <f>'Part VI-Revenues &amp; Expenses'!$O$63</f>
        <v>76</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3816</v>
      </c>
      <c r="K1953" s="2028"/>
      <c r="L1953" s="1874">
        <f>L1952*0.1</f>
        <v>7.6000000000000005</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3817</v>
      </c>
      <c r="K1954" s="2028"/>
      <c r="L1954" s="1874">
        <f>'Part VI-Revenues &amp; Expenses'!$K$63</f>
        <v>14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3393</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3814</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3811</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2719</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3833</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3394</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3756</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4105</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4606</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2829</v>
      </c>
      <c r="N1975" s="2030"/>
      <c r="O1975" s="2104">
        <f>'Part VI-Revenues &amp; Expenses'!$O$67</f>
        <v>76</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4608</v>
      </c>
      <c r="B1979" s="1893" t="s">
        <v>3356</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2829</v>
      </c>
      <c r="N1980" s="2030"/>
      <c r="O1980" s="2104">
        <f>'Part VI-Revenues &amp; Expenses'!$O$67</f>
        <v>76</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3756</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4205</v>
      </c>
    </row>
    <row r="2010" spans="1:26" ht="16.5">
      <c r="A2010" s="2113" t="str">
        <f>'Part I-Project Information'!$F$34</f>
        <v>Enclave at Milledgeville</v>
      </c>
    </row>
    <row r="2011" spans="1:26" ht="16.5">
      <c r="A2011" s="2113" t="str">
        <f>CONCATENATE('Part I-Project Information'!$F$38,", ", 'Part I-Project Information'!$J$39," County")</f>
        <v>Milledgeville, Baldwin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E145" sqref="E145:H145"/>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0" t="str">
        <f>CONCATENATE("PART TWO - DEVELOPMENT TEAM INFORMATION","  -  ",'Part I-Project Information'!$O$6," ",'Part I-Project Information'!$F$34,", ",'Part I-Project Information'!F38,", ",'Part I-Project Information'!J39," County")</f>
        <v>PART TWO - DEVELOPMENT TEAM INFORMATION  -  2019-5 Enclave at Milledgeville, Milledgeville, Baldwin County</v>
      </c>
      <c r="B1" s="3081"/>
      <c r="C1" s="3081"/>
      <c r="D1" s="3081"/>
      <c r="E1" s="3081"/>
      <c r="F1" s="3081"/>
      <c r="G1" s="3081"/>
      <c r="H1" s="3081"/>
      <c r="I1" s="3081"/>
      <c r="J1" s="3081"/>
      <c r="K1" s="3081"/>
      <c r="L1" s="3081"/>
      <c r="M1" s="3081"/>
      <c r="N1" s="3081"/>
      <c r="O1" s="3081"/>
      <c r="P1" s="3081"/>
      <c r="Q1" s="3081"/>
      <c r="R1" s="3081"/>
      <c r="S1" s="3082"/>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4258</v>
      </c>
      <c r="O3" s="3083" t="str">
        <f>'Part I-Project Information'!$B$6</f>
        <v>May 2019 Final</v>
      </c>
      <c r="P3" s="3084"/>
      <c r="Q3" s="3084"/>
      <c r="R3" s="3084"/>
      <c r="S3" s="3085"/>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2" t="s">
        <v>5313</v>
      </c>
      <c r="I5" s="3073"/>
      <c r="J5" s="3073"/>
      <c r="K5" s="3073"/>
      <c r="L5" s="3073"/>
      <c r="M5" s="3073"/>
      <c r="N5" s="3074"/>
      <c r="O5" s="372" t="s">
        <v>1989</v>
      </c>
      <c r="P5" s="372"/>
      <c r="Q5" s="3072" t="s">
        <v>5246</v>
      </c>
      <c r="R5" s="3073"/>
      <c r="S5" s="3074"/>
      <c r="Y5" s="1271"/>
      <c r="Z5" s="1272"/>
      <c r="AA5" s="1267"/>
    </row>
    <row r="6" spans="1:27" s="325" customFormat="1" ht="11.25" customHeight="1">
      <c r="D6" s="373"/>
      <c r="E6" s="330" t="s">
        <v>1021</v>
      </c>
      <c r="F6" s="339"/>
      <c r="H6" s="2899" t="s">
        <v>5315</v>
      </c>
      <c r="I6" s="3076"/>
      <c r="J6" s="3076"/>
      <c r="K6" s="3077"/>
      <c r="L6" s="3076"/>
      <c r="M6" s="3076"/>
      <c r="N6" s="3078"/>
      <c r="O6" s="372" t="s">
        <v>1747</v>
      </c>
      <c r="P6" s="374"/>
      <c r="Q6" s="2943" t="s">
        <v>5224</v>
      </c>
      <c r="R6" s="2990"/>
      <c r="S6" s="2991"/>
      <c r="V6" s="1271"/>
      <c r="W6" s="1271"/>
      <c r="X6" s="1271"/>
      <c r="Y6" s="1271"/>
      <c r="Z6" s="1272"/>
      <c r="AA6" s="1267"/>
    </row>
    <row r="7" spans="1:27" s="325" customFormat="1" ht="11.25" customHeight="1">
      <c r="D7" s="373"/>
      <c r="E7" s="330" t="s">
        <v>618</v>
      </c>
      <c r="H7" s="2899" t="s">
        <v>196</v>
      </c>
      <c r="I7" s="3077"/>
      <c r="J7" s="2993"/>
      <c r="K7" s="475" t="s">
        <v>762</v>
      </c>
      <c r="L7" s="2912" t="s">
        <v>5248</v>
      </c>
      <c r="M7" s="3076"/>
      <c r="N7" s="3078"/>
      <c r="O7" s="372" t="s">
        <v>1721</v>
      </c>
      <c r="P7" s="374"/>
      <c r="Q7" s="3055">
        <v>4042702503</v>
      </c>
      <c r="R7" s="3056"/>
      <c r="S7" s="3057"/>
    </row>
    <row r="8" spans="1:27" s="325" customFormat="1" ht="11.25" customHeight="1">
      <c r="D8" s="373"/>
      <c r="E8" s="330" t="s">
        <v>1799</v>
      </c>
      <c r="H8" s="1599" t="s">
        <v>848</v>
      </c>
      <c r="I8" s="1000" t="s">
        <v>2229</v>
      </c>
      <c r="J8" s="3066">
        <v>300302612</v>
      </c>
      <c r="K8" s="3067"/>
      <c r="L8" s="374" t="s">
        <v>3687</v>
      </c>
      <c r="M8" s="3068" t="s">
        <v>5249</v>
      </c>
      <c r="N8" s="3069"/>
      <c r="O8" s="372" t="s">
        <v>1979</v>
      </c>
      <c r="P8" s="374"/>
      <c r="Q8" s="3055">
        <v>4042702633</v>
      </c>
      <c r="R8" s="3056"/>
      <c r="S8" s="3057"/>
    </row>
    <row r="9" spans="1:27" s="325" customFormat="1" ht="11.25" customHeight="1">
      <c r="D9" s="373"/>
      <c r="E9" s="330" t="s">
        <v>4259</v>
      </c>
      <c r="H9" s="3070">
        <v>4704408610</v>
      </c>
      <c r="I9" s="3071"/>
      <c r="J9" s="1070"/>
      <c r="K9" s="375" t="s">
        <v>1984</v>
      </c>
      <c r="L9" s="2946" t="s">
        <v>5226</v>
      </c>
      <c r="M9" s="3017"/>
      <c r="N9" s="3017"/>
      <c r="O9" s="2947"/>
      <c r="P9" s="2947"/>
      <c r="Q9" s="3017"/>
      <c r="R9" s="3017"/>
      <c r="S9" s="3018"/>
    </row>
    <row r="10" spans="1:27" s="325" customFormat="1" ht="11.25" customHeight="1">
      <c r="D10" s="373"/>
      <c r="E10" s="1586" t="s">
        <v>4258</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2" t="s">
        <v>5250</v>
      </c>
      <c r="I14" s="3073"/>
      <c r="J14" s="3073"/>
      <c r="K14" s="3073"/>
      <c r="L14" s="3073"/>
      <c r="M14" s="3073"/>
      <c r="N14" s="3074"/>
      <c r="O14" s="372" t="s">
        <v>1989</v>
      </c>
      <c r="P14" s="372"/>
      <c r="Q14" s="3072" t="s">
        <v>5223</v>
      </c>
      <c r="R14" s="3073"/>
      <c r="S14" s="3074"/>
    </row>
    <row r="15" spans="1:27" s="325" customFormat="1" ht="11.25" customHeight="1">
      <c r="D15" s="373"/>
      <c r="E15" s="330" t="s">
        <v>1021</v>
      </c>
      <c r="F15" s="339"/>
      <c r="H15" s="2899" t="s">
        <v>5315</v>
      </c>
      <c r="I15" s="3076"/>
      <c r="J15" s="3076"/>
      <c r="K15" s="3077"/>
      <c r="L15" s="3076"/>
      <c r="M15" s="3076"/>
      <c r="N15" s="3078"/>
      <c r="O15" s="372" t="s">
        <v>1747</v>
      </c>
      <c r="P15" s="374"/>
      <c r="Q15" s="2943" t="s">
        <v>5224</v>
      </c>
      <c r="R15" s="2990"/>
      <c r="S15" s="2991"/>
    </row>
    <row r="16" spans="1:27" s="325" customFormat="1" ht="11.25" customHeight="1">
      <c r="D16" s="373"/>
      <c r="E16" s="330" t="s">
        <v>618</v>
      </c>
      <c r="H16" s="2899" t="s">
        <v>196</v>
      </c>
      <c r="I16" s="3077"/>
      <c r="J16" s="2993"/>
      <c r="K16" s="576" t="s">
        <v>2703</v>
      </c>
      <c r="L16" s="2899" t="s">
        <v>970</v>
      </c>
      <c r="M16" s="3076"/>
      <c r="N16" s="2993"/>
      <c r="O16" s="372" t="s">
        <v>1721</v>
      </c>
      <c r="P16" s="374"/>
      <c r="Q16" s="3055">
        <v>4042702503</v>
      </c>
      <c r="R16" s="3056"/>
      <c r="S16" s="3057"/>
    </row>
    <row r="17" spans="3:19" s="325" customFormat="1" ht="11.25" customHeight="1">
      <c r="D17" s="327"/>
      <c r="E17" s="330" t="s">
        <v>1799</v>
      </c>
      <c r="H17" s="1599" t="s">
        <v>848</v>
      </c>
      <c r="I17" s="374"/>
      <c r="J17" s="374"/>
      <c r="K17" s="1000" t="s">
        <v>2229</v>
      </c>
      <c r="L17" s="2888">
        <v>300302612</v>
      </c>
      <c r="M17" s="3079"/>
      <c r="N17" s="374"/>
      <c r="O17" s="372" t="s">
        <v>1979</v>
      </c>
      <c r="P17" s="374"/>
      <c r="Q17" s="3055">
        <v>4042702633</v>
      </c>
      <c r="R17" s="3056"/>
      <c r="S17" s="3057"/>
    </row>
    <row r="18" spans="3:19" s="325" customFormat="1" ht="11.25" customHeight="1">
      <c r="D18" s="373"/>
      <c r="E18" s="330" t="s">
        <v>4259</v>
      </c>
      <c r="H18" s="3070">
        <v>4704408610</v>
      </c>
      <c r="I18" s="3075"/>
      <c r="J18" s="357"/>
      <c r="K18" s="375" t="s">
        <v>1984</v>
      </c>
      <c r="L18" s="3054" t="s">
        <v>5226</v>
      </c>
      <c r="M18" s="3017"/>
      <c r="N18" s="2947"/>
      <c r="O18" s="2947"/>
      <c r="P18" s="2947"/>
      <c r="Q18" s="3017"/>
      <c r="R18" s="3017"/>
      <c r="S18" s="301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2"/>
      <c r="I20" s="3073"/>
      <c r="J20" s="3073"/>
      <c r="K20" s="3073"/>
      <c r="L20" s="3073"/>
      <c r="M20" s="3073"/>
      <c r="N20" s="3074"/>
      <c r="O20" s="372" t="s">
        <v>1989</v>
      </c>
      <c r="P20" s="372"/>
      <c r="Q20" s="3072" t="s">
        <v>5223</v>
      </c>
      <c r="R20" s="3073"/>
      <c r="S20" s="3074"/>
    </row>
    <row r="21" spans="3:19" s="325" customFormat="1" ht="11.25" customHeight="1">
      <c r="D21" s="373"/>
      <c r="E21" s="330" t="s">
        <v>1021</v>
      </c>
      <c r="F21" s="339"/>
      <c r="H21" s="2899" t="s">
        <v>5315</v>
      </c>
      <c r="I21" s="3076"/>
      <c r="J21" s="3076"/>
      <c r="K21" s="3077"/>
      <c r="L21" s="3076"/>
      <c r="M21" s="3076"/>
      <c r="N21" s="3078"/>
      <c r="O21" s="372" t="s">
        <v>1747</v>
      </c>
      <c r="P21" s="374"/>
      <c r="Q21" s="2943" t="s">
        <v>5314</v>
      </c>
      <c r="R21" s="2990"/>
      <c r="S21" s="2991"/>
    </row>
    <row r="22" spans="3:19" s="325" customFormat="1" ht="11.25" customHeight="1">
      <c r="D22" s="373"/>
      <c r="E22" s="330" t="s">
        <v>618</v>
      </c>
      <c r="H22" s="2899" t="s">
        <v>196</v>
      </c>
      <c r="I22" s="3077"/>
      <c r="J22" s="2993"/>
      <c r="K22" s="576" t="s">
        <v>2703</v>
      </c>
      <c r="L22" s="2899" t="s">
        <v>970</v>
      </c>
      <c r="M22" s="3076"/>
      <c r="N22" s="2993"/>
      <c r="O22" s="372" t="s">
        <v>1721</v>
      </c>
      <c r="P22" s="374"/>
      <c r="Q22" s="3055">
        <v>4042702503</v>
      </c>
      <c r="R22" s="3056"/>
      <c r="S22" s="3057"/>
    </row>
    <row r="23" spans="3:19" s="325" customFormat="1" ht="11.25" customHeight="1">
      <c r="E23" s="330" t="s">
        <v>1799</v>
      </c>
      <c r="H23" s="1599" t="s">
        <v>848</v>
      </c>
      <c r="I23" s="374"/>
      <c r="J23" s="374"/>
      <c r="K23" s="1000" t="s">
        <v>2229</v>
      </c>
      <c r="L23" s="2888">
        <v>300302612</v>
      </c>
      <c r="M23" s="3079"/>
      <c r="N23" s="374"/>
      <c r="O23" s="372" t="s">
        <v>1979</v>
      </c>
      <c r="P23" s="374"/>
      <c r="Q23" s="3055">
        <v>4042702633</v>
      </c>
      <c r="R23" s="3056"/>
      <c r="S23" s="3057"/>
    </row>
    <row r="24" spans="3:19" s="325" customFormat="1" ht="11.25" customHeight="1">
      <c r="D24" s="373"/>
      <c r="E24" s="330" t="s">
        <v>4259</v>
      </c>
      <c r="H24" s="3070">
        <v>4704408610</v>
      </c>
      <c r="I24" s="3075"/>
      <c r="J24" s="357"/>
      <c r="K24" s="375" t="s">
        <v>1984</v>
      </c>
      <c r="L24" s="3054" t="s">
        <v>5226</v>
      </c>
      <c r="M24" s="3017"/>
      <c r="N24" s="2947"/>
      <c r="O24" s="2947"/>
      <c r="P24" s="2947"/>
      <c r="Q24" s="3017"/>
      <c r="R24" s="3017"/>
      <c r="S24" s="3018"/>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2"/>
      <c r="I26" s="3073"/>
      <c r="J26" s="3073"/>
      <c r="K26" s="3073"/>
      <c r="L26" s="3073"/>
      <c r="M26" s="3073"/>
      <c r="N26" s="3074"/>
      <c r="O26" s="372" t="s">
        <v>1989</v>
      </c>
      <c r="P26" s="372"/>
      <c r="Q26" s="3072"/>
      <c r="R26" s="3073"/>
      <c r="S26" s="3074"/>
    </row>
    <row r="27" spans="3:19" s="325" customFormat="1" ht="11.25" customHeight="1">
      <c r="D27" s="373"/>
      <c r="E27" s="330" t="s">
        <v>1021</v>
      </c>
      <c r="F27" s="339"/>
      <c r="H27" s="2899"/>
      <c r="I27" s="3076"/>
      <c r="J27" s="3076"/>
      <c r="K27" s="3077"/>
      <c r="L27" s="3076"/>
      <c r="M27" s="3076"/>
      <c r="N27" s="3078"/>
      <c r="O27" s="372" t="s">
        <v>1747</v>
      </c>
      <c r="P27" s="374"/>
      <c r="Q27" s="2943"/>
      <c r="R27" s="2990"/>
      <c r="S27" s="2991"/>
    </row>
    <row r="28" spans="3:19" s="325" customFormat="1" ht="11.25" customHeight="1">
      <c r="D28" s="373"/>
      <c r="E28" s="330" t="s">
        <v>618</v>
      </c>
      <c r="H28" s="2899"/>
      <c r="I28" s="3077"/>
      <c r="J28" s="2993"/>
      <c r="K28" s="576" t="s">
        <v>2703</v>
      </c>
      <c r="L28" s="2899"/>
      <c r="M28" s="3076"/>
      <c r="N28" s="2993"/>
      <c r="O28" s="372" t="s">
        <v>1721</v>
      </c>
      <c r="P28" s="374"/>
      <c r="Q28" s="3055"/>
      <c r="R28" s="3056"/>
      <c r="S28" s="3057"/>
    </row>
    <row r="29" spans="3:19" s="325" customFormat="1" ht="11.25" customHeight="1">
      <c r="E29" s="330" t="s">
        <v>1799</v>
      </c>
      <c r="H29" s="1599"/>
      <c r="I29" s="374"/>
      <c r="J29" s="374"/>
      <c r="K29" s="1000" t="s">
        <v>2229</v>
      </c>
      <c r="L29" s="2888"/>
      <c r="M29" s="3079"/>
      <c r="N29" s="374"/>
      <c r="O29" s="372" t="s">
        <v>1979</v>
      </c>
      <c r="P29" s="374"/>
      <c r="Q29" s="3055"/>
      <c r="R29" s="3056"/>
      <c r="S29" s="3057"/>
    </row>
    <row r="30" spans="3:19" s="325" customFormat="1" ht="11.25" customHeight="1">
      <c r="D30" s="373"/>
      <c r="E30" s="330" t="s">
        <v>4259</v>
      </c>
      <c r="H30" s="3070"/>
      <c r="I30" s="3075"/>
      <c r="J30" s="357"/>
      <c r="K30" s="375" t="s">
        <v>1984</v>
      </c>
      <c r="L30" s="3054"/>
      <c r="M30" s="3017"/>
      <c r="N30" s="2947"/>
      <c r="O30" s="2947"/>
      <c r="P30" s="2947"/>
      <c r="Q30" s="3017"/>
      <c r="R30" s="3017"/>
      <c r="S30" s="30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4258</v>
      </c>
      <c r="L32" s="380"/>
      <c r="M32" s="380"/>
      <c r="N32" s="374"/>
      <c r="O32" s="374"/>
      <c r="P32" s="374"/>
      <c r="Q32" s="374"/>
      <c r="R32" s="374"/>
      <c r="S32" s="374"/>
    </row>
    <row r="33" spans="3:19" s="325" customFormat="1" ht="11.25" customHeight="1">
      <c r="D33" s="327" t="s">
        <v>2116</v>
      </c>
      <c r="E33" s="325" t="s">
        <v>750</v>
      </c>
      <c r="H33" s="3072" t="s">
        <v>5251</v>
      </c>
      <c r="I33" s="3073"/>
      <c r="J33" s="3073"/>
      <c r="K33" s="3073"/>
      <c r="L33" s="3073"/>
      <c r="M33" s="3073"/>
      <c r="N33" s="3074"/>
      <c r="O33" s="372" t="s">
        <v>1989</v>
      </c>
      <c r="P33" s="372"/>
      <c r="Q33" s="3072" t="s">
        <v>5252</v>
      </c>
      <c r="R33" s="3073"/>
      <c r="S33" s="3074"/>
    </row>
    <row r="34" spans="3:19" s="325" customFormat="1" ht="11.25" customHeight="1">
      <c r="D34" s="373"/>
      <c r="E34" s="330" t="s">
        <v>1021</v>
      </c>
      <c r="F34" s="339"/>
      <c r="H34" s="2899" t="s">
        <v>5253</v>
      </c>
      <c r="I34" s="3076"/>
      <c r="J34" s="3076"/>
      <c r="K34" s="3077"/>
      <c r="L34" s="3076"/>
      <c r="M34" s="3076"/>
      <c r="N34" s="3078"/>
      <c r="O34" s="372" t="s">
        <v>1747</v>
      </c>
      <c r="P34" s="374"/>
      <c r="Q34" s="2943" t="s">
        <v>5254</v>
      </c>
      <c r="R34" s="2990"/>
      <c r="S34" s="2991"/>
    </row>
    <row r="35" spans="3:19" s="325" customFormat="1" ht="11.25" customHeight="1">
      <c r="D35" s="373"/>
      <c r="E35" s="330" t="s">
        <v>618</v>
      </c>
      <c r="H35" s="2899" t="s">
        <v>5255</v>
      </c>
      <c r="I35" s="3077"/>
      <c r="J35" s="2993"/>
      <c r="K35" s="576" t="s">
        <v>2703</v>
      </c>
      <c r="L35" s="2899" t="s">
        <v>5256</v>
      </c>
      <c r="M35" s="3076"/>
      <c r="N35" s="2993"/>
      <c r="O35" s="372" t="s">
        <v>1721</v>
      </c>
      <c r="P35" s="374"/>
      <c r="Q35" s="3055">
        <v>9802336462</v>
      </c>
      <c r="R35" s="3056"/>
      <c r="S35" s="3057"/>
    </row>
    <row r="36" spans="3:19" s="325" customFormat="1" ht="11.25" customHeight="1">
      <c r="E36" s="330" t="s">
        <v>1799</v>
      </c>
      <c r="H36" s="1599" t="s">
        <v>1349</v>
      </c>
      <c r="I36" s="374"/>
      <c r="J36" s="374"/>
      <c r="K36" s="1000" t="s">
        <v>2229</v>
      </c>
      <c r="L36" s="2888">
        <v>282104272</v>
      </c>
      <c r="M36" s="3079"/>
      <c r="N36" s="374"/>
      <c r="O36" s="372" t="s">
        <v>1979</v>
      </c>
      <c r="P36" s="374"/>
      <c r="Q36" s="3055">
        <v>7044918511</v>
      </c>
      <c r="R36" s="3056"/>
      <c r="S36" s="3057"/>
    </row>
    <row r="37" spans="3:19" s="325" customFormat="1" ht="11.25" customHeight="1">
      <c r="D37" s="373"/>
      <c r="E37" s="330" t="s">
        <v>4259</v>
      </c>
      <c r="H37" s="3070">
        <v>9802336500</v>
      </c>
      <c r="I37" s="3075"/>
      <c r="J37" s="357"/>
      <c r="K37" s="375" t="s">
        <v>1984</v>
      </c>
      <c r="L37" s="3054" t="s">
        <v>5257</v>
      </c>
      <c r="M37" s="3017"/>
      <c r="N37" s="2947"/>
      <c r="O37" s="2947"/>
      <c r="P37" s="2947"/>
      <c r="Q37" s="3017"/>
      <c r="R37" s="3017"/>
      <c r="S37" s="30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2" t="s">
        <v>5251</v>
      </c>
      <c r="I39" s="3073"/>
      <c r="J39" s="3073"/>
      <c r="K39" s="3073"/>
      <c r="L39" s="3073"/>
      <c r="M39" s="3073"/>
      <c r="N39" s="3074"/>
      <c r="O39" s="372" t="s">
        <v>1989</v>
      </c>
      <c r="P39" s="372"/>
      <c r="Q39" s="3072" t="s">
        <v>5252</v>
      </c>
      <c r="R39" s="3073"/>
      <c r="S39" s="3074"/>
    </row>
    <row r="40" spans="3:19" s="325" customFormat="1" ht="11.25" customHeight="1">
      <c r="D40" s="373"/>
      <c r="E40" s="330" t="s">
        <v>1021</v>
      </c>
      <c r="F40" s="339"/>
      <c r="H40" s="2899" t="s">
        <v>5253</v>
      </c>
      <c r="I40" s="3076"/>
      <c r="J40" s="3076"/>
      <c r="K40" s="3077"/>
      <c r="L40" s="3076"/>
      <c r="M40" s="3076"/>
      <c r="N40" s="3078"/>
      <c r="O40" s="372" t="s">
        <v>1747</v>
      </c>
      <c r="P40" s="374"/>
      <c r="Q40" s="2943" t="s">
        <v>5254</v>
      </c>
      <c r="R40" s="2990"/>
      <c r="S40" s="2991"/>
    </row>
    <row r="41" spans="3:19" s="325" customFormat="1" ht="11.25" customHeight="1">
      <c r="D41" s="373"/>
      <c r="E41" s="330" t="s">
        <v>618</v>
      </c>
      <c r="H41" s="2899" t="s">
        <v>5255</v>
      </c>
      <c r="I41" s="3077"/>
      <c r="J41" s="2993"/>
      <c r="K41" s="576" t="s">
        <v>2703</v>
      </c>
      <c r="L41" s="2899" t="s">
        <v>5256</v>
      </c>
      <c r="M41" s="3076"/>
      <c r="N41" s="2993"/>
      <c r="O41" s="372" t="s">
        <v>1721</v>
      </c>
      <c r="P41" s="374"/>
      <c r="Q41" s="3055">
        <v>9802336462</v>
      </c>
      <c r="R41" s="3056"/>
      <c r="S41" s="3057"/>
    </row>
    <row r="42" spans="3:19" s="325" customFormat="1" ht="11.25" customHeight="1">
      <c r="D42" s="327"/>
      <c r="E42" s="330" t="s">
        <v>1799</v>
      </c>
      <c r="H42" s="1599" t="s">
        <v>1349</v>
      </c>
      <c r="I42" s="374"/>
      <c r="J42" s="374"/>
      <c r="K42" s="1000" t="s">
        <v>2229</v>
      </c>
      <c r="L42" s="2888">
        <v>282104272</v>
      </c>
      <c r="M42" s="3079"/>
      <c r="N42" s="374"/>
      <c r="O42" s="372" t="s">
        <v>1979</v>
      </c>
      <c r="P42" s="374"/>
      <c r="Q42" s="3055">
        <v>7044918511</v>
      </c>
      <c r="R42" s="3056"/>
      <c r="S42" s="3057"/>
    </row>
    <row r="43" spans="3:19" s="325" customFormat="1" ht="11.25" customHeight="1">
      <c r="D43" s="373"/>
      <c r="E43" s="330" t="s">
        <v>4259</v>
      </c>
      <c r="H43" s="3070">
        <v>9802336500</v>
      </c>
      <c r="I43" s="3075"/>
      <c r="J43" s="357"/>
      <c r="K43" s="375" t="s">
        <v>1984</v>
      </c>
      <c r="L43" s="3054" t="s">
        <v>5257</v>
      </c>
      <c r="M43" s="3017"/>
      <c r="N43" s="2947"/>
      <c r="O43" s="2947"/>
      <c r="P43" s="2947"/>
      <c r="Q43" s="3017"/>
      <c r="R43" s="3017"/>
      <c r="S43" s="30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9" t="s">
        <v>4258</v>
      </c>
      <c r="L45" s="380"/>
      <c r="M45" s="380"/>
      <c r="N45" s="374"/>
      <c r="O45" s="374"/>
      <c r="P45" s="374"/>
      <c r="Q45" s="374"/>
      <c r="R45" s="374"/>
      <c r="S45" s="374"/>
    </row>
    <row r="46" spans="3:19" s="325" customFormat="1" ht="11.25" customHeight="1">
      <c r="E46" s="325" t="s">
        <v>92</v>
      </c>
      <c r="H46" s="3072" t="s">
        <v>5222</v>
      </c>
      <c r="I46" s="3073"/>
      <c r="J46" s="3073"/>
      <c r="K46" s="3073"/>
      <c r="L46" s="3073"/>
      <c r="M46" s="3073"/>
      <c r="N46" s="3074"/>
      <c r="O46" s="372" t="s">
        <v>1989</v>
      </c>
      <c r="P46" s="372"/>
      <c r="Q46" s="3072" t="s">
        <v>5223</v>
      </c>
      <c r="R46" s="3073"/>
      <c r="S46" s="3074"/>
    </row>
    <row r="47" spans="3:19" s="325" customFormat="1" ht="11.25" customHeight="1">
      <c r="D47" s="373"/>
      <c r="E47" s="330" t="s">
        <v>1021</v>
      </c>
      <c r="F47" s="339"/>
      <c r="H47" s="2899" t="s">
        <v>5315</v>
      </c>
      <c r="I47" s="3076"/>
      <c r="J47" s="3076"/>
      <c r="K47" s="3077"/>
      <c r="L47" s="3076"/>
      <c r="M47" s="3076"/>
      <c r="N47" s="3078"/>
      <c r="O47" s="372" t="s">
        <v>1747</v>
      </c>
      <c r="P47" s="374"/>
      <c r="Q47" s="2943" t="s">
        <v>5224</v>
      </c>
      <c r="R47" s="2990"/>
      <c r="S47" s="2991"/>
    </row>
    <row r="48" spans="3:19" s="325" customFormat="1" ht="11.25" customHeight="1">
      <c r="D48" s="373"/>
      <c r="E48" s="330" t="s">
        <v>618</v>
      </c>
      <c r="H48" s="2899" t="s">
        <v>196</v>
      </c>
      <c r="I48" s="3077"/>
      <c r="J48" s="2993"/>
      <c r="K48" s="576" t="s">
        <v>2703</v>
      </c>
      <c r="L48" s="2899" t="s">
        <v>5258</v>
      </c>
      <c r="M48" s="3076"/>
      <c r="N48" s="2993"/>
      <c r="O48" s="372" t="s">
        <v>1721</v>
      </c>
      <c r="P48" s="374"/>
      <c r="Q48" s="3055">
        <v>4042702503</v>
      </c>
      <c r="R48" s="3056"/>
      <c r="S48" s="3057"/>
    </row>
    <row r="49" spans="1:19" s="325" customFormat="1" ht="11.25" customHeight="1">
      <c r="E49" s="330" t="s">
        <v>1799</v>
      </c>
      <c r="H49" s="1599" t="s">
        <v>848</v>
      </c>
      <c r="I49" s="374"/>
      <c r="J49" s="374"/>
      <c r="K49" s="1000" t="s">
        <v>2229</v>
      </c>
      <c r="L49" s="2888">
        <v>300302612</v>
      </c>
      <c r="M49" s="3079"/>
      <c r="N49" s="374"/>
      <c r="O49" s="372" t="s">
        <v>1979</v>
      </c>
      <c r="P49" s="374"/>
      <c r="Q49" s="3055">
        <v>4042702633</v>
      </c>
      <c r="R49" s="3056"/>
      <c r="S49" s="3057"/>
    </row>
    <row r="50" spans="1:19" s="325" customFormat="1" ht="11.25" customHeight="1">
      <c r="D50" s="373"/>
      <c r="E50" s="330" t="s">
        <v>4259</v>
      </c>
      <c r="H50" s="3070">
        <v>4704408610</v>
      </c>
      <c r="I50" s="3075"/>
      <c r="J50" s="357"/>
      <c r="K50" s="375" t="s">
        <v>1984</v>
      </c>
      <c r="L50" s="3054" t="s">
        <v>5226</v>
      </c>
      <c r="M50" s="3017"/>
      <c r="N50" s="2947"/>
      <c r="O50" s="2947"/>
      <c r="P50" s="2947"/>
      <c r="Q50" s="3017"/>
      <c r="R50" s="3017"/>
      <c r="S50" s="3018"/>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2" t="s">
        <v>5320</v>
      </c>
      <c r="I54" s="3073"/>
      <c r="J54" s="3073"/>
      <c r="K54" s="3073"/>
      <c r="L54" s="3073"/>
      <c r="M54" s="3073"/>
      <c r="N54" s="3074"/>
      <c r="O54" s="372" t="s">
        <v>1989</v>
      </c>
      <c r="P54" s="372"/>
      <c r="Q54" s="3072" t="s">
        <v>5223</v>
      </c>
      <c r="R54" s="3073"/>
      <c r="S54" s="3074"/>
    </row>
    <row r="55" spans="1:19" s="325" customFormat="1" ht="11.25" customHeight="1">
      <c r="D55" s="373"/>
      <c r="E55" s="330" t="s">
        <v>1021</v>
      </c>
      <c r="F55" s="339"/>
      <c r="H55" s="2899" t="s">
        <v>5225</v>
      </c>
      <c r="I55" s="3076"/>
      <c r="J55" s="3076"/>
      <c r="K55" s="3077"/>
      <c r="L55" s="3076"/>
      <c r="M55" s="3076"/>
      <c r="N55" s="3078"/>
      <c r="O55" s="372" t="s">
        <v>1747</v>
      </c>
      <c r="P55" s="374"/>
      <c r="Q55" s="2943" t="s">
        <v>5224</v>
      </c>
      <c r="R55" s="2990"/>
      <c r="S55" s="2991"/>
    </row>
    <row r="56" spans="1:19" s="325" customFormat="1" ht="11.25" customHeight="1">
      <c r="D56" s="373"/>
      <c r="E56" s="330" t="s">
        <v>618</v>
      </c>
      <c r="H56" s="2899" t="s">
        <v>196</v>
      </c>
      <c r="I56" s="3077"/>
      <c r="J56" s="2993"/>
      <c r="K56" s="576" t="s">
        <v>2703</v>
      </c>
      <c r="L56" s="2899" t="s">
        <v>970</v>
      </c>
      <c r="M56" s="3076"/>
      <c r="N56" s="2993"/>
      <c r="O56" s="372" t="s">
        <v>1721</v>
      </c>
      <c r="P56" s="374"/>
      <c r="Q56" s="3055">
        <v>4042702503</v>
      </c>
      <c r="R56" s="3056"/>
      <c r="S56" s="3057"/>
    </row>
    <row r="57" spans="1:19" s="325" customFormat="1" ht="11.25" customHeight="1">
      <c r="E57" s="330" t="s">
        <v>1799</v>
      </c>
      <c r="H57" s="1599" t="s">
        <v>848</v>
      </c>
      <c r="I57" s="374"/>
      <c r="J57" s="374"/>
      <c r="K57" s="1000" t="s">
        <v>2229</v>
      </c>
      <c r="L57" s="2888">
        <v>300302612</v>
      </c>
      <c r="M57" s="3079"/>
      <c r="N57" s="374"/>
      <c r="O57" s="372" t="s">
        <v>1979</v>
      </c>
      <c r="P57" s="374"/>
      <c r="Q57" s="3055">
        <v>4042702633</v>
      </c>
      <c r="R57" s="3056"/>
      <c r="S57" s="3057"/>
    </row>
    <row r="58" spans="1:19" s="325" customFormat="1" ht="11.25" customHeight="1">
      <c r="D58" s="373"/>
      <c r="E58" s="330" t="s">
        <v>4259</v>
      </c>
      <c r="H58" s="3070">
        <v>4704408610</v>
      </c>
      <c r="I58" s="3075"/>
      <c r="J58" s="357"/>
      <c r="K58" s="375" t="s">
        <v>1984</v>
      </c>
      <c r="L58" s="3054" t="s">
        <v>5226</v>
      </c>
      <c r="M58" s="3017"/>
      <c r="N58" s="2947"/>
      <c r="O58" s="2947"/>
      <c r="P58" s="2947"/>
      <c r="Q58" s="3017"/>
      <c r="R58" s="3017"/>
      <c r="S58" s="3018"/>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2"/>
      <c r="I60" s="3073"/>
      <c r="J60" s="3073"/>
      <c r="K60" s="3073"/>
      <c r="L60" s="3073"/>
      <c r="M60" s="3073"/>
      <c r="N60" s="3074"/>
      <c r="O60" s="372" t="s">
        <v>1989</v>
      </c>
      <c r="P60" s="372"/>
      <c r="Q60" s="3072"/>
      <c r="R60" s="3073"/>
      <c r="S60" s="3074"/>
    </row>
    <row r="61" spans="1:19" s="325" customFormat="1" ht="11.25" customHeight="1">
      <c r="D61" s="373"/>
      <c r="E61" s="330" t="s">
        <v>1021</v>
      </c>
      <c r="F61" s="339"/>
      <c r="H61" s="2899"/>
      <c r="I61" s="3076"/>
      <c r="J61" s="3076"/>
      <c r="K61" s="3077"/>
      <c r="L61" s="3076"/>
      <c r="M61" s="3076"/>
      <c r="N61" s="3078"/>
      <c r="O61" s="372" t="s">
        <v>1747</v>
      </c>
      <c r="P61" s="374"/>
      <c r="Q61" s="2943"/>
      <c r="R61" s="2990"/>
      <c r="S61" s="2991"/>
    </row>
    <row r="62" spans="1:19" s="325" customFormat="1" ht="11.25" customHeight="1">
      <c r="D62" s="373"/>
      <c r="E62" s="330" t="s">
        <v>618</v>
      </c>
      <c r="H62" s="2899"/>
      <c r="I62" s="3077"/>
      <c r="J62" s="2993"/>
      <c r="K62" s="576" t="s">
        <v>2703</v>
      </c>
      <c r="L62" s="2899"/>
      <c r="M62" s="3076"/>
      <c r="N62" s="2993"/>
      <c r="O62" s="372" t="s">
        <v>1721</v>
      </c>
      <c r="P62" s="374"/>
      <c r="Q62" s="3055"/>
      <c r="R62" s="3056"/>
      <c r="S62" s="3057"/>
    </row>
    <row r="63" spans="1:19" s="325" customFormat="1" ht="11.25" customHeight="1">
      <c r="E63" s="330" t="s">
        <v>1799</v>
      </c>
      <c r="H63" s="1599"/>
      <c r="I63" s="374"/>
      <c r="J63" s="374"/>
      <c r="K63" s="1000" t="s">
        <v>2229</v>
      </c>
      <c r="L63" s="2888"/>
      <c r="M63" s="3079"/>
      <c r="N63" s="374"/>
      <c r="O63" s="372" t="s">
        <v>1979</v>
      </c>
      <c r="P63" s="374"/>
      <c r="Q63" s="3055"/>
      <c r="R63" s="3056"/>
      <c r="S63" s="3057"/>
    </row>
    <row r="64" spans="1:19" s="325" customFormat="1" ht="11.25" customHeight="1">
      <c r="D64" s="373"/>
      <c r="E64" s="330" t="s">
        <v>4259</v>
      </c>
      <c r="H64" s="3070"/>
      <c r="I64" s="3075"/>
      <c r="J64" s="357"/>
      <c r="K64" s="375" t="s">
        <v>1984</v>
      </c>
      <c r="L64" s="3054"/>
      <c r="M64" s="3017"/>
      <c r="N64" s="2947"/>
      <c r="O64" s="2947"/>
      <c r="P64" s="2947"/>
      <c r="Q64" s="3017"/>
      <c r="R64" s="3017"/>
      <c r="S64" s="3018"/>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2"/>
      <c r="I66" s="3073"/>
      <c r="J66" s="3073"/>
      <c r="K66" s="3073"/>
      <c r="L66" s="3073"/>
      <c r="M66" s="3073"/>
      <c r="N66" s="3074"/>
      <c r="O66" s="372" t="s">
        <v>1989</v>
      </c>
      <c r="P66" s="372"/>
      <c r="Q66" s="3072"/>
      <c r="R66" s="3073"/>
      <c r="S66" s="3074"/>
    </row>
    <row r="67" spans="1:19" s="325" customFormat="1" ht="11.25" customHeight="1">
      <c r="D67" s="373"/>
      <c r="E67" s="330" t="s">
        <v>1021</v>
      </c>
      <c r="F67" s="339"/>
      <c r="H67" s="2899"/>
      <c r="I67" s="3076"/>
      <c r="J67" s="3076"/>
      <c r="K67" s="3077"/>
      <c r="L67" s="3076"/>
      <c r="M67" s="3076"/>
      <c r="N67" s="3078"/>
      <c r="O67" s="372" t="s">
        <v>1747</v>
      </c>
      <c r="P67" s="374"/>
      <c r="Q67" s="2943"/>
      <c r="R67" s="2990"/>
      <c r="S67" s="2991"/>
    </row>
    <row r="68" spans="1:19" s="325" customFormat="1" ht="11.25" customHeight="1">
      <c r="D68" s="373"/>
      <c r="E68" s="330" t="s">
        <v>618</v>
      </c>
      <c r="H68" s="2899"/>
      <c r="I68" s="3077"/>
      <c r="J68" s="2993"/>
      <c r="K68" s="576" t="s">
        <v>2703</v>
      </c>
      <c r="L68" s="2899"/>
      <c r="M68" s="3076"/>
      <c r="N68" s="2993"/>
      <c r="O68" s="372" t="s">
        <v>1721</v>
      </c>
      <c r="P68" s="374"/>
      <c r="Q68" s="3055"/>
      <c r="R68" s="3056"/>
      <c r="S68" s="3057"/>
    </row>
    <row r="69" spans="1:19" s="325" customFormat="1" ht="11.25" customHeight="1">
      <c r="E69" s="330" t="s">
        <v>1799</v>
      </c>
      <c r="H69" s="1599"/>
      <c r="I69" s="374"/>
      <c r="J69" s="374"/>
      <c r="K69" s="1000" t="s">
        <v>2229</v>
      </c>
      <c r="L69" s="2888"/>
      <c r="M69" s="3079"/>
      <c r="N69" s="374"/>
      <c r="O69" s="372" t="s">
        <v>1979</v>
      </c>
      <c r="P69" s="374"/>
      <c r="Q69" s="3055"/>
      <c r="R69" s="3056"/>
      <c r="S69" s="3057"/>
    </row>
    <row r="70" spans="1:19" s="325" customFormat="1" ht="11.25" customHeight="1">
      <c r="D70" s="373"/>
      <c r="E70" s="330" t="s">
        <v>4259</v>
      </c>
      <c r="H70" s="3070"/>
      <c r="I70" s="3075"/>
      <c r="J70" s="357"/>
      <c r="K70" s="375" t="s">
        <v>1984</v>
      </c>
      <c r="L70" s="3054"/>
      <c r="M70" s="3017"/>
      <c r="N70" s="2947"/>
      <c r="O70" s="2947"/>
      <c r="P70" s="2947"/>
      <c r="Q70" s="3017"/>
      <c r="R70" s="3017"/>
      <c r="S70" s="3018"/>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2"/>
      <c r="I72" s="3073"/>
      <c r="J72" s="3073"/>
      <c r="K72" s="3073"/>
      <c r="L72" s="3073"/>
      <c r="M72" s="3073"/>
      <c r="N72" s="3074"/>
      <c r="O72" s="372" t="s">
        <v>1989</v>
      </c>
      <c r="P72" s="372"/>
      <c r="Q72" s="3072"/>
      <c r="R72" s="3073"/>
      <c r="S72" s="3074"/>
    </row>
    <row r="73" spans="1:19" s="325" customFormat="1" ht="11.25" customHeight="1">
      <c r="D73" s="373"/>
      <c r="E73" s="330" t="s">
        <v>1021</v>
      </c>
      <c r="F73" s="339"/>
      <c r="H73" s="2899"/>
      <c r="I73" s="3076"/>
      <c r="J73" s="3076"/>
      <c r="K73" s="3077"/>
      <c r="L73" s="3076"/>
      <c r="M73" s="3076"/>
      <c r="N73" s="3078"/>
      <c r="O73" s="372" t="s">
        <v>1747</v>
      </c>
      <c r="P73" s="374"/>
      <c r="Q73" s="2943"/>
      <c r="R73" s="2990"/>
      <c r="S73" s="2991"/>
    </row>
    <row r="74" spans="1:19" s="325" customFormat="1" ht="11.25" customHeight="1">
      <c r="D74" s="373"/>
      <c r="E74" s="330" t="s">
        <v>618</v>
      </c>
      <c r="H74" s="2899"/>
      <c r="I74" s="3077"/>
      <c r="J74" s="2993"/>
      <c r="K74" s="576" t="s">
        <v>2703</v>
      </c>
      <c r="L74" s="2899"/>
      <c r="M74" s="3076"/>
      <c r="N74" s="2993"/>
      <c r="O74" s="372" t="s">
        <v>1721</v>
      </c>
      <c r="P74" s="374"/>
      <c r="Q74" s="3055"/>
      <c r="R74" s="3056"/>
      <c r="S74" s="3057"/>
    </row>
    <row r="75" spans="1:19" s="325" customFormat="1" ht="11.25" customHeight="1">
      <c r="E75" s="330" t="s">
        <v>1799</v>
      </c>
      <c r="H75" s="1599"/>
      <c r="I75" s="374"/>
      <c r="J75" s="374"/>
      <c r="K75" s="1000" t="s">
        <v>2229</v>
      </c>
      <c r="L75" s="2888"/>
      <c r="M75" s="3079"/>
      <c r="N75" s="374"/>
      <c r="O75" s="372" t="s">
        <v>1979</v>
      </c>
      <c r="P75" s="374"/>
      <c r="Q75" s="3055"/>
      <c r="R75" s="3056"/>
      <c r="S75" s="3057"/>
    </row>
    <row r="76" spans="1:19" s="325" customFormat="1" ht="11.25" customHeight="1">
      <c r="D76" s="373"/>
      <c r="E76" s="330" t="s">
        <v>4259</v>
      </c>
      <c r="H76" s="3070"/>
      <c r="I76" s="3075"/>
      <c r="J76" s="357"/>
      <c r="K76" s="375" t="s">
        <v>1984</v>
      </c>
      <c r="L76" s="3054"/>
      <c r="M76" s="3017"/>
      <c r="N76" s="2947"/>
      <c r="O76" s="2947"/>
      <c r="P76" s="2947"/>
      <c r="Q76" s="3017"/>
      <c r="R76" s="3017"/>
      <c r="S76" s="3018"/>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2"/>
      <c r="I80" s="3073"/>
      <c r="J80" s="3073"/>
      <c r="K80" s="3073"/>
      <c r="L80" s="3073"/>
      <c r="M80" s="3073"/>
      <c r="N80" s="3074"/>
      <c r="O80" s="372" t="s">
        <v>1989</v>
      </c>
      <c r="P80" s="372"/>
      <c r="Q80" s="3072"/>
      <c r="R80" s="3073"/>
      <c r="S80" s="3074"/>
    </row>
    <row r="81" spans="2:19" s="325" customFormat="1" ht="11.25" customHeight="1">
      <c r="D81" s="373"/>
      <c r="E81" s="330" t="s">
        <v>1021</v>
      </c>
      <c r="F81" s="339"/>
      <c r="H81" s="2899"/>
      <c r="I81" s="3076"/>
      <c r="J81" s="3076"/>
      <c r="K81" s="3077"/>
      <c r="L81" s="3076"/>
      <c r="M81" s="3076"/>
      <c r="N81" s="3078"/>
      <c r="O81" s="372" t="s">
        <v>1747</v>
      </c>
      <c r="P81" s="374"/>
      <c r="Q81" s="2943"/>
      <c r="R81" s="2990"/>
      <c r="S81" s="2991"/>
    </row>
    <row r="82" spans="2:19" s="325" customFormat="1" ht="11.25" customHeight="1">
      <c r="D82" s="373"/>
      <c r="E82" s="330" t="s">
        <v>618</v>
      </c>
      <c r="H82" s="2899"/>
      <c r="I82" s="3077"/>
      <c r="J82" s="2993"/>
      <c r="K82" s="576" t="s">
        <v>2703</v>
      </c>
      <c r="L82" s="2899"/>
      <c r="M82" s="3076"/>
      <c r="N82" s="2993"/>
      <c r="O82" s="372" t="s">
        <v>1721</v>
      </c>
      <c r="P82" s="374"/>
      <c r="Q82" s="3055"/>
      <c r="R82" s="3056"/>
      <c r="S82" s="3057"/>
    </row>
    <row r="83" spans="2:19" s="325" customFormat="1" ht="11.25" customHeight="1">
      <c r="E83" s="330" t="s">
        <v>1799</v>
      </c>
      <c r="H83" s="1599"/>
      <c r="I83" s="374"/>
      <c r="J83" s="374"/>
      <c r="K83" s="1000" t="s">
        <v>2229</v>
      </c>
      <c r="L83" s="2888"/>
      <c r="M83" s="3079"/>
      <c r="N83" s="374"/>
      <c r="O83" s="372" t="s">
        <v>1979</v>
      </c>
      <c r="P83" s="374"/>
      <c r="Q83" s="3055"/>
      <c r="R83" s="3056"/>
      <c r="S83" s="3057"/>
    </row>
    <row r="84" spans="2:19" s="325" customFormat="1" ht="11.25" customHeight="1">
      <c r="D84" s="373"/>
      <c r="E84" s="330" t="s">
        <v>4259</v>
      </c>
      <c r="H84" s="3070"/>
      <c r="I84" s="3075"/>
      <c r="J84" s="357"/>
      <c r="K84" s="375" t="s">
        <v>1984</v>
      </c>
      <c r="L84" s="3054"/>
      <c r="M84" s="3017"/>
      <c r="N84" s="2947"/>
      <c r="O84" s="2947"/>
      <c r="P84" s="2947"/>
      <c r="Q84" s="3017"/>
      <c r="R84" s="3017"/>
      <c r="S84" s="3018"/>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2" t="s">
        <v>5259</v>
      </c>
      <c r="I86" s="3073"/>
      <c r="J86" s="3073"/>
      <c r="K86" s="3073"/>
      <c r="L86" s="3073"/>
      <c r="M86" s="3073"/>
      <c r="N86" s="3074"/>
      <c r="O86" s="372" t="s">
        <v>1989</v>
      </c>
      <c r="P86" s="372"/>
      <c r="Q86" s="3072" t="s">
        <v>5322</v>
      </c>
      <c r="R86" s="3073"/>
      <c r="S86" s="3074"/>
    </row>
    <row r="87" spans="2:19" s="325" customFormat="1" ht="11.25" customHeight="1">
      <c r="D87" s="373"/>
      <c r="E87" s="330" t="s">
        <v>1021</v>
      </c>
      <c r="F87" s="339"/>
      <c r="H87" s="2899" t="s">
        <v>5321</v>
      </c>
      <c r="I87" s="3076"/>
      <c r="J87" s="3076"/>
      <c r="K87" s="3077"/>
      <c r="L87" s="3076"/>
      <c r="M87" s="3076"/>
      <c r="N87" s="3078"/>
      <c r="O87" s="372" t="s">
        <v>1747</v>
      </c>
      <c r="P87" s="374"/>
      <c r="Q87" s="2943" t="s">
        <v>5247</v>
      </c>
      <c r="R87" s="2990"/>
      <c r="S87" s="2991"/>
    </row>
    <row r="88" spans="2:19" s="325" customFormat="1" ht="11.25" customHeight="1">
      <c r="D88" s="373"/>
      <c r="E88" s="330" t="s">
        <v>618</v>
      </c>
      <c r="H88" s="2899" t="s">
        <v>1205</v>
      </c>
      <c r="I88" s="3077"/>
      <c r="J88" s="2993"/>
      <c r="K88" s="576" t="s">
        <v>2703</v>
      </c>
      <c r="L88" s="2899" t="s">
        <v>5260</v>
      </c>
      <c r="M88" s="3076"/>
      <c r="N88" s="2993"/>
      <c r="O88" s="372" t="s">
        <v>1721</v>
      </c>
      <c r="P88" s="374"/>
      <c r="Q88" s="3055">
        <v>4045789953</v>
      </c>
      <c r="R88" s="3056"/>
      <c r="S88" s="3057"/>
    </row>
    <row r="89" spans="2:19" s="325" customFormat="1" ht="11.25" customHeight="1">
      <c r="E89" s="330" t="s">
        <v>1799</v>
      </c>
      <c r="H89" s="1599" t="s">
        <v>848</v>
      </c>
      <c r="I89" s="374"/>
      <c r="J89" s="374"/>
      <c r="K89" s="1000" t="s">
        <v>2229</v>
      </c>
      <c r="L89" s="2888">
        <v>303243951</v>
      </c>
      <c r="M89" s="3079"/>
      <c r="N89" s="374"/>
      <c r="O89" s="372" t="s">
        <v>1979</v>
      </c>
      <c r="P89" s="374"/>
      <c r="Q89" s="3055"/>
      <c r="R89" s="3056"/>
      <c r="S89" s="3057"/>
    </row>
    <row r="90" spans="2:19" s="325" customFormat="1" ht="11.25" customHeight="1">
      <c r="D90" s="373"/>
      <c r="E90" s="330" t="s">
        <v>4259</v>
      </c>
      <c r="H90" s="3070">
        <v>4044752553</v>
      </c>
      <c r="I90" s="3075"/>
      <c r="J90" s="357"/>
      <c r="K90" s="375" t="s">
        <v>1984</v>
      </c>
      <c r="L90" s="3054" t="s">
        <v>5261</v>
      </c>
      <c r="M90" s="3017"/>
      <c r="N90" s="2947"/>
      <c r="O90" s="2947"/>
      <c r="P90" s="2947"/>
      <c r="Q90" s="3017"/>
      <c r="R90" s="3017"/>
      <c r="S90" s="3018"/>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2" t="s">
        <v>5262</v>
      </c>
      <c r="I92" s="3073"/>
      <c r="J92" s="3073"/>
      <c r="K92" s="3073"/>
      <c r="L92" s="3073"/>
      <c r="M92" s="3073"/>
      <c r="N92" s="3074"/>
      <c r="O92" s="372" t="s">
        <v>1989</v>
      </c>
      <c r="P92" s="372"/>
      <c r="Q92" s="3072" t="s">
        <v>5240</v>
      </c>
      <c r="R92" s="3073"/>
      <c r="S92" s="3074"/>
    </row>
    <row r="93" spans="2:19" s="325" customFormat="1" ht="11.25" customHeight="1">
      <c r="D93" s="373"/>
      <c r="E93" s="330" t="s">
        <v>1021</v>
      </c>
      <c r="F93" s="339"/>
      <c r="H93" s="2899" t="s">
        <v>5315</v>
      </c>
      <c r="I93" s="3076"/>
      <c r="J93" s="3076"/>
      <c r="K93" s="3077"/>
      <c r="L93" s="3076"/>
      <c r="M93" s="3076"/>
      <c r="N93" s="3078"/>
      <c r="O93" s="372" t="s">
        <v>1747</v>
      </c>
      <c r="P93" s="374"/>
      <c r="Q93" s="2943" t="s">
        <v>5263</v>
      </c>
      <c r="R93" s="2990"/>
      <c r="S93" s="2991"/>
    </row>
    <row r="94" spans="2:19" s="325" customFormat="1" ht="11.25" customHeight="1">
      <c r="D94" s="373"/>
      <c r="E94" s="330" t="s">
        <v>618</v>
      </c>
      <c r="H94" s="2899" t="s">
        <v>196</v>
      </c>
      <c r="I94" s="3077"/>
      <c r="J94" s="2993"/>
      <c r="K94" s="576" t="s">
        <v>2703</v>
      </c>
      <c r="L94" s="2899" t="s">
        <v>970</v>
      </c>
      <c r="M94" s="3076"/>
      <c r="N94" s="2993"/>
      <c r="O94" s="372" t="s">
        <v>1721</v>
      </c>
      <c r="P94" s="374"/>
      <c r="Q94" s="3055">
        <v>4704408594</v>
      </c>
      <c r="R94" s="3056"/>
      <c r="S94" s="3057"/>
    </row>
    <row r="95" spans="2:19" s="325" customFormat="1" ht="11.25" customHeight="1">
      <c r="D95" s="373"/>
      <c r="E95" s="330" t="s">
        <v>1799</v>
      </c>
      <c r="H95" s="1599" t="s">
        <v>848</v>
      </c>
      <c r="I95" s="374"/>
      <c r="J95" s="374"/>
      <c r="K95" s="1000" t="s">
        <v>2229</v>
      </c>
      <c r="L95" s="2888">
        <v>300302612</v>
      </c>
      <c r="M95" s="3079"/>
      <c r="N95" s="374"/>
      <c r="O95" s="372" t="s">
        <v>1979</v>
      </c>
      <c r="P95" s="374"/>
      <c r="Q95" s="3055">
        <v>6783081424</v>
      </c>
      <c r="R95" s="3056"/>
      <c r="S95" s="3057"/>
    </row>
    <row r="96" spans="2:19" s="325" customFormat="1" ht="11.25" customHeight="1">
      <c r="D96" s="373"/>
      <c r="E96" s="330" t="s">
        <v>4259</v>
      </c>
      <c r="H96" s="3070">
        <v>4704408610</v>
      </c>
      <c r="I96" s="3075"/>
      <c r="J96" s="357"/>
      <c r="K96" s="375" t="s">
        <v>1984</v>
      </c>
      <c r="L96" s="3054" t="s">
        <v>5264</v>
      </c>
      <c r="M96" s="3017"/>
      <c r="N96" s="2947"/>
      <c r="O96" s="2947"/>
      <c r="P96" s="2947"/>
      <c r="Q96" s="3017"/>
      <c r="R96" s="3017"/>
      <c r="S96" s="3018"/>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2" t="s">
        <v>5265</v>
      </c>
      <c r="I98" s="3073"/>
      <c r="J98" s="3073"/>
      <c r="K98" s="3073"/>
      <c r="L98" s="3073"/>
      <c r="M98" s="3073"/>
      <c r="N98" s="3074"/>
      <c r="O98" s="372" t="s">
        <v>1989</v>
      </c>
      <c r="P98" s="372"/>
      <c r="Q98" s="3072" t="s">
        <v>5267</v>
      </c>
      <c r="R98" s="3073"/>
      <c r="S98" s="3074"/>
    </row>
    <row r="99" spans="2:19" s="325" customFormat="1" ht="11.25" customHeight="1">
      <c r="D99" s="373"/>
      <c r="E99" s="330" t="s">
        <v>1021</v>
      </c>
      <c r="F99" s="339"/>
      <c r="H99" s="2899" t="s">
        <v>5266</v>
      </c>
      <c r="I99" s="3076"/>
      <c r="J99" s="3076"/>
      <c r="K99" s="3077"/>
      <c r="L99" s="3076"/>
      <c r="M99" s="3076"/>
      <c r="N99" s="3078"/>
      <c r="O99" s="372" t="s">
        <v>1747</v>
      </c>
      <c r="P99" s="374"/>
      <c r="Q99" s="2943" t="s">
        <v>5268</v>
      </c>
      <c r="R99" s="2990"/>
      <c r="S99" s="2991"/>
    </row>
    <row r="100" spans="2:19" s="325" customFormat="1" ht="11.25" customHeight="1">
      <c r="D100" s="373"/>
      <c r="E100" s="330" t="s">
        <v>618</v>
      </c>
      <c r="H100" s="2899" t="s">
        <v>1205</v>
      </c>
      <c r="I100" s="3077"/>
      <c r="J100" s="2993"/>
      <c r="K100" s="576" t="s">
        <v>2703</v>
      </c>
      <c r="L100" s="2899" t="s">
        <v>5271</v>
      </c>
      <c r="M100" s="3076"/>
      <c r="N100" s="2993"/>
      <c r="O100" s="372" t="s">
        <v>1721</v>
      </c>
      <c r="P100" s="374"/>
      <c r="Q100" s="3055">
        <v>2296718233</v>
      </c>
      <c r="R100" s="3056"/>
      <c r="S100" s="3057"/>
    </row>
    <row r="101" spans="2:19" s="325" customFormat="1" ht="11.25" customHeight="1">
      <c r="D101" s="373"/>
      <c r="E101" s="330" t="s">
        <v>1799</v>
      </c>
      <c r="H101" s="1599" t="s">
        <v>848</v>
      </c>
      <c r="I101" s="374"/>
      <c r="J101" s="374"/>
      <c r="K101" s="1000" t="s">
        <v>2229</v>
      </c>
      <c r="L101" s="2888">
        <v>303263229</v>
      </c>
      <c r="M101" s="3079"/>
      <c r="N101" s="374"/>
      <c r="O101" s="372" t="s">
        <v>1979</v>
      </c>
      <c r="P101" s="374"/>
      <c r="Q101" s="3055"/>
      <c r="R101" s="3056"/>
      <c r="S101" s="3057"/>
    </row>
    <row r="102" spans="2:19" ht="11.25" customHeight="1">
      <c r="E102" s="330" t="s">
        <v>4259</v>
      </c>
      <c r="F102" s="325"/>
      <c r="G102" s="325"/>
      <c r="H102" s="3070">
        <v>7706989556</v>
      </c>
      <c r="I102" s="3075"/>
      <c r="J102" s="357"/>
      <c r="K102" s="375" t="s">
        <v>1984</v>
      </c>
      <c r="L102" s="3054" t="s">
        <v>5269</v>
      </c>
      <c r="M102" s="3017"/>
      <c r="N102" s="2947"/>
      <c r="O102" s="2947"/>
      <c r="P102" s="2947"/>
      <c r="Q102" s="3017"/>
      <c r="R102" s="3017"/>
      <c r="S102" s="3018"/>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2" t="s">
        <v>5275</v>
      </c>
      <c r="I104" s="3073"/>
      <c r="J104" s="3073"/>
      <c r="K104" s="3073"/>
      <c r="L104" s="3073"/>
      <c r="M104" s="3073"/>
      <c r="N104" s="3074"/>
      <c r="O104" s="372" t="s">
        <v>1989</v>
      </c>
      <c r="P104" s="372"/>
      <c r="Q104" s="3072" t="s">
        <v>5273</v>
      </c>
      <c r="R104" s="3073"/>
      <c r="S104" s="3074"/>
    </row>
    <row r="105" spans="2:19" s="325" customFormat="1" ht="11.25" customHeight="1">
      <c r="D105" s="373"/>
      <c r="E105" s="330" t="s">
        <v>1021</v>
      </c>
      <c r="F105" s="339"/>
      <c r="H105" s="2899" t="s">
        <v>5270</v>
      </c>
      <c r="I105" s="3076"/>
      <c r="J105" s="3076"/>
      <c r="K105" s="3077"/>
      <c r="L105" s="3076"/>
      <c r="M105" s="3076"/>
      <c r="N105" s="3078"/>
      <c r="O105" s="372" t="s">
        <v>1747</v>
      </c>
      <c r="P105" s="374"/>
      <c r="Q105" s="2943" t="s">
        <v>5274</v>
      </c>
      <c r="R105" s="2990"/>
      <c r="S105" s="2991"/>
    </row>
    <row r="106" spans="2:19" s="325" customFormat="1" ht="11.25" customHeight="1">
      <c r="D106" s="373"/>
      <c r="E106" s="330" t="s">
        <v>618</v>
      </c>
      <c r="H106" s="2899" t="s">
        <v>1205</v>
      </c>
      <c r="I106" s="3077"/>
      <c r="J106" s="2993"/>
      <c r="K106" s="576" t="s">
        <v>2703</v>
      </c>
      <c r="L106" s="2899" t="s">
        <v>5272</v>
      </c>
      <c r="M106" s="3076"/>
      <c r="N106" s="2993"/>
      <c r="O106" s="372" t="s">
        <v>1721</v>
      </c>
      <c r="P106" s="374"/>
      <c r="Q106" s="3055">
        <v>4048477647</v>
      </c>
      <c r="R106" s="3056"/>
      <c r="S106" s="3057"/>
    </row>
    <row r="107" spans="2:19" s="325" customFormat="1" ht="11.25" customHeight="1">
      <c r="D107" s="373"/>
      <c r="E107" s="330" t="s">
        <v>1799</v>
      </c>
      <c r="H107" s="1599" t="s">
        <v>848</v>
      </c>
      <c r="I107" s="374"/>
      <c r="J107" s="374"/>
      <c r="K107" s="1000" t="s">
        <v>2229</v>
      </c>
      <c r="L107" s="2888">
        <v>303264276</v>
      </c>
      <c r="M107" s="3079"/>
      <c r="N107" s="374"/>
      <c r="O107" s="372" t="s">
        <v>1979</v>
      </c>
      <c r="P107" s="374"/>
      <c r="Q107" s="3055">
        <v>4048477647</v>
      </c>
      <c r="R107" s="3056"/>
      <c r="S107" s="3057"/>
    </row>
    <row r="108" spans="2:19" ht="11.25" customHeight="1">
      <c r="E108" s="330" t="s">
        <v>4259</v>
      </c>
      <c r="F108" s="325"/>
      <c r="G108" s="325"/>
      <c r="H108" s="3070">
        <v>4048479447</v>
      </c>
      <c r="I108" s="3075"/>
      <c r="J108" s="357"/>
      <c r="K108" s="375" t="s">
        <v>1984</v>
      </c>
      <c r="L108" s="3054"/>
      <c r="M108" s="3017"/>
      <c r="N108" s="2947"/>
      <c r="O108" s="2947"/>
      <c r="P108" s="2947"/>
      <c r="Q108" s="3017"/>
      <c r="R108" s="3017"/>
      <c r="S108" s="3018"/>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2" t="s">
        <v>5276</v>
      </c>
      <c r="I110" s="3073"/>
      <c r="J110" s="3073"/>
      <c r="K110" s="3073"/>
      <c r="L110" s="3073"/>
      <c r="M110" s="3073"/>
      <c r="N110" s="3074"/>
      <c r="O110" s="372" t="s">
        <v>1989</v>
      </c>
      <c r="P110" s="372"/>
      <c r="Q110" s="3072" t="s">
        <v>5279</v>
      </c>
      <c r="R110" s="3073"/>
      <c r="S110" s="3074"/>
    </row>
    <row r="111" spans="2:19" s="325" customFormat="1" ht="11.25" customHeight="1">
      <c r="D111" s="373"/>
      <c r="E111" s="330" t="s">
        <v>1021</v>
      </c>
      <c r="F111" s="339"/>
      <c r="H111" s="2899" t="s">
        <v>5277</v>
      </c>
      <c r="I111" s="3076"/>
      <c r="J111" s="3076"/>
      <c r="K111" s="3077"/>
      <c r="L111" s="3076"/>
      <c r="M111" s="3076"/>
      <c r="N111" s="3078"/>
      <c r="O111" s="372" t="s">
        <v>1747</v>
      </c>
      <c r="P111" s="374"/>
      <c r="Q111" s="2943" t="s">
        <v>5280</v>
      </c>
      <c r="R111" s="2990"/>
      <c r="S111" s="2991"/>
    </row>
    <row r="112" spans="2:19" s="325" customFormat="1" ht="11.25" customHeight="1">
      <c r="D112" s="373"/>
      <c r="E112" s="330" t="s">
        <v>618</v>
      </c>
      <c r="H112" s="2899" t="s">
        <v>1205</v>
      </c>
      <c r="I112" s="3077"/>
      <c r="J112" s="2993"/>
      <c r="K112" s="576" t="s">
        <v>2703</v>
      </c>
      <c r="L112" s="2899" t="s">
        <v>5278</v>
      </c>
      <c r="M112" s="3076"/>
      <c r="N112" s="2993"/>
      <c r="O112" s="372" t="s">
        <v>1721</v>
      </c>
      <c r="P112" s="374"/>
      <c r="Q112" s="3055">
        <v>3146781448</v>
      </c>
      <c r="R112" s="3056"/>
      <c r="S112" s="3057"/>
    </row>
    <row r="113" spans="1:22" s="325" customFormat="1" ht="11.25" customHeight="1">
      <c r="D113" s="390"/>
      <c r="E113" s="330" t="s">
        <v>1799</v>
      </c>
      <c r="H113" s="1599" t="s">
        <v>848</v>
      </c>
      <c r="I113" s="374"/>
      <c r="J113" s="374"/>
      <c r="K113" s="1000" t="s">
        <v>2229</v>
      </c>
      <c r="L113" s="2888">
        <v>303272284</v>
      </c>
      <c r="M113" s="3079"/>
      <c r="N113" s="374"/>
      <c r="O113" s="372" t="s">
        <v>1979</v>
      </c>
      <c r="P113" s="374"/>
      <c r="Q113" s="3055">
        <v>3143784641</v>
      </c>
      <c r="R113" s="3056"/>
      <c r="S113" s="3057"/>
    </row>
    <row r="114" spans="1:22" s="325" customFormat="1" ht="11.25" customHeight="1">
      <c r="D114" s="390"/>
      <c r="E114" s="330" t="s">
        <v>4259</v>
      </c>
      <c r="H114" s="3070">
        <v>6785903200</v>
      </c>
      <c r="I114" s="3075"/>
      <c r="J114" s="357"/>
      <c r="K114" s="375" t="s">
        <v>1984</v>
      </c>
      <c r="L114" s="3054" t="s">
        <v>5281</v>
      </c>
      <c r="M114" s="3017"/>
      <c r="N114" s="2947"/>
      <c r="O114" s="2947"/>
      <c r="P114" s="2947"/>
      <c r="Q114" s="3017"/>
      <c r="R114" s="3017"/>
      <c r="S114" s="3018"/>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072" t="s">
        <v>5282</v>
      </c>
      <c r="I117" s="3095"/>
      <c r="J117" s="3096"/>
      <c r="K117" s="375" t="s">
        <v>2473</v>
      </c>
      <c r="L117" s="3072" t="s">
        <v>5283</v>
      </c>
      <c r="M117" s="3073"/>
      <c r="N117" s="3074"/>
      <c r="O117" s="389" t="s">
        <v>3578</v>
      </c>
      <c r="P117" s="374"/>
      <c r="Q117" s="3097">
        <v>4042616154</v>
      </c>
      <c r="R117" s="3098"/>
      <c r="S117" s="3099"/>
    </row>
    <row r="118" spans="1:22" s="325" customFormat="1" ht="11.25" customHeight="1">
      <c r="D118" s="373"/>
      <c r="E118" s="330" t="s">
        <v>1021</v>
      </c>
      <c r="F118" s="339"/>
      <c r="H118" s="3009" t="s">
        <v>5284</v>
      </c>
      <c r="I118" s="3100"/>
      <c r="J118" s="3101"/>
      <c r="K118" s="3010"/>
      <c r="L118" s="3100"/>
      <c r="M118" s="3100"/>
      <c r="N118" s="3102"/>
      <c r="O118" s="389" t="s">
        <v>618</v>
      </c>
      <c r="P118" s="374"/>
      <c r="Q118" s="3103" t="s">
        <v>446</v>
      </c>
      <c r="R118" s="3013"/>
      <c r="S118" s="3014"/>
    </row>
    <row r="119" spans="1:22" s="325" customFormat="1" ht="11.25" customHeight="1">
      <c r="D119" s="373"/>
      <c r="E119" s="330" t="s">
        <v>1799</v>
      </c>
      <c r="H119" s="2673" t="s">
        <v>848</v>
      </c>
      <c r="I119" s="1000" t="s">
        <v>2229</v>
      </c>
      <c r="J119" s="2992">
        <v>300046130</v>
      </c>
      <c r="K119" s="2993"/>
      <c r="L119" s="375" t="s">
        <v>1984</v>
      </c>
      <c r="M119" s="2946" t="s">
        <v>5285</v>
      </c>
      <c r="N119" s="2947"/>
      <c r="O119" s="2947"/>
      <c r="P119" s="2947"/>
      <c r="Q119" s="3017"/>
      <c r="R119" s="3017"/>
      <c r="S119" s="3018"/>
    </row>
    <row r="120" spans="1:22" ht="12" customHeight="1">
      <c r="B120" s="327" t="s">
        <v>1985</v>
      </c>
      <c r="C120" s="327" t="s">
        <v>5014</v>
      </c>
      <c r="H120" s="704"/>
      <c r="I120" s="704"/>
      <c r="J120" s="704"/>
      <c r="K120" s="704"/>
      <c r="L120" s="704"/>
      <c r="M120" s="704"/>
      <c r="N120" s="704"/>
      <c r="O120" s="704"/>
      <c r="P120" s="704"/>
      <c r="Q120" s="704"/>
      <c r="R120" s="704"/>
      <c r="S120" s="704"/>
    </row>
    <row r="121" spans="1:22" ht="11.25" customHeight="1" thickBot="1">
      <c r="A121" s="3086" t="s">
        <v>3883</v>
      </c>
      <c r="B121" s="3086"/>
      <c r="C121" s="3086"/>
      <c r="D121" s="3086"/>
      <c r="E121" s="3087"/>
      <c r="F121" s="2681" t="s">
        <v>2509</v>
      </c>
      <c r="G121" s="3088" t="s">
        <v>3477</v>
      </c>
      <c r="H121" s="3089"/>
      <c r="I121" s="3089"/>
      <c r="J121" s="3089"/>
      <c r="K121" s="3089"/>
      <c r="L121" s="3089"/>
      <c r="M121" s="3089"/>
      <c r="N121" s="3089"/>
      <c r="O121" s="3089"/>
      <c r="P121" s="3089"/>
      <c r="Q121" s="3089"/>
      <c r="R121" s="3089"/>
      <c r="S121" s="3090"/>
    </row>
    <row r="122" spans="1:22" s="325" customFormat="1" ht="25.5" customHeight="1" thickBot="1">
      <c r="B122" s="568"/>
      <c r="C122" s="1332" t="s">
        <v>1986</v>
      </c>
      <c r="D122" s="3091" t="s">
        <v>2836</v>
      </c>
      <c r="E122" s="3091"/>
      <c r="F122" s="2568" t="s">
        <v>2992</v>
      </c>
      <c r="G122" s="3092"/>
      <c r="H122" s="3093"/>
      <c r="I122" s="3093"/>
      <c r="J122" s="3093"/>
      <c r="K122" s="3093"/>
      <c r="L122" s="3093"/>
      <c r="M122" s="3093"/>
      <c r="N122" s="3093"/>
      <c r="O122" s="3093"/>
      <c r="P122" s="3093"/>
      <c r="Q122" s="3093"/>
      <c r="R122" s="3093"/>
      <c r="S122" s="3094"/>
      <c r="U122" s="3065" t="s">
        <v>2031</v>
      </c>
      <c r="V122" s="3065"/>
    </row>
    <row r="123" spans="1:22" s="325" customFormat="1" ht="25.5" customHeight="1" thickBot="1">
      <c r="B123" s="568"/>
      <c r="C123" s="700" t="s">
        <v>1988</v>
      </c>
      <c r="D123" s="2969" t="s">
        <v>2901</v>
      </c>
      <c r="E123" s="3046"/>
      <c r="F123" s="2568" t="s">
        <v>2992</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2533</v>
      </c>
      <c r="D124" s="2969" t="s">
        <v>2877</v>
      </c>
      <c r="E124" s="3046"/>
      <c r="F124" s="2568" t="s">
        <v>2992</v>
      </c>
      <c r="G124" s="3063"/>
      <c r="H124" s="3063"/>
      <c r="I124" s="3063"/>
      <c r="J124" s="3063"/>
      <c r="K124" s="3063"/>
      <c r="L124" s="3063"/>
      <c r="M124" s="3063"/>
      <c r="N124" s="3063"/>
      <c r="O124" s="3063"/>
      <c r="P124" s="3063"/>
      <c r="Q124" s="3063"/>
      <c r="R124" s="3063"/>
      <c r="S124" s="3064"/>
      <c r="U124" s="3065"/>
      <c r="V124" s="3065"/>
    </row>
    <row r="125" spans="1:22" s="325" customFormat="1" ht="25.5" customHeight="1" thickBot="1">
      <c r="B125" s="568"/>
      <c r="C125" s="700" t="s">
        <v>1224</v>
      </c>
      <c r="D125" s="2969" t="s">
        <v>2837</v>
      </c>
      <c r="E125" s="3046"/>
      <c r="F125" s="2568" t="s">
        <v>2992</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1225</v>
      </c>
      <c r="D126" s="2969" t="s">
        <v>3465</v>
      </c>
      <c r="E126" s="3046"/>
      <c r="F126" s="2568" t="s">
        <v>2992</v>
      </c>
      <c r="G126" s="3063"/>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1881</v>
      </c>
      <c r="D127" s="2969" t="s">
        <v>3466</v>
      </c>
      <c r="E127" s="3046"/>
      <c r="F127" s="2568" t="s">
        <v>2992</v>
      </c>
      <c r="G127" s="3063"/>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503</v>
      </c>
      <c r="D128" s="2969" t="s">
        <v>2838</v>
      </c>
      <c r="E128" s="3046"/>
      <c r="F128" s="2568" t="s">
        <v>2992</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504</v>
      </c>
      <c r="D129" s="2969" t="s">
        <v>5035</v>
      </c>
      <c r="E129" s="3046"/>
      <c r="F129" s="2568" t="s">
        <v>2992</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5034</v>
      </c>
      <c r="D130" s="3114" t="s">
        <v>3882</v>
      </c>
      <c r="E130" s="3115"/>
      <c r="F130" s="2568" t="s">
        <v>2992</v>
      </c>
      <c r="G130" s="3116"/>
      <c r="H130" s="3116"/>
      <c r="I130" s="3116"/>
      <c r="J130" s="3116"/>
      <c r="K130" s="3116"/>
      <c r="L130" s="3116"/>
      <c r="M130" s="3116"/>
      <c r="N130" s="3116"/>
      <c r="O130" s="3116"/>
      <c r="P130" s="3116"/>
      <c r="Q130" s="3116"/>
      <c r="R130" s="3116"/>
      <c r="S130" s="3117"/>
    </row>
    <row r="131" spans="1:22" s="325" customFormat="1" ht="13.35" customHeight="1">
      <c r="A131" s="327" t="s">
        <v>1794</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5015</v>
      </c>
    </row>
    <row r="134" spans="1:22" s="325" customFormat="1" ht="13.5" customHeight="1">
      <c r="A134" s="3118" t="s">
        <v>640</v>
      </c>
      <c r="B134" s="3091"/>
      <c r="C134" s="3091"/>
      <c r="D134" s="3091"/>
      <c r="E134" s="3122" t="s">
        <v>3447</v>
      </c>
      <c r="F134" s="3123"/>
      <c r="G134" s="3123"/>
      <c r="H134" s="3123"/>
      <c r="I134" s="3124"/>
      <c r="J134" s="3128" t="s">
        <v>3448</v>
      </c>
      <c r="K134" s="3131" t="s">
        <v>2907</v>
      </c>
      <c r="L134" s="3131" t="s">
        <v>2908</v>
      </c>
      <c r="M134" s="3134" t="s">
        <v>3457</v>
      </c>
      <c r="N134" s="3135"/>
      <c r="O134" s="3135"/>
      <c r="P134" s="3135"/>
      <c r="Q134" s="3135"/>
      <c r="R134" s="3135"/>
      <c r="S134" s="3136"/>
    </row>
    <row r="135" spans="1:22" s="325" customFormat="1" ht="13.5" customHeight="1">
      <c r="A135" s="3119"/>
      <c r="B135" s="3046"/>
      <c r="C135" s="3046"/>
      <c r="D135" s="3046"/>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6"/>
      <c r="C136" s="3046"/>
      <c r="D136" s="3046"/>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6"/>
      <c r="C137" s="3046"/>
      <c r="D137" s="3046"/>
      <c r="E137" s="3140" t="s">
        <v>3718</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9" t="s">
        <v>2509</v>
      </c>
      <c r="J138" s="3130"/>
      <c r="K138" s="3133"/>
      <c r="L138" s="3132"/>
      <c r="M138" s="2570" t="s">
        <v>2509</v>
      </c>
      <c r="N138" s="2919" t="s">
        <v>2906</v>
      </c>
      <c r="O138" s="2919"/>
      <c r="P138" s="2919"/>
      <c r="Q138" s="2919"/>
      <c r="R138" s="2919"/>
      <c r="S138" s="3146"/>
    </row>
    <row r="139" spans="1:22" s="325" customFormat="1" ht="24" customHeight="1">
      <c r="A139" s="3104" t="s">
        <v>3442</v>
      </c>
      <c r="B139" s="3105"/>
      <c r="C139" s="3105"/>
      <c r="D139" s="3106"/>
      <c r="E139" s="3107"/>
      <c r="F139" s="3093"/>
      <c r="G139" s="3093"/>
      <c r="H139" s="3093"/>
      <c r="I139" s="957" t="s">
        <v>2992</v>
      </c>
      <c r="J139" s="701" t="s">
        <v>2992</v>
      </c>
      <c r="K139" s="706" t="s">
        <v>5249</v>
      </c>
      <c r="L139" s="960">
        <v>8.0000000000000007E-5</v>
      </c>
      <c r="M139" s="707" t="s">
        <v>2992</v>
      </c>
      <c r="N139" s="3108"/>
      <c r="O139" s="3093"/>
      <c r="P139" s="3093"/>
      <c r="Q139" s="3093"/>
      <c r="R139" s="3093"/>
      <c r="S139" s="3094"/>
    </row>
    <row r="140" spans="1:22" s="325" customFormat="1" ht="24" customHeight="1">
      <c r="A140" s="3109" t="s">
        <v>3443</v>
      </c>
      <c r="B140" s="3110"/>
      <c r="C140" s="3110"/>
      <c r="D140" s="3111"/>
      <c r="E140" s="3112"/>
      <c r="F140" s="3063"/>
      <c r="G140" s="3063"/>
      <c r="H140" s="3063"/>
      <c r="I140" s="958" t="s">
        <v>2992</v>
      </c>
      <c r="J140" s="702" t="s">
        <v>2992</v>
      </c>
      <c r="K140" s="708" t="s">
        <v>5249</v>
      </c>
      <c r="L140" s="961">
        <v>2.0000000000000002E-5</v>
      </c>
      <c r="M140" s="709" t="s">
        <v>2992</v>
      </c>
      <c r="N140" s="3113"/>
      <c r="O140" s="3063"/>
      <c r="P140" s="3063"/>
      <c r="Q140" s="3063"/>
      <c r="R140" s="3063"/>
      <c r="S140" s="3064"/>
      <c r="U140" s="3065" t="s">
        <v>2031</v>
      </c>
      <c r="V140" s="3065"/>
    </row>
    <row r="141" spans="1:22" s="325" customFormat="1" ht="24" customHeight="1">
      <c r="A141" s="3109" t="s">
        <v>3444</v>
      </c>
      <c r="B141" s="3110"/>
      <c r="C141" s="3110"/>
      <c r="D141" s="3111"/>
      <c r="E141" s="3112"/>
      <c r="F141" s="3063"/>
      <c r="G141" s="3063"/>
      <c r="H141" s="3063"/>
      <c r="I141" s="958" t="s">
        <v>4945</v>
      </c>
      <c r="J141" s="702" t="s">
        <v>4945</v>
      </c>
      <c r="K141" s="708"/>
      <c r="L141" s="961"/>
      <c r="M141" s="709" t="s">
        <v>4945</v>
      </c>
      <c r="N141" s="3113"/>
      <c r="O141" s="3063"/>
      <c r="P141" s="3063"/>
      <c r="Q141" s="3063"/>
      <c r="R141" s="3063"/>
      <c r="S141" s="3064"/>
      <c r="U141" s="3065"/>
      <c r="V141" s="3065"/>
    </row>
    <row r="142" spans="1:22" s="325" customFormat="1" ht="24" customHeight="1">
      <c r="A142" s="3109" t="s">
        <v>3445</v>
      </c>
      <c r="B142" s="3110"/>
      <c r="C142" s="3110"/>
      <c r="D142" s="3111"/>
      <c r="E142" s="3112"/>
      <c r="F142" s="3063"/>
      <c r="G142" s="3063"/>
      <c r="H142" s="3063"/>
      <c r="I142" s="958" t="s">
        <v>2992</v>
      </c>
      <c r="J142" s="702" t="s">
        <v>2992</v>
      </c>
      <c r="K142" s="708" t="s">
        <v>5249</v>
      </c>
      <c r="L142" s="961">
        <v>0.9899</v>
      </c>
      <c r="M142" s="709" t="s">
        <v>2992</v>
      </c>
      <c r="N142" s="3113"/>
      <c r="O142" s="3063"/>
      <c r="P142" s="3063"/>
      <c r="Q142" s="3063"/>
      <c r="R142" s="3063"/>
      <c r="S142" s="3064"/>
      <c r="U142" s="3065"/>
      <c r="V142" s="3065"/>
    </row>
    <row r="143" spans="1:22" s="325" customFormat="1" ht="24" customHeight="1">
      <c r="A143" s="3109" t="s">
        <v>3446</v>
      </c>
      <c r="B143" s="3110"/>
      <c r="C143" s="3110"/>
      <c r="D143" s="3111"/>
      <c r="E143" s="3112"/>
      <c r="F143" s="3063"/>
      <c r="G143" s="3063"/>
      <c r="H143" s="3063"/>
      <c r="I143" s="958" t="s">
        <v>2992</v>
      </c>
      <c r="J143" s="702" t="s">
        <v>2992</v>
      </c>
      <c r="K143" s="708" t="s">
        <v>5249</v>
      </c>
      <c r="L143" s="961">
        <v>0.01</v>
      </c>
      <c r="M143" s="709" t="s">
        <v>2992</v>
      </c>
      <c r="N143" s="3113"/>
      <c r="O143" s="3063"/>
      <c r="P143" s="3063"/>
      <c r="Q143" s="3063"/>
      <c r="R143" s="3063"/>
      <c r="S143" s="3064"/>
      <c r="U143" s="3065"/>
      <c r="V143" s="3065"/>
    </row>
    <row r="144" spans="1:22" s="325" customFormat="1" ht="24" customHeight="1">
      <c r="A144" s="3109" t="s">
        <v>2894</v>
      </c>
      <c r="B144" s="3110"/>
      <c r="C144" s="3110"/>
      <c r="D144" s="3111"/>
      <c r="E144" s="3112"/>
      <c r="F144" s="3063"/>
      <c r="G144" s="3063"/>
      <c r="H144" s="3063"/>
      <c r="I144" s="958" t="s">
        <v>2992</v>
      </c>
      <c r="J144" s="702" t="s">
        <v>2992</v>
      </c>
      <c r="K144" s="708" t="s">
        <v>2599</v>
      </c>
      <c r="L144" s="961">
        <v>0</v>
      </c>
      <c r="M144" s="709" t="s">
        <v>2992</v>
      </c>
      <c r="N144" s="3113"/>
      <c r="O144" s="3063"/>
      <c r="P144" s="3063"/>
      <c r="Q144" s="3063"/>
      <c r="R144" s="3063"/>
      <c r="S144" s="3064"/>
      <c r="U144" s="3065"/>
      <c r="V144" s="3065"/>
    </row>
    <row r="145" spans="1:24" s="325" customFormat="1" ht="24" customHeight="1">
      <c r="A145" s="3109" t="s">
        <v>653</v>
      </c>
      <c r="B145" s="3110"/>
      <c r="C145" s="3110"/>
      <c r="D145" s="3111"/>
      <c r="E145" s="3112"/>
      <c r="F145" s="3063"/>
      <c r="G145" s="3063"/>
      <c r="H145" s="3063"/>
      <c r="I145" s="958" t="s">
        <v>2992</v>
      </c>
      <c r="J145" s="702" t="s">
        <v>2992</v>
      </c>
      <c r="K145" s="708" t="s">
        <v>5249</v>
      </c>
      <c r="L145" s="961">
        <v>0</v>
      </c>
      <c r="M145" s="709" t="s">
        <v>2992</v>
      </c>
      <c r="N145" s="3113"/>
      <c r="O145" s="3063"/>
      <c r="P145" s="3063"/>
      <c r="Q145" s="3063"/>
      <c r="R145" s="3063"/>
      <c r="S145" s="3064"/>
      <c r="U145" s="3065"/>
      <c r="V145" s="3065"/>
    </row>
    <row r="146" spans="1:24" s="325" customFormat="1" ht="24" customHeight="1">
      <c r="A146" s="3109" t="s">
        <v>2895</v>
      </c>
      <c r="B146" s="3110"/>
      <c r="C146" s="3110"/>
      <c r="D146" s="3111"/>
      <c r="E146" s="3112"/>
      <c r="F146" s="3063"/>
      <c r="G146" s="3063"/>
      <c r="H146" s="3063"/>
      <c r="I146" s="958" t="s">
        <v>4945</v>
      </c>
      <c r="J146" s="702" t="s">
        <v>4945</v>
      </c>
      <c r="K146" s="708"/>
      <c r="L146" s="961"/>
      <c r="M146" s="709" t="s">
        <v>4945</v>
      </c>
      <c r="N146" s="3113"/>
      <c r="O146" s="3063"/>
      <c r="P146" s="3063"/>
      <c r="Q146" s="3063"/>
      <c r="R146" s="3063"/>
      <c r="S146" s="3064"/>
    </row>
    <row r="147" spans="1:24" s="325" customFormat="1" ht="24" customHeight="1">
      <c r="A147" s="3109" t="s">
        <v>2896</v>
      </c>
      <c r="B147" s="3110"/>
      <c r="C147" s="3110"/>
      <c r="D147" s="3111"/>
      <c r="E147" s="3112"/>
      <c r="F147" s="3063"/>
      <c r="G147" s="3063"/>
      <c r="H147" s="3063"/>
      <c r="I147" s="958" t="s">
        <v>4945</v>
      </c>
      <c r="J147" s="702" t="s">
        <v>4945</v>
      </c>
      <c r="K147" s="708"/>
      <c r="L147" s="961"/>
      <c r="M147" s="709" t="s">
        <v>4945</v>
      </c>
      <c r="N147" s="3113"/>
      <c r="O147" s="3063"/>
      <c r="P147" s="3063"/>
      <c r="Q147" s="3063"/>
      <c r="R147" s="3063"/>
      <c r="S147" s="3064"/>
    </row>
    <row r="148" spans="1:24" s="325" customFormat="1" ht="24" customHeight="1">
      <c r="A148" s="3109" t="s">
        <v>2898</v>
      </c>
      <c r="B148" s="3110"/>
      <c r="C148" s="3110"/>
      <c r="D148" s="3111"/>
      <c r="E148" s="3112"/>
      <c r="F148" s="3063"/>
      <c r="G148" s="3063"/>
      <c r="H148" s="3063"/>
      <c r="I148" s="958" t="s">
        <v>4945</v>
      </c>
      <c r="J148" s="702" t="s">
        <v>4945</v>
      </c>
      <c r="K148" s="708"/>
      <c r="L148" s="961"/>
      <c r="M148" s="709" t="s">
        <v>4945</v>
      </c>
      <c r="N148" s="3113"/>
      <c r="O148" s="3063"/>
      <c r="P148" s="3063"/>
      <c r="Q148" s="3063"/>
      <c r="R148" s="3063"/>
      <c r="S148" s="3064"/>
    </row>
    <row r="149" spans="1:24" s="325" customFormat="1" ht="24" customHeight="1">
      <c r="A149" s="3109" t="s">
        <v>2897</v>
      </c>
      <c r="B149" s="3110"/>
      <c r="C149" s="3110"/>
      <c r="D149" s="3111"/>
      <c r="E149" s="3112"/>
      <c r="F149" s="3063"/>
      <c r="G149" s="3063"/>
      <c r="H149" s="3063"/>
      <c r="I149" s="958" t="s">
        <v>4945</v>
      </c>
      <c r="J149" s="702" t="s">
        <v>4945</v>
      </c>
      <c r="K149" s="708"/>
      <c r="L149" s="961"/>
      <c r="M149" s="709" t="s">
        <v>4945</v>
      </c>
      <c r="N149" s="3113"/>
      <c r="O149" s="3063"/>
      <c r="P149" s="3063"/>
      <c r="Q149" s="3063"/>
      <c r="R149" s="3063"/>
      <c r="S149" s="3064"/>
    </row>
    <row r="150" spans="1:24" s="325" customFormat="1" ht="24" customHeight="1">
      <c r="A150" s="3109" t="s">
        <v>1529</v>
      </c>
      <c r="B150" s="3110"/>
      <c r="C150" s="3110"/>
      <c r="D150" s="3111"/>
      <c r="E150" s="3112"/>
      <c r="F150" s="3063"/>
      <c r="G150" s="3063"/>
      <c r="H150" s="3063"/>
      <c r="I150" s="958" t="s">
        <v>2992</v>
      </c>
      <c r="J150" s="702" t="s">
        <v>2992</v>
      </c>
      <c r="K150" s="708" t="s">
        <v>5249</v>
      </c>
      <c r="L150" s="961">
        <v>0</v>
      </c>
      <c r="M150" s="709" t="s">
        <v>2992</v>
      </c>
      <c r="N150" s="3113"/>
      <c r="O150" s="3063"/>
      <c r="P150" s="3063"/>
      <c r="Q150" s="3063"/>
      <c r="R150" s="3063"/>
      <c r="S150" s="3064"/>
    </row>
    <row r="151" spans="1:24" s="325" customFormat="1" ht="24" customHeight="1">
      <c r="A151" s="3147" t="s">
        <v>2899</v>
      </c>
      <c r="B151" s="3148"/>
      <c r="C151" s="3148"/>
      <c r="D151" s="3149"/>
      <c r="E151" s="3150"/>
      <c r="F151" s="3116"/>
      <c r="G151" s="3116"/>
      <c r="H151" s="3116"/>
      <c r="I151" s="959" t="s">
        <v>2992</v>
      </c>
      <c r="J151" s="703" t="s">
        <v>2992</v>
      </c>
      <c r="K151" s="710" t="s">
        <v>5249</v>
      </c>
      <c r="L151" s="962">
        <v>0</v>
      </c>
      <c r="M151" s="711" t="s">
        <v>2992</v>
      </c>
      <c r="N151" s="3151"/>
      <c r="O151" s="3116"/>
      <c r="P151" s="3116"/>
      <c r="Q151" s="3116"/>
      <c r="R151" s="3116"/>
      <c r="S151" s="3117"/>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2"/>
      <c r="B154" s="3153"/>
      <c r="C154" s="3153"/>
      <c r="D154" s="3153"/>
      <c r="E154" s="3153"/>
      <c r="F154" s="3153"/>
      <c r="G154" s="3153"/>
      <c r="H154" s="3153"/>
      <c r="I154" s="3153"/>
      <c r="J154" s="3153"/>
      <c r="K154" s="3153"/>
      <c r="L154" s="3153"/>
      <c r="M154" s="3154"/>
      <c r="N154" s="3155"/>
      <c r="O154" s="3156"/>
      <c r="P154" s="3156"/>
      <c r="Q154" s="3156"/>
      <c r="R154" s="3156"/>
      <c r="S154" s="3157"/>
      <c r="T154" s="2881" t="s">
        <v>2692</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P45" sqref="P45:Q45"/>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0" t="str">
        <f>CONCATENATE("PART THREE - SOURCES OF FUNDS","  -  ",'Part I-Project Information'!$O$6," ",'Part I-Project Information'!$F$34,", ",'Part I-Project Information'!$F$38,", ",'Part I-Project Information'!$J$39," County")</f>
        <v>PART THREE - SOURCES OF FUNDS  -  2019-5 Enclave at Milledgeville, Milledgeville, Baldwin County</v>
      </c>
      <c r="B1" s="3081"/>
      <c r="C1" s="3081"/>
      <c r="D1" s="3081"/>
      <c r="E1" s="3081"/>
      <c r="F1" s="3081"/>
      <c r="G1" s="3081"/>
      <c r="H1" s="3081"/>
      <c r="I1" s="3081"/>
      <c r="J1" s="3081"/>
      <c r="K1" s="3081"/>
      <c r="L1" s="3081"/>
      <c r="M1" s="3081"/>
      <c r="N1" s="3081"/>
      <c r="O1" s="3081"/>
      <c r="P1" s="3081"/>
      <c r="Q1" s="3082"/>
      <c r="S1" s="3167" t="str">
        <f>$A$1</f>
        <v>PART THREE - SOURCES OF FUNDS  -  2019-5 Enclave at Milledgeville, Milledgeville, Baldwin County</v>
      </c>
      <c r="T1" s="3167"/>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2490</v>
      </c>
      <c r="C3" s="325"/>
      <c r="D3" s="2563"/>
      <c r="E3" s="2563"/>
      <c r="F3" s="2563"/>
      <c r="G3" s="2563"/>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2682</v>
      </c>
      <c r="T4" s="3168"/>
    </row>
    <row r="5" spans="1:20" s="300" customFormat="1" ht="16.5" customHeight="1">
      <c r="A5" s="545"/>
      <c r="B5" s="2598" t="s">
        <v>2989</v>
      </c>
      <c r="C5" s="2572" t="s">
        <v>2410</v>
      </c>
      <c r="D5" s="325"/>
      <c r="E5" s="2598" t="s">
        <v>2992</v>
      </c>
      <c r="F5" s="2572" t="s">
        <v>3722</v>
      </c>
      <c r="G5" s="325"/>
      <c r="H5" s="3176"/>
      <c r="I5" s="3177"/>
      <c r="L5" s="2598" t="s">
        <v>2992</v>
      </c>
      <c r="M5" s="2572" t="s">
        <v>1537</v>
      </c>
      <c r="S5" s="3169"/>
      <c r="T5" s="3170"/>
    </row>
    <row r="6" spans="1:20" s="300" customFormat="1" ht="16.5" customHeight="1">
      <c r="A6" s="545"/>
      <c r="B6" s="2574" t="s">
        <v>2992</v>
      </c>
      <c r="C6" s="2572" t="s">
        <v>5009</v>
      </c>
      <c r="D6" s="325"/>
      <c r="E6" s="2573" t="s">
        <v>2992</v>
      </c>
      <c r="F6" s="2572" t="s">
        <v>3723</v>
      </c>
      <c r="H6" s="3178"/>
      <c r="I6" s="3179"/>
      <c r="L6" s="2574" t="s">
        <v>2992</v>
      </c>
      <c r="M6" s="2572" t="s">
        <v>549</v>
      </c>
      <c r="S6" s="3158"/>
      <c r="T6" s="3159"/>
    </row>
    <row r="7" spans="1:20" s="300" customFormat="1" ht="16.5" customHeight="1">
      <c r="A7" s="325"/>
      <c r="B7" s="2574" t="s">
        <v>2992</v>
      </c>
      <c r="C7" s="2572" t="s">
        <v>551</v>
      </c>
      <c r="F7" s="325" t="s">
        <v>5008</v>
      </c>
      <c r="H7" s="3184" t="s">
        <v>3449</v>
      </c>
      <c r="I7" s="3185"/>
      <c r="J7" s="3175"/>
      <c r="L7" s="2574" t="s">
        <v>2992</v>
      </c>
      <c r="M7" s="2571" t="s">
        <v>3619</v>
      </c>
      <c r="S7" s="3158"/>
      <c r="T7" s="3159"/>
    </row>
    <row r="8" spans="1:20" s="300" customFormat="1" ht="16.5" customHeight="1">
      <c r="A8" s="545"/>
      <c r="B8" s="2574" t="s">
        <v>2992</v>
      </c>
      <c r="C8" s="2572" t="s">
        <v>2600</v>
      </c>
      <c r="E8" s="2598" t="s">
        <v>2989</v>
      </c>
      <c r="F8" s="2571" t="s">
        <v>2608</v>
      </c>
      <c r="L8" s="2574" t="s">
        <v>2992</v>
      </c>
      <c r="M8" s="2571" t="s">
        <v>5010</v>
      </c>
      <c r="S8" s="3160"/>
      <c r="T8" s="3161"/>
    </row>
    <row r="9" spans="1:20" s="300" customFormat="1" ht="16.5" customHeight="1">
      <c r="A9" s="545"/>
      <c r="B9" s="2574" t="s">
        <v>2992</v>
      </c>
      <c r="C9" s="2572" t="s">
        <v>2601</v>
      </c>
      <c r="E9" s="2574" t="s">
        <v>2992</v>
      </c>
      <c r="F9" s="2571" t="s">
        <v>3721</v>
      </c>
      <c r="H9" s="3173" t="s">
        <v>3874</v>
      </c>
      <c r="I9" s="3174"/>
      <c r="J9" s="3175"/>
      <c r="L9" s="2574" t="s">
        <v>2992</v>
      </c>
      <c r="M9" s="2572" t="s">
        <v>3680</v>
      </c>
      <c r="S9" s="3169"/>
      <c r="T9" s="3170"/>
    </row>
    <row r="10" spans="1:20" s="300" customFormat="1" ht="16.5" customHeight="1">
      <c r="A10" s="545"/>
      <c r="B10" s="2574" t="s">
        <v>2992</v>
      </c>
      <c r="C10" s="2571" t="s">
        <v>3685</v>
      </c>
      <c r="E10" s="2605" t="s">
        <v>2992</v>
      </c>
      <c r="F10" s="3180" t="s">
        <v>4722</v>
      </c>
      <c r="G10" s="3002"/>
      <c r="H10" s="3002"/>
      <c r="I10" s="3002"/>
      <c r="J10" s="3025"/>
      <c r="L10" s="2574" t="s">
        <v>2992</v>
      </c>
      <c r="M10" s="325" t="s">
        <v>2609</v>
      </c>
      <c r="S10" s="3158"/>
      <c r="T10" s="3159"/>
    </row>
    <row r="11" spans="1:20" s="300" customFormat="1" ht="16.5" customHeight="1">
      <c r="A11" s="545"/>
      <c r="B11" s="2574" t="s">
        <v>2992</v>
      </c>
      <c r="C11" s="325" t="s">
        <v>3890</v>
      </c>
      <c r="F11" s="3162" t="s">
        <v>4724</v>
      </c>
      <c r="G11" s="3163"/>
      <c r="H11" s="3163"/>
      <c r="I11" s="3163"/>
      <c r="J11" s="3164"/>
      <c r="L11" s="2574" t="s">
        <v>2992</v>
      </c>
      <c r="M11" s="325" t="s">
        <v>3724</v>
      </c>
      <c r="S11" s="3158"/>
      <c r="T11" s="3159"/>
    </row>
    <row r="12" spans="1:20" s="300" customFormat="1" ht="16.5" customHeight="1">
      <c r="A12" s="545"/>
      <c r="B12" s="2574" t="s">
        <v>2992</v>
      </c>
      <c r="C12" s="325" t="s">
        <v>2607</v>
      </c>
      <c r="E12" s="2606" t="s">
        <v>2992</v>
      </c>
      <c r="F12" s="3180" t="s">
        <v>4723</v>
      </c>
      <c r="G12" s="3002"/>
      <c r="H12" s="3002"/>
      <c r="I12" s="3002"/>
      <c r="J12" s="3025"/>
      <c r="L12" s="2574" t="s">
        <v>2992</v>
      </c>
      <c r="M12" s="325" t="s">
        <v>2795</v>
      </c>
      <c r="S12" s="3158"/>
      <c r="T12" s="3159"/>
    </row>
    <row r="13" spans="1:20" s="300" customFormat="1" ht="16.5" customHeight="1">
      <c r="A13" s="545"/>
      <c r="B13" s="2574" t="s">
        <v>2992</v>
      </c>
      <c r="C13" s="325" t="s">
        <v>3719</v>
      </c>
      <c r="F13" s="3162" t="s">
        <v>4725</v>
      </c>
      <c r="G13" s="3163"/>
      <c r="H13" s="3163"/>
      <c r="I13" s="3163"/>
      <c r="J13" s="3164"/>
      <c r="L13" s="2574" t="s">
        <v>2992</v>
      </c>
      <c r="M13" s="2571" t="s">
        <v>3889</v>
      </c>
      <c r="S13" s="3160"/>
      <c r="T13" s="3161"/>
    </row>
    <row r="14" spans="1:20" s="300" customFormat="1" ht="16.5" customHeight="1">
      <c r="A14" s="545"/>
      <c r="B14" s="2573" t="s">
        <v>2992</v>
      </c>
      <c r="C14" s="2572" t="s">
        <v>1803</v>
      </c>
      <c r="E14" s="963" t="s">
        <v>2989</v>
      </c>
      <c r="F14" s="2572" t="s">
        <v>5007</v>
      </c>
      <c r="I14" s="3171">
        <v>13000000</v>
      </c>
      <c r="J14" s="3172"/>
      <c r="L14" s="2573" t="s">
        <v>2992</v>
      </c>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6" t="s">
        <v>1297</v>
      </c>
      <c r="I19" s="3166"/>
      <c r="J19" s="3166"/>
      <c r="K19" s="3166"/>
      <c r="L19" s="2920" t="s">
        <v>4963</v>
      </c>
      <c r="M19" s="2920"/>
      <c r="N19" s="2920" t="s">
        <v>1507</v>
      </c>
      <c r="O19" s="2920"/>
      <c r="P19" s="2920" t="s">
        <v>1630</v>
      </c>
      <c r="Q19" s="2920"/>
      <c r="S19" s="3168" t="s">
        <v>2682</v>
      </c>
      <c r="T19" s="3168"/>
    </row>
    <row r="20" spans="1:20" s="300" customFormat="1" ht="15.75" customHeight="1">
      <c r="A20" s="325"/>
      <c r="B20" s="3201" t="s">
        <v>1591</v>
      </c>
      <c r="C20" s="3202"/>
      <c r="D20" s="3202"/>
      <c r="E20" s="1239"/>
      <c r="F20" s="1239"/>
      <c r="G20" s="1239"/>
      <c r="H20" s="3203" t="s">
        <v>5288</v>
      </c>
      <c r="I20" s="3204"/>
      <c r="J20" s="3204"/>
      <c r="K20" s="3205"/>
      <c r="L20" s="3206">
        <v>12082864</v>
      </c>
      <c r="M20" s="3207"/>
      <c r="N20" s="3208">
        <v>4.1000000000000002E-2</v>
      </c>
      <c r="O20" s="3209"/>
      <c r="P20" s="3210">
        <v>24</v>
      </c>
      <c r="Q20" s="3211"/>
      <c r="S20" s="3169"/>
      <c r="T20" s="3170"/>
    </row>
    <row r="21" spans="1:20" s="300" customFormat="1" ht="15.75" customHeight="1">
      <c r="A21" s="325"/>
      <c r="B21" s="3212" t="s">
        <v>1592</v>
      </c>
      <c r="C21" s="3213"/>
      <c r="D21" s="3213"/>
      <c r="E21" s="1238"/>
      <c r="F21" s="1238"/>
      <c r="G21" s="1238"/>
      <c r="H21" s="3214"/>
      <c r="I21" s="3215"/>
      <c r="J21" s="3215"/>
      <c r="K21" s="3216"/>
      <c r="L21" s="3217"/>
      <c r="M21" s="3218"/>
      <c r="N21" s="3186"/>
      <c r="O21" s="3187"/>
      <c r="P21" s="3188"/>
      <c r="Q21" s="3189"/>
      <c r="S21" s="3158"/>
      <c r="T21" s="3159"/>
    </row>
    <row r="22" spans="1:20" s="300" customFormat="1" ht="15.75" customHeight="1">
      <c r="A22" s="325"/>
      <c r="B22" s="3190" t="s">
        <v>1593</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2215</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801</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641</v>
      </c>
      <c r="C25" s="3213"/>
      <c r="D25" s="3213"/>
      <c r="E25" s="1238"/>
      <c r="H25" s="3214" t="s">
        <v>5289</v>
      </c>
      <c r="I25" s="3215"/>
      <c r="J25" s="3215"/>
      <c r="K25" s="3216"/>
      <c r="L25" s="3217">
        <v>1330000</v>
      </c>
      <c r="M25" s="3218"/>
      <c r="N25" s="3224"/>
      <c r="O25" s="3225"/>
      <c r="P25" s="3226"/>
      <c r="Q25" s="3226"/>
      <c r="S25" s="3158"/>
      <c r="T25" s="3159"/>
    </row>
    <row r="26" spans="1:20" s="300" customFormat="1" ht="15.75" customHeight="1">
      <c r="A26" s="325"/>
      <c r="B26" s="3212" t="s">
        <v>802</v>
      </c>
      <c r="C26" s="3213"/>
      <c r="D26" s="3213"/>
      <c r="E26" s="1238"/>
      <c r="H26" s="3214" t="s">
        <v>5325</v>
      </c>
      <c r="I26" s="3215"/>
      <c r="J26" s="3215"/>
      <c r="K26" s="3216"/>
      <c r="L26" s="3217">
        <v>1199400</v>
      </c>
      <c r="M26" s="3218"/>
      <c r="N26" s="325"/>
      <c r="Q26" s="325"/>
      <c r="S26" s="3160"/>
      <c r="T26" s="3161"/>
    </row>
    <row r="27" spans="1:20" s="300" customFormat="1" ht="15.75" customHeight="1">
      <c r="A27" s="325"/>
      <c r="B27" s="3212" t="s">
        <v>803</v>
      </c>
      <c r="C27" s="3213"/>
      <c r="D27" s="3213"/>
      <c r="E27" s="1238"/>
      <c r="H27" s="3214" t="s">
        <v>5326</v>
      </c>
      <c r="I27" s="3215"/>
      <c r="J27" s="3215"/>
      <c r="K27" s="3216"/>
      <c r="L27" s="3217">
        <v>845770</v>
      </c>
      <c r="M27" s="3218"/>
      <c r="N27" s="325"/>
      <c r="Q27" s="325"/>
      <c r="S27" s="3169"/>
      <c r="T27" s="3170"/>
    </row>
    <row r="28" spans="1:20" s="300" customFormat="1" ht="15.75" customHeight="1">
      <c r="A28" s="325"/>
      <c r="B28" s="1237" t="s">
        <v>242</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242</v>
      </c>
      <c r="C29" s="1238"/>
      <c r="D29" s="3228"/>
      <c r="E29" s="3228"/>
      <c r="F29" s="3228"/>
      <c r="G29" s="3228"/>
      <c r="H29" s="3214"/>
      <c r="I29" s="3215"/>
      <c r="J29" s="3215"/>
      <c r="K29" s="3216"/>
      <c r="L29" s="3217"/>
      <c r="M29" s="3218"/>
      <c r="N29" s="325"/>
      <c r="S29" s="3158"/>
      <c r="T29" s="3159"/>
    </row>
    <row r="30" spans="1:20" s="300" customFormat="1" ht="15.75" customHeight="1">
      <c r="A30" s="325"/>
      <c r="B30" s="1244" t="s">
        <v>242</v>
      </c>
      <c r="C30" s="1245"/>
      <c r="D30" s="3229"/>
      <c r="E30" s="3229"/>
      <c r="F30" s="3229"/>
      <c r="G30" s="3229"/>
      <c r="H30" s="3192"/>
      <c r="I30" s="3193"/>
      <c r="J30" s="3193"/>
      <c r="K30" s="3194"/>
      <c r="L30" s="3195"/>
      <c r="M30" s="3196"/>
      <c r="N30" s="325"/>
      <c r="S30" s="3158"/>
      <c r="T30" s="3159"/>
    </row>
    <row r="31" spans="1:20" s="300" customFormat="1" ht="16.5" customHeight="1">
      <c r="A31" s="325"/>
      <c r="B31" s="299" t="s">
        <v>1298</v>
      </c>
      <c r="C31" s="325"/>
      <c r="D31" s="325"/>
      <c r="E31" s="325"/>
      <c r="F31" s="325"/>
      <c r="G31" s="325"/>
      <c r="H31" s="325"/>
      <c r="I31" s="325"/>
      <c r="L31" s="3230">
        <f>SUM(L20:L30)</f>
        <v>15458034</v>
      </c>
      <c r="M31" s="3231"/>
      <c r="N31" s="346"/>
      <c r="S31" s="3158"/>
      <c r="T31" s="3159"/>
    </row>
    <row r="32" spans="1:20" s="300" customFormat="1" ht="16.5" customHeight="1">
      <c r="A32" s="325"/>
      <c r="B32" s="1228" t="s">
        <v>1299</v>
      </c>
      <c r="C32" s="325"/>
      <c r="D32" s="325"/>
      <c r="E32" s="325"/>
      <c r="F32" s="325"/>
      <c r="G32" s="325"/>
      <c r="H32" s="325"/>
      <c r="I32" s="325"/>
      <c r="L32" s="32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11920838.560000001</v>
      </c>
      <c r="M32" s="3233"/>
      <c r="N32" s="968"/>
      <c r="S32" s="3158"/>
      <c r="T32" s="3159"/>
    </row>
    <row r="33" spans="1:20" s="300" customFormat="1" ht="16.5" customHeight="1">
      <c r="A33" s="325"/>
      <c r="B33" s="330" t="s">
        <v>2157</v>
      </c>
      <c r="C33" s="325"/>
      <c r="D33" s="325"/>
      <c r="E33" s="325"/>
      <c r="F33" s="325"/>
      <c r="G33" s="325"/>
      <c r="H33" s="325"/>
      <c r="I33" s="325"/>
      <c r="L33" s="3234">
        <f>L31-L32</f>
        <v>3537195.4399999995</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2099</v>
      </c>
      <c r="L36" s="1243" t="s">
        <v>1295</v>
      </c>
      <c r="M36" s="1243" t="s">
        <v>1300</v>
      </c>
      <c r="P36" s="3239" t="s">
        <v>34</v>
      </c>
      <c r="Q36" s="3239"/>
      <c r="S36" s="395"/>
    </row>
    <row r="37" spans="1:20" s="300" customFormat="1" ht="13.35" customHeight="1">
      <c r="A37" s="325"/>
      <c r="B37" s="1246" t="s">
        <v>1871</v>
      </c>
      <c r="C37" s="1245"/>
      <c r="D37" s="1245"/>
      <c r="E37" s="2954" t="s">
        <v>1297</v>
      </c>
      <c r="F37" s="2954"/>
      <c r="G37" s="2954"/>
      <c r="H37" s="2954"/>
      <c r="I37" s="2920" t="s">
        <v>4962</v>
      </c>
      <c r="J37" s="2920"/>
      <c r="K37" s="1230" t="s">
        <v>1806</v>
      </c>
      <c r="L37" s="1230" t="s">
        <v>2214</v>
      </c>
      <c r="M37" s="1230" t="s">
        <v>2214</v>
      </c>
      <c r="N37" s="2920" t="s">
        <v>74</v>
      </c>
      <c r="O37" s="2920"/>
      <c r="P37" s="3240"/>
      <c r="Q37" s="3240"/>
      <c r="S37" s="3168" t="s">
        <v>2682</v>
      </c>
      <c r="T37" s="3168"/>
    </row>
    <row r="38" spans="1:20" s="300" customFormat="1" ht="15.75" customHeight="1">
      <c r="A38" s="325"/>
      <c r="B38" s="3201" t="s">
        <v>2613</v>
      </c>
      <c r="C38" s="3202"/>
      <c r="D38" s="3202"/>
      <c r="E38" s="3203" t="s">
        <v>5327</v>
      </c>
      <c r="F38" s="3204"/>
      <c r="G38" s="3204"/>
      <c r="H38" s="3205"/>
      <c r="I38" s="3265">
        <v>8640000</v>
      </c>
      <c r="J38" s="3266"/>
      <c r="K38" s="965">
        <v>3.3599999999999998E-2</v>
      </c>
      <c r="L38" s="1240">
        <v>35</v>
      </c>
      <c r="M38" s="1240">
        <v>35</v>
      </c>
      <c r="N38" s="3242" t="s">
        <v>5291</v>
      </c>
      <c r="O38" s="3242"/>
      <c r="P38" s="3267">
        <f>IF(OR(I38&lt;=0,I38=""),"",IF(N38="Cash Flow",0,IF(N38="Amortizing",-PMT(K38/12,M38*12,I38,0,0)*12,"")))</f>
        <v>420132.3350591315</v>
      </c>
      <c r="Q38" s="3267"/>
      <c r="S38" s="3169"/>
      <c r="T38" s="3170"/>
    </row>
    <row r="39" spans="1:20" s="300" customFormat="1" ht="15.75" customHeight="1">
      <c r="A39" s="325"/>
      <c r="B39" s="3212" t="s">
        <v>2614</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2615</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741</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2748</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228</v>
      </c>
      <c r="C43" s="1245"/>
      <c r="D43" s="424">
        <f>IF(OR(I43="",I43=0,'Part IV-A-Uses of Funds'!$G$118="",'Part IV-A-Uses of Funds'!$G$118=0),"",I43/'Part IV-A-Uses of Funds'!$G$118)</f>
        <v>4.2105263157894739E-4</v>
      </c>
      <c r="E43" s="3192" t="s">
        <v>5290</v>
      </c>
      <c r="F43" s="3193"/>
      <c r="G43" s="3193"/>
      <c r="H43" s="3194"/>
      <c r="I43" s="3243">
        <v>800</v>
      </c>
      <c r="J43" s="3244"/>
      <c r="K43" s="964"/>
      <c r="L43" s="963"/>
      <c r="M43" s="963"/>
      <c r="N43" s="3247"/>
      <c r="O43" s="3248"/>
      <c r="P43" s="3245" t="str">
        <f>IF(OR(I43&lt;=0,I43=""),"",IF(N43="Cash Flow",0,IF(N43="Amortizing",-PMT(K43/12,M43*12,I43,0,0)*12,"")))</f>
        <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4186</v>
      </c>
      <c r="C45" s="1535"/>
      <c r="E45" s="300" t="s">
        <v>4088</v>
      </c>
      <c r="F45" s="3249" t="e">
        <f>IF(OR($I$43="",$I$43=0,'Part VII-Pro Forma'!$S$35=0,'Part VII-Pro Forma'!$S$35=""),"",VLOOKUP($L$43,'Part VII-Pro Forma'!$Q$20:$S$40,3))</f>
        <v>#N/A</v>
      </c>
      <c r="G45" s="3250"/>
      <c r="H45" s="712" t="s">
        <v>4185</v>
      </c>
      <c r="I45" s="3249" t="str">
        <f>IF(OR($I$43="",$I$43=0,'Part VII-Pro Forma'!$R$35=0,'Part VII-Pro Forma'!$R$35=""),"",VLOOKUP($L$43,'Part VII-Pro Forma'!$Q$20:$S$35,2))</f>
        <v/>
      </c>
      <c r="J45" s="3250"/>
      <c r="K45" s="712" t="s">
        <v>4187</v>
      </c>
      <c r="L45" s="3259" t="e">
        <f>IF(OR($F$45 = 0,$F$45 =""),"",$I$45/$F$45)</f>
        <v>#N/A</v>
      </c>
      <c r="M45" s="3260"/>
      <c r="N45" s="3263" t="s">
        <v>4974</v>
      </c>
      <c r="O45" s="3264"/>
      <c r="P45" s="3261">
        <f>IF(OR($I$60=0,$I$58&gt;$I$59),0,ABS($I$58-$I$59))</f>
        <v>68.010000001639128</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2215</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801</v>
      </c>
      <c r="C48" s="3213"/>
      <c r="D48" s="3273"/>
      <c r="E48" s="3214"/>
      <c r="F48" s="3215"/>
      <c r="G48" s="3215"/>
      <c r="H48" s="3216"/>
      <c r="I48" s="3236"/>
      <c r="J48" s="3237"/>
      <c r="L48" s="3274" t="s">
        <v>517</v>
      </c>
      <c r="M48" s="3274"/>
      <c r="N48" s="3275" t="s">
        <v>518</v>
      </c>
      <c r="O48" s="3275"/>
      <c r="P48" s="458" t="s">
        <v>516</v>
      </c>
      <c r="Q48" s="425"/>
      <c r="S48" s="3158"/>
      <c r="T48" s="3159"/>
    </row>
    <row r="49" spans="1:23" s="300" customFormat="1" ht="15.75" customHeight="1">
      <c r="A49" s="325"/>
      <c r="B49" s="3212" t="s">
        <v>802</v>
      </c>
      <c r="C49" s="3213"/>
      <c r="D49" s="3273"/>
      <c r="E49" s="3214" t="s">
        <v>5325</v>
      </c>
      <c r="F49" s="3215"/>
      <c r="G49" s="3215"/>
      <c r="H49" s="3216"/>
      <c r="I49" s="3236">
        <v>3998000</v>
      </c>
      <c r="J49" s="3236"/>
      <c r="L49" s="3276">
        <f>'Part IV-A-Uses of Funds'!$J$175*10*'Part IV-A-Uses of Funds'!$N$168</f>
        <v>3998584.2</v>
      </c>
      <c r="M49" s="3276"/>
      <c r="N49" s="3277">
        <f>I49-L49</f>
        <v>-584.20000000018626</v>
      </c>
      <c r="O49" s="3277"/>
      <c r="P49" s="459" t="s">
        <v>2559</v>
      </c>
      <c r="Q49" s="425"/>
      <c r="S49" s="3158"/>
      <c r="T49" s="3159"/>
    </row>
    <row r="50" spans="1:23" s="300" customFormat="1" ht="15.75" customHeight="1">
      <c r="A50" s="325"/>
      <c r="B50" s="3212" t="s">
        <v>803</v>
      </c>
      <c r="C50" s="3213"/>
      <c r="D50" s="3273"/>
      <c r="E50" s="3214" t="s">
        <v>5326</v>
      </c>
      <c r="F50" s="3215"/>
      <c r="G50" s="3215"/>
      <c r="H50" s="3216"/>
      <c r="I50" s="3236">
        <v>2819234</v>
      </c>
      <c r="J50" s="3236"/>
      <c r="L50" s="3276">
        <f>'Part IV-A-Uses of Funds'!$J$175*10*'Part IV-A-Uses of Funds'!$Q$168</f>
        <v>2819514.5</v>
      </c>
      <c r="M50" s="3276"/>
      <c r="N50" s="3277">
        <f>I50-L50</f>
        <v>-280.5</v>
      </c>
      <c r="O50" s="3277"/>
      <c r="P50" s="460">
        <f>I49/I59</f>
        <v>0.25863459805179534</v>
      </c>
      <c r="Q50" s="425"/>
      <c r="S50" s="3158"/>
      <c r="T50" s="3159"/>
    </row>
    <row r="51" spans="1:23" s="300" customFormat="1" ht="15.75" customHeight="1">
      <c r="A51" s="325"/>
      <c r="B51" s="3212" t="s">
        <v>1410</v>
      </c>
      <c r="C51" s="3213"/>
      <c r="D51" s="3273"/>
      <c r="E51" s="3214"/>
      <c r="F51" s="3215"/>
      <c r="G51" s="3215"/>
      <c r="H51" s="3216"/>
      <c r="I51" s="3236"/>
      <c r="J51" s="3236"/>
      <c r="P51" s="460">
        <f>I50/I59</f>
        <v>0.18237905262730245</v>
      </c>
      <c r="Q51" s="425"/>
      <c r="S51" s="3160"/>
      <c r="T51" s="3161"/>
    </row>
    <row r="52" spans="1:23" s="300" customFormat="1" ht="15.75" customHeight="1">
      <c r="A52" s="325"/>
      <c r="B52" s="1237" t="s">
        <v>531</v>
      </c>
      <c r="C52" s="1238"/>
      <c r="D52" s="1242"/>
      <c r="E52" s="3214"/>
      <c r="F52" s="3215"/>
      <c r="G52" s="3215"/>
      <c r="H52" s="3216"/>
      <c r="I52" s="3236"/>
      <c r="J52" s="3236"/>
      <c r="K52" s="325"/>
      <c r="P52" s="461">
        <f>SUM(P50:P51)</f>
        <v>0.44101365067909781</v>
      </c>
      <c r="Q52" s="425"/>
      <c r="S52" s="3158"/>
      <c r="T52" s="3159"/>
    </row>
    <row r="53" spans="1:23" s="300" customFormat="1" ht="15.75" customHeight="1">
      <c r="A53" s="325"/>
      <c r="B53" s="1237" t="s">
        <v>1869</v>
      </c>
      <c r="C53" s="1238"/>
      <c r="D53" s="1242"/>
      <c r="E53" s="3214"/>
      <c r="F53" s="3215"/>
      <c r="G53" s="3215"/>
      <c r="H53" s="3216"/>
      <c r="I53" s="3236"/>
      <c r="J53" s="3236"/>
      <c r="N53" s="426"/>
      <c r="O53" s="426"/>
      <c r="P53" s="426"/>
      <c r="Q53" s="425"/>
      <c r="S53" s="3158"/>
      <c r="T53" s="3159"/>
    </row>
    <row r="54" spans="1:23" s="300" customFormat="1" ht="15.75" customHeight="1">
      <c r="A54" s="325"/>
      <c r="B54" s="1237" t="s">
        <v>1870</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741</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741</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741</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2216</v>
      </c>
      <c r="C58" s="325"/>
      <c r="D58" s="325"/>
      <c r="E58" s="325"/>
      <c r="F58" s="325"/>
      <c r="G58" s="325"/>
      <c r="I58" s="3280">
        <f>SUM(I38:J43)+SUM(I47:J57)</f>
        <v>15458034</v>
      </c>
      <c r="J58" s="3281"/>
      <c r="K58" s="325"/>
      <c r="L58" s="427"/>
      <c r="M58" s="426"/>
      <c r="N58" s="426"/>
      <c r="O58" s="426"/>
      <c r="P58" s="426"/>
      <c r="Q58" s="425"/>
      <c r="S58" s="3158"/>
      <c r="T58" s="3159"/>
    </row>
    <row r="59" spans="1:23" s="300" customFormat="1" ht="14.25" customHeight="1" thickBot="1">
      <c r="A59" s="325"/>
      <c r="B59" s="1228" t="s">
        <v>2217</v>
      </c>
      <c r="C59" s="325"/>
      <c r="D59" s="325"/>
      <c r="E59" s="325"/>
      <c r="F59" s="325"/>
      <c r="G59" s="325"/>
      <c r="I59" s="3282">
        <f>'Part IV-A-Uses of Funds'!$G$132</f>
        <v>15458102.010000002</v>
      </c>
      <c r="J59" s="3283"/>
      <c r="K59" s="325"/>
      <c r="L59" s="427"/>
      <c r="M59" s="426"/>
      <c r="N59" s="426"/>
      <c r="O59" s="426"/>
      <c r="P59" s="426"/>
      <c r="Q59" s="425"/>
      <c r="S59" s="3158"/>
      <c r="T59" s="3159"/>
    </row>
    <row r="60" spans="1:23" s="300" customFormat="1" ht="14.25" customHeight="1" thickBot="1">
      <c r="A60" s="325"/>
      <c r="B60" s="330" t="s">
        <v>1525</v>
      </c>
      <c r="C60" s="325"/>
      <c r="D60" s="325"/>
      <c r="E60" s="325"/>
      <c r="F60" s="325"/>
      <c r="G60" s="325"/>
      <c r="I60" s="3284">
        <f>I58-I59</f>
        <v>-68.010000001639128</v>
      </c>
      <c r="J60" s="3285"/>
      <c r="K60" s="325"/>
      <c r="L60" s="427"/>
      <c r="M60" s="426"/>
      <c r="N60" s="426"/>
      <c r="O60" s="426"/>
      <c r="P60" s="426"/>
      <c r="Q60" s="425"/>
      <c r="S60" s="3160"/>
      <c r="T60" s="3161"/>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7"/>
      <c r="B64" s="3287"/>
      <c r="C64" s="3287"/>
      <c r="D64" s="3287"/>
      <c r="E64" s="3287"/>
      <c r="F64" s="3287"/>
      <c r="G64" s="3287"/>
      <c r="H64" s="3287"/>
      <c r="I64" s="3287"/>
      <c r="J64" s="3287"/>
      <c r="K64" s="3287"/>
      <c r="L64" s="3287"/>
      <c r="M64" s="3286"/>
      <c r="N64" s="3286"/>
      <c r="O64" s="3286"/>
      <c r="P64" s="3286"/>
      <c r="Q64" s="3286"/>
      <c r="S64" s="3278" t="s">
        <v>2692</v>
      </c>
      <c r="T64" s="327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9" t="s">
        <v>218</v>
      </c>
      <c r="B3" s="3289"/>
      <c r="C3" s="3289"/>
      <c r="D3" s="3289"/>
      <c r="E3" s="3289"/>
      <c r="F3" s="3289"/>
      <c r="G3" s="214"/>
      <c r="H3" s="214"/>
    </row>
    <row r="4" spans="1:17" s="202" customFormat="1" ht="6" customHeight="1"/>
    <row r="5" spans="1:17">
      <c r="A5" s="33" t="s">
        <v>2255</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45" customHeight="1">
      <c r="A15" s="28"/>
      <c r="E15" s="225"/>
      <c r="F15" s="214"/>
      <c r="G15" s="214"/>
      <c r="H15" s="214"/>
    </row>
    <row r="16" spans="1:17" ht="13.35" customHeight="1">
      <c r="A16" s="227" t="s">
        <v>2479</v>
      </c>
      <c r="B16" s="228" t="s">
        <v>2476</v>
      </c>
      <c r="C16" s="228" t="s">
        <v>2477</v>
      </c>
      <c r="D16" s="3299" t="s">
        <v>2254</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88" t="s">
        <v>2470</v>
      </c>
      <c r="B59" s="3288"/>
      <c r="C59" s="3288"/>
      <c r="D59" s="3288"/>
      <c r="E59" s="3288"/>
      <c r="F59" s="3288"/>
      <c r="G59" s="3288" t="s">
        <v>2470</v>
      </c>
      <c r="H59" s="3288"/>
      <c r="I59" s="3288"/>
      <c r="J59" s="3288"/>
      <c r="K59" s="3288"/>
      <c r="L59" s="3288"/>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2462</v>
      </c>
      <c r="C7" s="27" t="s">
        <v>2463</v>
      </c>
      <c r="D7" s="247"/>
      <c r="E7" s="3301"/>
      <c r="F7" s="3301"/>
      <c r="G7" s="164"/>
    </row>
    <row r="8" spans="1:17">
      <c r="C8" s="27" t="s">
        <v>2464</v>
      </c>
      <c r="D8" s="247"/>
      <c r="E8" s="3301"/>
      <c r="F8" s="3301"/>
      <c r="G8" s="164"/>
    </row>
    <row r="9" spans="1:17">
      <c r="C9" s="27" t="s">
        <v>2465</v>
      </c>
      <c r="D9" s="247"/>
      <c r="E9" s="3301"/>
      <c r="F9" s="3301"/>
      <c r="G9" s="164"/>
    </row>
    <row r="10" spans="1:17">
      <c r="C10" s="27" t="s">
        <v>2478</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0" t="s">
        <v>1717</v>
      </c>
      <c r="B24" s="3290"/>
      <c r="C24" s="3290"/>
      <c r="D24" s="3290"/>
      <c r="E24" s="3290"/>
      <c r="F24" s="3290"/>
      <c r="J24" s="256"/>
    </row>
    <row r="25" spans="1:10">
      <c r="C25" s="212"/>
      <c r="J25" s="256"/>
    </row>
    <row r="26" spans="1:10">
      <c r="A26" s="107"/>
      <c r="B26" s="82"/>
      <c r="C26" s="3302" t="s">
        <v>2254</v>
      </c>
      <c r="D26" s="251"/>
      <c r="E26" s="82"/>
      <c r="F26" s="3302" t="s">
        <v>2254</v>
      </c>
      <c r="J26" s="256"/>
    </row>
    <row r="27" spans="1:10">
      <c r="A27" s="257" t="s">
        <v>2479</v>
      </c>
      <c r="B27" s="72" t="s">
        <v>1026</v>
      </c>
      <c r="C27" s="3303"/>
      <c r="D27" s="258" t="s">
        <v>2479</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88" t="s">
        <v>2470</v>
      </c>
      <c r="B51" s="3288"/>
      <c r="C51" s="3288"/>
      <c r="D51" s="3288"/>
      <c r="E51" s="3288"/>
      <c r="F51" s="3288"/>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7" zoomScaleNormal="100" workbookViewId="0">
      <selection activeCell="J153" sqref="J153:K15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2019-5 Enclave at Milledgeville, Milledgeville, Baldwin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2019-5 Enclave at Milledgeville, Milledgeville, Baldwin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4" t="str">
        <f>'Part I-Project Information'!$B$6</f>
        <v>May 2019 Final</v>
      </c>
      <c r="E5" s="3434"/>
      <c r="F5" s="3434"/>
      <c r="G5" s="3434"/>
      <c r="H5" s="3434"/>
      <c r="I5" s="549"/>
      <c r="J5" s="3307" t="s">
        <v>271</v>
      </c>
      <c r="K5" s="3308"/>
      <c r="L5" s="400"/>
      <c r="M5" s="3311" t="s">
        <v>489</v>
      </c>
      <c r="N5" s="3312"/>
      <c r="P5" s="3307" t="s">
        <v>272</v>
      </c>
      <c r="Q5" s="3308"/>
      <c r="S5" s="3307" t="s">
        <v>273</v>
      </c>
      <c r="T5" s="3308"/>
      <c r="V5" s="487" t="str">
        <f>B5</f>
        <v>DEVELOPMENT BUDGET</v>
      </c>
    </row>
    <row r="6" spans="1:24" s="325" customFormat="1" ht="19.5" customHeight="1" thickBot="1">
      <c r="D6" s="2591"/>
      <c r="E6" s="2591"/>
      <c r="F6" s="2591"/>
      <c r="G6" s="3315" t="s">
        <v>101</v>
      </c>
      <c r="H6" s="3316"/>
      <c r="J6" s="3309"/>
      <c r="K6" s="3310"/>
      <c r="L6" s="400"/>
      <c r="M6" s="3313"/>
      <c r="N6" s="3314"/>
      <c r="P6" s="3309"/>
      <c r="Q6" s="3310"/>
      <c r="S6" s="3309"/>
      <c r="T6" s="3310"/>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2000</v>
      </c>
      <c r="G8" s="3206">
        <v>13000</v>
      </c>
      <c r="H8" s="3207"/>
      <c r="J8" s="3206"/>
      <c r="K8" s="3207"/>
      <c r="L8" s="1247"/>
      <c r="M8" s="3206"/>
      <c r="N8" s="3207"/>
      <c r="P8" s="3206">
        <v>13000</v>
      </c>
      <c r="Q8" s="3207"/>
      <c r="S8" s="3206"/>
      <c r="T8" s="3207"/>
      <c r="V8" s="1295"/>
      <c r="W8" s="3317"/>
      <c r="X8" s="3318"/>
    </row>
    <row r="9" spans="1:24" s="325" customFormat="1" ht="12.6" customHeight="1">
      <c r="B9" s="325" t="s">
        <v>457</v>
      </c>
      <c r="G9" s="3217">
        <v>6000</v>
      </c>
      <c r="H9" s="3218"/>
      <c r="J9" s="3217"/>
      <c r="K9" s="3218"/>
      <c r="L9" s="1247"/>
      <c r="M9" s="3217"/>
      <c r="N9" s="3218"/>
      <c r="P9" s="3217">
        <v>6000</v>
      </c>
      <c r="Q9" s="3218"/>
      <c r="S9" s="3217"/>
      <c r="T9" s="3218"/>
      <c r="V9" s="1295"/>
      <c r="W9" s="3317"/>
      <c r="X9" s="3318"/>
    </row>
    <row r="10" spans="1:24" s="325" customFormat="1" ht="12.6" customHeight="1">
      <c r="B10" s="325" t="s">
        <v>486</v>
      </c>
      <c r="G10" s="3217">
        <v>18097</v>
      </c>
      <c r="H10" s="3218"/>
      <c r="J10" s="3217"/>
      <c r="K10" s="3218"/>
      <c r="L10" s="1247"/>
      <c r="M10" s="3217"/>
      <c r="N10" s="3218"/>
      <c r="P10" s="3217">
        <v>18097</v>
      </c>
      <c r="Q10" s="3218"/>
      <c r="S10" s="3217"/>
      <c r="T10" s="3218"/>
      <c r="V10" s="1295"/>
      <c r="W10" s="3317"/>
      <c r="X10" s="3318"/>
    </row>
    <row r="11" spans="1:24" s="325" customFormat="1" ht="12.6" customHeight="1">
      <c r="B11" s="325" t="s">
        <v>487</v>
      </c>
      <c r="G11" s="3217"/>
      <c r="H11" s="3218"/>
      <c r="J11" s="3217"/>
      <c r="K11" s="3218"/>
      <c r="L11" s="1247"/>
      <c r="M11" s="3217"/>
      <c r="N11" s="3218"/>
      <c r="P11" s="3217"/>
      <c r="Q11" s="3218"/>
      <c r="S11" s="3217"/>
      <c r="T11" s="3218"/>
      <c r="V11" s="1295"/>
      <c r="W11" s="3317"/>
      <c r="X11" s="3318"/>
    </row>
    <row r="12" spans="1:24" s="325" customFormat="1" ht="12.6" customHeight="1">
      <c r="B12" s="325" t="s">
        <v>2499</v>
      </c>
      <c r="G12" s="3217">
        <v>10000</v>
      </c>
      <c r="H12" s="3218"/>
      <c r="J12" s="3217"/>
      <c r="K12" s="3218"/>
      <c r="L12" s="1247"/>
      <c r="M12" s="3217"/>
      <c r="N12" s="3218"/>
      <c r="P12" s="3217">
        <v>10000</v>
      </c>
      <c r="Q12" s="3218"/>
      <c r="S12" s="3217"/>
      <c r="T12" s="3218"/>
      <c r="V12" s="1295"/>
      <c r="W12" s="3317"/>
      <c r="X12" s="3318"/>
    </row>
    <row r="13" spans="1:24" s="325" customFormat="1" ht="12.6" customHeight="1">
      <c r="B13" s="325" t="s">
        <v>190</v>
      </c>
      <c r="G13" s="3217"/>
      <c r="H13" s="3218"/>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741</v>
      </c>
      <c r="C14" s="3319" t="s">
        <v>5328</v>
      </c>
      <c r="D14" s="3319"/>
      <c r="E14" s="3319"/>
      <c r="F14" s="3320"/>
      <c r="G14" s="3217">
        <v>62380</v>
      </c>
      <c r="H14" s="3218"/>
      <c r="J14" s="3217"/>
      <c r="K14" s="3218"/>
      <c r="L14" s="1247"/>
      <c r="M14" s="3217"/>
      <c r="N14" s="3218"/>
      <c r="P14" s="3217">
        <v>62380</v>
      </c>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741</v>
      </c>
      <c r="C15" s="3319"/>
      <c r="D15" s="3319"/>
      <c r="E15" s="3319"/>
      <c r="F15" s="3320"/>
      <c r="G15" s="3217"/>
      <c r="H15" s="3218"/>
      <c r="J15" s="3217"/>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741</v>
      </c>
      <c r="C16" s="3319"/>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191</v>
      </c>
      <c r="G17" s="3321">
        <f>SUM(G8:H16)</f>
        <v>109477</v>
      </c>
      <c r="H17" s="3322"/>
      <c r="J17" s="3321">
        <f>SUM(J8:K16)</f>
        <v>0</v>
      </c>
      <c r="K17" s="3323"/>
      <c r="L17" s="1247"/>
      <c r="M17" s="3321">
        <f>SUM(M8:N16)</f>
        <v>0</v>
      </c>
      <c r="N17" s="3322"/>
      <c r="P17" s="3321">
        <f>SUM(P8:Q16)</f>
        <v>109477</v>
      </c>
      <c r="Q17" s="3322"/>
      <c r="S17" s="3321">
        <f>SUM(S8:T16)</f>
        <v>0</v>
      </c>
      <c r="T17" s="3322"/>
      <c r="V17" s="1297">
        <f>SUM(V8:V16)</f>
        <v>0</v>
      </c>
      <c r="W17" s="3369"/>
      <c r="X17" s="3370"/>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3726</v>
      </c>
      <c r="F19" s="524">
        <f>IF('Part I-Project Information'!$O$37="","",G19/'Part I-Project Information'!$O$37)</f>
        <v>0.11665888940737286</v>
      </c>
      <c r="G19" s="3206">
        <v>1</v>
      </c>
      <c r="H19" s="3207"/>
      <c r="J19" s="403"/>
      <c r="K19" s="400"/>
      <c r="L19" s="403"/>
      <c r="M19" s="403"/>
      <c r="N19" s="400"/>
      <c r="P19" s="403"/>
      <c r="Q19" s="400"/>
      <c r="S19" s="3206">
        <v>1</v>
      </c>
      <c r="T19" s="3207"/>
      <c r="V19" s="1295"/>
      <c r="W19" s="3317"/>
      <c r="X19" s="3318"/>
    </row>
    <row r="20" spans="2:24" s="325" customFormat="1" ht="12.6" customHeight="1">
      <c r="B20" s="325" t="s">
        <v>1119</v>
      </c>
      <c r="G20" s="3217"/>
      <c r="H20" s="3218"/>
      <c r="J20" s="403"/>
      <c r="K20" s="400"/>
      <c r="L20" s="403"/>
      <c r="M20" s="403"/>
      <c r="N20" s="400"/>
      <c r="P20" s="403"/>
      <c r="Q20" s="400"/>
      <c r="S20" s="3217"/>
      <c r="T20" s="3218"/>
      <c r="V20" s="1295"/>
      <c r="W20" s="3317"/>
      <c r="X20" s="3318"/>
    </row>
    <row r="21" spans="2:24" s="325" customFormat="1" ht="12.6" customHeight="1">
      <c r="B21" s="325" t="s">
        <v>458</v>
      </c>
      <c r="G21" s="3217"/>
      <c r="H21" s="3218"/>
      <c r="J21" s="403"/>
      <c r="K21" s="400"/>
      <c r="L21" s="403"/>
      <c r="M21" s="3206"/>
      <c r="N21" s="3207"/>
      <c r="P21" s="403"/>
      <c r="Q21" s="400"/>
      <c r="S21" s="3217"/>
      <c r="T21" s="3218"/>
      <c r="V21" s="1295"/>
      <c r="W21" s="3317"/>
      <c r="X21" s="3318"/>
    </row>
    <row r="22" spans="2:24" s="325" customFormat="1" ht="12.6" customHeight="1" thickBot="1">
      <c r="B22" s="325" t="s">
        <v>430</v>
      </c>
      <c r="G22" s="3324">
        <v>3945160</v>
      </c>
      <c r="H22" s="3325"/>
      <c r="J22" s="403"/>
      <c r="K22" s="400"/>
      <c r="L22" s="403"/>
      <c r="M22" s="3324"/>
      <c r="N22" s="3325"/>
      <c r="P22" s="403"/>
      <c r="Q22" s="400"/>
      <c r="S22" s="3324">
        <v>3945160</v>
      </c>
      <c r="T22" s="3325"/>
      <c r="V22" s="1295"/>
      <c r="W22" s="3356"/>
      <c r="X22" s="3357"/>
    </row>
    <row r="23" spans="2:24" s="325" customFormat="1" ht="12.6" customHeight="1" thickTop="1">
      <c r="F23" s="401" t="s">
        <v>191</v>
      </c>
      <c r="G23" s="3321">
        <f>SUM(G19:H22)</f>
        <v>3945161</v>
      </c>
      <c r="H23" s="3322"/>
      <c r="J23" s="403"/>
      <c r="K23" s="400"/>
      <c r="L23" s="403"/>
      <c r="M23" s="3321">
        <f>SUM(M21:N22)</f>
        <v>0</v>
      </c>
      <c r="N23" s="3322"/>
      <c r="P23" s="403"/>
      <c r="Q23" s="400"/>
      <c r="S23" s="3321">
        <f>SUM(S19:T22)</f>
        <v>3945161</v>
      </c>
      <c r="T23" s="3322"/>
      <c r="V23" s="1297">
        <f>SUM(V19:V22)</f>
        <v>0</v>
      </c>
      <c r="W23" s="3369"/>
      <c r="X23" s="3370"/>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180121.32524498369</v>
      </c>
      <c r="G25" s="3206">
        <v>1544000</v>
      </c>
      <c r="H25" s="3207"/>
      <c r="J25" s="3206"/>
      <c r="K25" s="3207"/>
      <c r="L25" s="1247"/>
      <c r="M25" s="3326"/>
      <c r="N25" s="3327"/>
      <c r="P25" s="3326">
        <v>1544000</v>
      </c>
      <c r="Q25" s="3327"/>
      <c r="S25" s="3206"/>
      <c r="T25" s="3207"/>
      <c r="V25" s="1295"/>
      <c r="W25" s="3317"/>
      <c r="X25" s="3318"/>
    </row>
    <row r="26" spans="2:24" s="325" customFormat="1" ht="12.6" customHeight="1" thickBot="1">
      <c r="B26" s="325" t="s">
        <v>1122</v>
      </c>
      <c r="G26" s="3324"/>
      <c r="H26" s="3325"/>
      <c r="J26" s="3324"/>
      <c r="K26" s="3325"/>
      <c r="L26" s="404"/>
      <c r="M26" s="3328"/>
      <c r="N26" s="3328"/>
      <c r="P26" s="3328"/>
      <c r="Q26" s="3328"/>
      <c r="S26" s="3324"/>
      <c r="T26" s="3325"/>
      <c r="V26" s="1295"/>
      <c r="W26" s="3356"/>
      <c r="X26" s="3357"/>
    </row>
    <row r="27" spans="2:24" s="325" customFormat="1" ht="12.6" customHeight="1" thickTop="1">
      <c r="F27" s="401" t="s">
        <v>191</v>
      </c>
      <c r="G27" s="3321">
        <f>SUM(G25:H26)</f>
        <v>1544000</v>
      </c>
      <c r="H27" s="3322"/>
      <c r="J27" s="3321">
        <f>SUM(J25:K26)</f>
        <v>0</v>
      </c>
      <c r="K27" s="3322"/>
      <c r="L27" s="403"/>
      <c r="M27" s="3321">
        <f>M25</f>
        <v>0</v>
      </c>
      <c r="N27" s="3322"/>
      <c r="P27" s="3321">
        <f>P25</f>
        <v>1544000</v>
      </c>
      <c r="Q27" s="3322"/>
      <c r="S27" s="3321">
        <f>SUM(S25:T26)</f>
        <v>0</v>
      </c>
      <c r="T27" s="3322"/>
      <c r="V27" s="1297">
        <f>SUM(V25:V26)</f>
        <v>0</v>
      </c>
      <c r="W27" s="3369"/>
      <c r="X27" s="3370"/>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6"/>
      <c r="H29" s="3207"/>
      <c r="J29" s="3206"/>
      <c r="K29" s="3207"/>
      <c r="L29" s="1247"/>
      <c r="M29" s="3206"/>
      <c r="N29" s="3207"/>
      <c r="P29" s="3206"/>
      <c r="Q29" s="3207"/>
      <c r="S29" s="3206"/>
      <c r="T29" s="3207"/>
      <c r="V29" s="1295"/>
      <c r="W29" s="3317"/>
      <c r="X29" s="3318"/>
    </row>
    <row r="30" spans="2:24" s="325" customFormat="1" ht="12.6" customHeight="1">
      <c r="B30" s="325" t="s">
        <v>1125</v>
      </c>
      <c r="G30" s="3217">
        <v>4180000</v>
      </c>
      <c r="H30" s="3218"/>
      <c r="J30" s="3217"/>
      <c r="K30" s="3218"/>
      <c r="L30" s="1247"/>
      <c r="M30" s="3217"/>
      <c r="N30" s="3218"/>
      <c r="P30" s="3217">
        <v>4180000</v>
      </c>
      <c r="Q30" s="3218"/>
      <c r="S30" s="3217"/>
      <c r="T30" s="3218"/>
      <c r="V30" s="1295"/>
      <c r="W30" s="3317"/>
      <c r="X30" s="3318"/>
    </row>
    <row r="31" spans="2:24" s="325" customFormat="1" ht="12.6" customHeight="1">
      <c r="B31" s="325" t="s">
        <v>2779</v>
      </c>
      <c r="G31" s="3217"/>
      <c r="H31" s="3218"/>
      <c r="J31" s="3217"/>
      <c r="K31" s="3218"/>
      <c r="L31" s="1247"/>
      <c r="M31" s="3217"/>
      <c r="N31" s="3218"/>
      <c r="P31" s="3217"/>
      <c r="Q31" s="3218"/>
      <c r="S31" s="3217"/>
      <c r="T31" s="3218"/>
      <c r="V31" s="1295"/>
      <c r="W31" s="3317"/>
      <c r="X31" s="3318"/>
    </row>
    <row r="32" spans="2:24" ht="12.6" customHeight="1" thickBot="1">
      <c r="B32" s="325" t="s">
        <v>2778</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191</v>
      </c>
      <c r="G33" s="3321">
        <f>SUM(G29:H32)</f>
        <v>4180000</v>
      </c>
      <c r="H33" s="3322"/>
      <c r="J33" s="3321">
        <f>SUM(J29:K32)</f>
        <v>0</v>
      </c>
      <c r="K33" s="3322"/>
      <c r="L33" s="1247"/>
      <c r="M33" s="3321">
        <f>SUM(M29:N32)</f>
        <v>0</v>
      </c>
      <c r="N33" s="3322"/>
      <c r="P33" s="3321">
        <f>SUM(P29:Q32)</f>
        <v>4180000</v>
      </c>
      <c r="Q33" s="3322"/>
      <c r="S33" s="3321">
        <f>SUM(S29:T32)</f>
        <v>0</v>
      </c>
      <c r="T33" s="3322"/>
      <c r="V33" s="1297">
        <f>SUM(V29:V32)</f>
        <v>0</v>
      </c>
      <c r="W33" s="3369"/>
      <c r="X33" s="3370"/>
    </row>
    <row r="34" spans="1:24" s="325" customFormat="1" ht="12" customHeight="1">
      <c r="B34" s="327" t="s">
        <v>2343</v>
      </c>
      <c r="D34" s="3329" t="s">
        <v>3730</v>
      </c>
      <c r="E34" s="3329"/>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343440</v>
      </c>
      <c r="F35" s="1133">
        <f>IF(($G$27+$G$33)=0,0,G35/($G$27+$G$33))</f>
        <v>0.06</v>
      </c>
      <c r="G35" s="3206">
        <v>343440</v>
      </c>
      <c r="H35" s="3207"/>
      <c r="I35" s="346"/>
      <c r="J35" s="3206"/>
      <c r="K35" s="3207"/>
      <c r="L35" s="1247"/>
      <c r="M35" s="3206"/>
      <c r="N35" s="3207"/>
      <c r="P35" s="3206">
        <v>343440</v>
      </c>
      <c r="Q35" s="3207"/>
      <c r="S35" s="3206"/>
      <c r="T35" s="3207"/>
      <c r="V35" s="1295"/>
      <c r="W35" s="3317"/>
      <c r="X35" s="3318"/>
    </row>
    <row r="36" spans="1:24" s="325" customFormat="1" ht="12.6" customHeight="1">
      <c r="B36" s="325" t="s">
        <v>2735</v>
      </c>
      <c r="D36" s="1135">
        <f>'DCA Underwriting Assumptions'!$R$74</f>
        <v>0.02</v>
      </c>
      <c r="E36" s="1136">
        <f>D36*(G27+G33)</f>
        <v>114480</v>
      </c>
      <c r="F36" s="1133">
        <f>IF(($G$27+$G$33)=0,0,G36/($G$27+$G$33))</f>
        <v>0.02</v>
      </c>
      <c r="G36" s="3217">
        <v>114480</v>
      </c>
      <c r="H36" s="3218"/>
      <c r="I36" s="346"/>
      <c r="J36" s="3217"/>
      <c r="K36" s="3218"/>
      <c r="L36" s="1247"/>
      <c r="M36" s="3217"/>
      <c r="N36" s="3218"/>
      <c r="P36" s="3217">
        <v>114480</v>
      </c>
      <c r="Q36" s="3218"/>
      <c r="S36" s="3217"/>
      <c r="T36" s="3218"/>
      <c r="V36" s="1295"/>
      <c r="W36" s="3317"/>
      <c r="X36" s="3318"/>
    </row>
    <row r="37" spans="1:24" s="325" customFormat="1" ht="12.6" customHeight="1" thickBot="1">
      <c r="B37" s="325" t="s">
        <v>2736</v>
      </c>
      <c r="D37" s="1139">
        <f>'DCA Underwriting Assumptions'!$R$75</f>
        <v>0.06</v>
      </c>
      <c r="E37" s="1140">
        <f>D37*(G27+G33)</f>
        <v>343440</v>
      </c>
      <c r="F37" s="1531">
        <f>IF(($G$27+$G$33)=0,0,G37/($G$27+$G$33))</f>
        <v>0.06</v>
      </c>
      <c r="G37" s="3324">
        <v>343440</v>
      </c>
      <c r="H37" s="3325"/>
      <c r="I37" s="346"/>
      <c r="J37" s="3324"/>
      <c r="K37" s="3325"/>
      <c r="L37" s="1247"/>
      <c r="M37" s="3324"/>
      <c r="N37" s="3325"/>
      <c r="P37" s="3324">
        <v>343330</v>
      </c>
      <c r="Q37" s="3325"/>
      <c r="S37" s="3324"/>
      <c r="T37" s="3325"/>
      <c r="V37" s="1295"/>
      <c r="W37" s="3356"/>
      <c r="X37" s="3357"/>
    </row>
    <row r="38" spans="1:24" s="325" customFormat="1" ht="12.6" customHeight="1" thickTop="1">
      <c r="B38" s="192" t="s">
        <v>3731</v>
      </c>
      <c r="D38" s="1137">
        <f>SUM(D35:D37)</f>
        <v>0.14000000000000001</v>
      </c>
      <c r="E38" s="1138">
        <f>SUM(E35:E37)</f>
        <v>801360</v>
      </c>
      <c r="F38" s="1117" t="s">
        <v>191</v>
      </c>
      <c r="G38" s="3321">
        <f>SUM(G35:H37)</f>
        <v>801360</v>
      </c>
      <c r="H38" s="3322"/>
      <c r="J38" s="3321">
        <f>SUM(J35:K37)</f>
        <v>0</v>
      </c>
      <c r="K38" s="3322"/>
      <c r="L38" s="403"/>
      <c r="M38" s="3321">
        <f>SUM(M35:N37)</f>
        <v>0</v>
      </c>
      <c r="N38" s="3322"/>
      <c r="P38" s="3321">
        <f>SUM(P35:Q37)</f>
        <v>801250</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19" t="s">
        <v>3711</v>
      </c>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2744</v>
      </c>
      <c r="C43" s="579"/>
      <c r="E43" s="3343" t="s">
        <v>2743</v>
      </c>
      <c r="F43" s="1248">
        <f>B44/'Part VI-Revenues &amp; Expenses'!$O$65</f>
        <v>85860</v>
      </c>
      <c r="G43" s="1250" t="s">
        <v>2770</v>
      </c>
      <c r="H43" s="546"/>
      <c r="I43" s="546"/>
      <c r="J43" s="3345">
        <f>B44/'Part VI-Revenues &amp; Expenses'!$O$67</f>
        <v>85860</v>
      </c>
      <c r="K43" s="3345"/>
      <c r="L43" s="546"/>
      <c r="M43" s="3346" t="s">
        <v>1402</v>
      </c>
      <c r="N43" s="3346"/>
      <c r="O43" s="546"/>
      <c r="P43" s="3345">
        <f>B44/'Part I-Project Information'!$P$75</f>
        <v>99.620774938169831</v>
      </c>
      <c r="Q43" s="3345"/>
      <c r="R43" s="546"/>
      <c r="S43" s="3347" t="s">
        <v>2777</v>
      </c>
      <c r="T43" s="3348"/>
      <c r="V43" s="1298"/>
      <c r="W43" s="3339"/>
      <c r="X43" s="3340"/>
    </row>
    <row r="44" spans="1:24" s="325" customFormat="1" ht="12.6" customHeight="1">
      <c r="B44" s="3333">
        <f>G27+G33+G38+G41</f>
        <v>6525360</v>
      </c>
      <c r="C44" s="3334"/>
      <c r="E44" s="3344"/>
      <c r="F44" s="1249">
        <f>B44/'Part VI-Revenues &amp; Expenses'!$O$154</f>
        <v>101.52725914861837</v>
      </c>
      <c r="G44" s="577" t="s">
        <v>2771</v>
      </c>
      <c r="H44" s="1245"/>
      <c r="I44" s="1245"/>
      <c r="J44" s="3335">
        <f>B44/'Part VI-Revenues &amp; Expenses'!$O$156</f>
        <v>101.52725914861837</v>
      </c>
      <c r="K44" s="3335"/>
      <c r="L44" s="1245"/>
      <c r="M44" s="3336" t="s">
        <v>2776</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652536</v>
      </c>
      <c r="F47" s="405">
        <f>G47/B44</f>
        <v>0.05</v>
      </c>
      <c r="G47" s="3331">
        <v>326268</v>
      </c>
      <c r="H47" s="3332"/>
      <c r="I47" s="325"/>
      <c r="J47" s="3331"/>
      <c r="K47" s="3332"/>
      <c r="L47" s="1247"/>
      <c r="M47" s="3331"/>
      <c r="N47" s="3332"/>
      <c r="O47" s="325"/>
      <c r="P47" s="3331">
        <v>326268</v>
      </c>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2844</v>
      </c>
      <c r="H49" s="1238"/>
      <c r="I49" s="1238"/>
      <c r="J49" s="3307" t="s">
        <v>271</v>
      </c>
      <c r="K49" s="3308"/>
      <c r="L49" s="400"/>
      <c r="M49" s="3311" t="s">
        <v>489</v>
      </c>
      <c r="N49" s="3312"/>
      <c r="P49" s="3307" t="s">
        <v>272</v>
      </c>
      <c r="Q49" s="3308"/>
      <c r="S49" s="3307" t="s">
        <v>273</v>
      </c>
      <c r="T49" s="3308"/>
      <c r="V49" s="1298"/>
      <c r="W49" s="487" t="str">
        <f>B49</f>
        <v>DEVELOPMENT BUDGET (cont'd)</v>
      </c>
    </row>
    <row r="50" spans="1:24" s="325" customFormat="1" ht="18.75" customHeight="1" thickBot="1">
      <c r="G50" s="3315" t="s">
        <v>101</v>
      </c>
      <c r="H50" s="3316"/>
      <c r="J50" s="3309"/>
      <c r="K50" s="3310"/>
      <c r="L50" s="400"/>
      <c r="M50" s="3313"/>
      <c r="N50" s="3314"/>
      <c r="P50" s="3309"/>
      <c r="Q50" s="3310"/>
      <c r="S50" s="3309"/>
      <c r="T50" s="3310"/>
      <c r="V50" s="1298"/>
      <c r="W50" s="3431" t="s">
        <v>2682</v>
      </c>
      <c r="X50" s="3431"/>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06"/>
      <c r="H52" s="3207"/>
      <c r="J52" s="3206"/>
      <c r="K52" s="3207"/>
      <c r="L52" s="1247"/>
      <c r="M52" s="3206"/>
      <c r="N52" s="3207"/>
      <c r="P52" s="3206"/>
      <c r="Q52" s="3207"/>
      <c r="S52" s="3206"/>
      <c r="T52" s="3207"/>
      <c r="V52" s="1299"/>
      <c r="W52" s="3317"/>
      <c r="X52" s="3318"/>
    </row>
    <row r="53" spans="1:24" s="325" customFormat="1" ht="12" customHeight="1">
      <c r="B53" s="325" t="s">
        <v>3733</v>
      </c>
      <c r="G53" s="3217"/>
      <c r="H53" s="3218"/>
      <c r="J53" s="3217"/>
      <c r="K53" s="3218"/>
      <c r="L53" s="1247"/>
      <c r="M53" s="3217"/>
      <c r="N53" s="3218"/>
      <c r="P53" s="3217"/>
      <c r="Q53" s="3218"/>
      <c r="S53" s="3217"/>
      <c r="T53" s="3218"/>
      <c r="V53" s="1299"/>
      <c r="W53" s="3317"/>
      <c r="X53" s="3318"/>
    </row>
    <row r="54" spans="1:24" s="325" customFormat="1" ht="12" customHeight="1">
      <c r="B54" s="325" t="s">
        <v>2346</v>
      </c>
      <c r="G54" s="3217">
        <v>120828.64</v>
      </c>
      <c r="H54" s="3218"/>
      <c r="J54" s="3217"/>
      <c r="K54" s="3218"/>
      <c r="L54" s="1247"/>
      <c r="M54" s="3217"/>
      <c r="N54" s="3218"/>
      <c r="P54" s="3217">
        <v>120828.64</v>
      </c>
      <c r="Q54" s="3218"/>
      <c r="S54" s="3217"/>
      <c r="T54" s="3218"/>
      <c r="V54" s="1299"/>
      <c r="W54" s="3317"/>
      <c r="X54" s="3318"/>
    </row>
    <row r="55" spans="1:24" s="325" customFormat="1" ht="12" customHeight="1">
      <c r="B55" s="325" t="s">
        <v>2347</v>
      </c>
      <c r="G55" s="3217">
        <v>262080</v>
      </c>
      <c r="H55" s="3218"/>
      <c r="J55" s="3217"/>
      <c r="K55" s="3218"/>
      <c r="L55" s="1247"/>
      <c r="M55" s="3217"/>
      <c r="N55" s="3218"/>
      <c r="P55" s="3217">
        <v>209664</v>
      </c>
      <c r="Q55" s="3218"/>
      <c r="S55" s="3217">
        <v>52416</v>
      </c>
      <c r="T55" s="3218"/>
      <c r="V55" s="1299"/>
      <c r="W55" s="3317"/>
      <c r="X55" s="3318"/>
    </row>
    <row r="56" spans="1:24" s="325" customFormat="1" ht="12" customHeight="1">
      <c r="B56" s="325" t="s">
        <v>2348</v>
      </c>
      <c r="G56" s="3217">
        <v>40000</v>
      </c>
      <c r="H56" s="3218"/>
      <c r="J56" s="3217"/>
      <c r="K56" s="3218"/>
      <c r="L56" s="1247"/>
      <c r="M56" s="3217"/>
      <c r="N56" s="3218"/>
      <c r="P56" s="3217">
        <v>40000</v>
      </c>
      <c r="Q56" s="3218"/>
      <c r="S56" s="3217"/>
      <c r="T56" s="3218"/>
      <c r="V56" s="1299"/>
      <c r="W56" s="3317"/>
      <c r="X56" s="3318"/>
    </row>
    <row r="57" spans="1:24" s="325" customFormat="1" ht="12" customHeight="1">
      <c r="B57" s="325" t="s">
        <v>2686</v>
      </c>
      <c r="G57" s="3217"/>
      <c r="H57" s="3218"/>
      <c r="J57" s="3217"/>
      <c r="K57" s="3218"/>
      <c r="L57" s="1247"/>
      <c r="M57" s="3217"/>
      <c r="N57" s="3218"/>
      <c r="P57" s="3217"/>
      <c r="Q57" s="3218"/>
      <c r="S57" s="3217"/>
      <c r="T57" s="3218"/>
      <c r="V57" s="1299"/>
      <c r="W57" s="3317"/>
      <c r="X57" s="3318"/>
    </row>
    <row r="58" spans="1:24" s="325" customFormat="1" ht="12" customHeight="1">
      <c r="B58" s="325" t="s">
        <v>723</v>
      </c>
      <c r="G58" s="3217"/>
      <c r="H58" s="3218"/>
      <c r="J58" s="3217"/>
      <c r="K58" s="3218"/>
      <c r="L58" s="1247"/>
      <c r="M58" s="3217"/>
      <c r="N58" s="3218"/>
      <c r="P58" s="3217"/>
      <c r="Q58" s="3218"/>
      <c r="S58" s="3217"/>
      <c r="T58" s="3218"/>
      <c r="V58" s="1299"/>
      <c r="W58" s="3317"/>
      <c r="X58" s="3318"/>
    </row>
    <row r="59" spans="1:24" s="325" customFormat="1" ht="12" customHeight="1">
      <c r="B59" s="325" t="s">
        <v>2349</v>
      </c>
      <c r="G59" s="3217">
        <v>20000</v>
      </c>
      <c r="H59" s="3218"/>
      <c r="J59" s="3217"/>
      <c r="K59" s="3218"/>
      <c r="L59" s="1247"/>
      <c r="M59" s="3217"/>
      <c r="N59" s="3218"/>
      <c r="P59" s="3217">
        <v>20000</v>
      </c>
      <c r="Q59" s="3218"/>
      <c r="S59" s="3217"/>
      <c r="T59" s="3218"/>
      <c r="V59" s="1299"/>
      <c r="W59" s="3317"/>
      <c r="X59" s="3318"/>
    </row>
    <row r="60" spans="1:24" s="325" customFormat="1" ht="12" customHeight="1">
      <c r="B60" s="325" t="s">
        <v>1276</v>
      </c>
      <c r="G60" s="3217"/>
      <c r="H60" s="3218"/>
      <c r="J60" s="3217"/>
      <c r="K60" s="3218"/>
      <c r="L60" s="1247"/>
      <c r="M60" s="3217"/>
      <c r="N60" s="3218"/>
      <c r="P60" s="3217"/>
      <c r="Q60" s="3218"/>
      <c r="S60" s="3217"/>
      <c r="T60" s="3218"/>
      <c r="V60" s="1299"/>
      <c r="W60" s="3317"/>
      <c r="X60" s="3318"/>
    </row>
    <row r="61" spans="1:24" s="325" customFormat="1" ht="12" customHeight="1">
      <c r="B61" s="407" t="s">
        <v>1153</v>
      </c>
      <c r="D61" s="405"/>
      <c r="E61" s="405"/>
      <c r="F61" s="406"/>
      <c r="G61" s="3217"/>
      <c r="H61" s="3218"/>
      <c r="I61" s="346"/>
      <c r="J61" s="3217"/>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741</v>
      </c>
      <c r="C62" s="3353" t="s">
        <v>5286</v>
      </c>
      <c r="D62" s="3353"/>
      <c r="E62" s="3353"/>
      <c r="F62" s="3354"/>
      <c r="G62" s="3217"/>
      <c r="H62" s="3218"/>
      <c r="J62" s="3217"/>
      <c r="K62" s="3218"/>
      <c r="L62" s="1247"/>
      <c r="M62" s="3217"/>
      <c r="N62" s="3218"/>
      <c r="P62" s="3217"/>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741</v>
      </c>
      <c r="C63" s="3351" t="s">
        <v>3711</v>
      </c>
      <c r="D63" s="3351"/>
      <c r="E63" s="3351"/>
      <c r="F63" s="3352"/>
      <c r="G63" s="3195"/>
      <c r="H63" s="3196"/>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191</v>
      </c>
      <c r="G64" s="3321">
        <f>SUM(G52:H63)</f>
        <v>442908.64</v>
      </c>
      <c r="H64" s="3322"/>
      <c r="J64" s="3321">
        <f>SUM(J52:K63)</f>
        <v>0</v>
      </c>
      <c r="K64" s="3322"/>
      <c r="L64" s="403"/>
      <c r="M64" s="3321">
        <f>SUM(M52:N63)</f>
        <v>0</v>
      </c>
      <c r="N64" s="3322"/>
      <c r="P64" s="3321">
        <f>SUM(P52:Q63)</f>
        <v>390492.64</v>
      </c>
      <c r="Q64" s="3322"/>
      <c r="S64" s="3321">
        <f>SUM(S52:T63)</f>
        <v>52416</v>
      </c>
      <c r="T64" s="3322"/>
      <c r="V64" s="1300">
        <f>SUM(V52:V63)</f>
        <v>0</v>
      </c>
      <c r="W64" s="3369"/>
      <c r="X64" s="3370"/>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6">
        <f>283000</f>
        <v>283000</v>
      </c>
      <c r="H66" s="3207"/>
      <c r="J66" s="3206"/>
      <c r="K66" s="3207"/>
      <c r="L66" s="1247"/>
      <c r="M66" s="3206"/>
      <c r="N66" s="3207"/>
      <c r="P66" s="3206">
        <f>283000</f>
        <v>283000</v>
      </c>
      <c r="Q66" s="3207"/>
      <c r="S66" s="3206"/>
      <c r="T66" s="3207"/>
      <c r="V66" s="1295"/>
      <c r="W66" s="3317"/>
      <c r="X66" s="3318"/>
    </row>
    <row r="67" spans="1:24" s="325" customFormat="1" ht="12" customHeight="1">
      <c r="B67" s="325" t="s">
        <v>478</v>
      </c>
      <c r="G67" s="3217"/>
      <c r="H67" s="3218"/>
      <c r="J67" s="3217"/>
      <c r="K67" s="3218"/>
      <c r="L67" s="1247"/>
      <c r="M67" s="3217"/>
      <c r="N67" s="3218"/>
      <c r="P67" s="3217"/>
      <c r="Q67" s="3218"/>
      <c r="S67" s="3217"/>
      <c r="T67" s="3218"/>
      <c r="V67" s="1295"/>
      <c r="W67" s="3317"/>
      <c r="X67" s="3318"/>
    </row>
    <row r="68" spans="1:24" s="325" customFormat="1" ht="12" customHeight="1">
      <c r="B68" s="325" t="s">
        <v>1127</v>
      </c>
      <c r="D68" s="339" t="s">
        <v>3849</v>
      </c>
      <c r="E68" s="1283">
        <f>'DCA Underwriting Assumptions'!R76</f>
        <v>20000</v>
      </c>
      <c r="F68" s="1284" t="str">
        <f>IF(G68&gt;E68,"CHECK!!!","")</f>
        <v/>
      </c>
      <c r="G68" s="3217"/>
      <c r="H68" s="3218"/>
      <c r="J68" s="3217"/>
      <c r="K68" s="3218"/>
      <c r="L68" s="1247"/>
      <c r="M68" s="3217"/>
      <c r="N68" s="3218"/>
      <c r="P68" s="3217"/>
      <c r="Q68" s="3218"/>
      <c r="S68" s="3217"/>
      <c r="T68" s="3218"/>
      <c r="V68" s="1295"/>
      <c r="W68" s="3317"/>
      <c r="X68" s="3318"/>
    </row>
    <row r="69" spans="1:24" s="325" customFormat="1" ht="12" customHeight="1">
      <c r="B69" s="325" t="s">
        <v>1128</v>
      </c>
      <c r="G69" s="3217"/>
      <c r="H69" s="3218"/>
      <c r="J69" s="3217"/>
      <c r="K69" s="3218"/>
      <c r="L69" s="1247"/>
      <c r="M69" s="3217"/>
      <c r="N69" s="3218"/>
      <c r="P69" s="3217"/>
      <c r="Q69" s="3218"/>
      <c r="S69" s="3217"/>
      <c r="T69" s="3218"/>
      <c r="V69" s="1295"/>
      <c r="W69" s="3317"/>
      <c r="X69" s="3318"/>
    </row>
    <row r="70" spans="1:24" s="325" customFormat="1" ht="12" customHeight="1">
      <c r="B70" s="325" t="s">
        <v>1129</v>
      </c>
      <c r="G70" s="3217">
        <v>5000</v>
      </c>
      <c r="H70" s="3218"/>
      <c r="J70" s="3217"/>
      <c r="K70" s="3218"/>
      <c r="L70" s="1247"/>
      <c r="M70" s="3217"/>
      <c r="N70" s="3218"/>
      <c r="P70" s="3217">
        <v>5000</v>
      </c>
      <c r="Q70" s="3218"/>
      <c r="S70" s="3217"/>
      <c r="T70" s="3218"/>
      <c r="V70" s="1295"/>
      <c r="W70" s="3317"/>
      <c r="X70" s="3318"/>
    </row>
    <row r="71" spans="1:24" s="325" customFormat="1" ht="12" customHeight="1">
      <c r="B71" s="325" t="s">
        <v>1130</v>
      </c>
      <c r="G71" s="3217"/>
      <c r="H71" s="3218"/>
      <c r="J71" s="3217"/>
      <c r="K71" s="3218"/>
      <c r="L71" s="1247"/>
      <c r="M71" s="3217"/>
      <c r="N71" s="3218"/>
      <c r="P71" s="3217"/>
      <c r="Q71" s="3218"/>
      <c r="S71" s="3217"/>
      <c r="T71" s="3218"/>
      <c r="V71" s="1295"/>
      <c r="W71" s="3317"/>
      <c r="X71" s="3318"/>
    </row>
    <row r="72" spans="1:24" s="325" customFormat="1" ht="12" customHeight="1">
      <c r="B72" s="325" t="s">
        <v>479</v>
      </c>
      <c r="G72" s="3217">
        <v>58000</v>
      </c>
      <c r="H72" s="3218"/>
      <c r="J72" s="3217"/>
      <c r="K72" s="3218"/>
      <c r="L72" s="1247"/>
      <c r="M72" s="3217"/>
      <c r="N72" s="3218"/>
      <c r="P72" s="3217">
        <v>58000</v>
      </c>
      <c r="Q72" s="3218"/>
      <c r="S72" s="3217"/>
      <c r="T72" s="3218"/>
      <c r="V72" s="1295"/>
      <c r="W72" s="3317"/>
      <c r="X72" s="3318"/>
    </row>
    <row r="73" spans="1:24" s="325" customFormat="1" ht="12" customHeight="1">
      <c r="B73" s="325" t="s">
        <v>480</v>
      </c>
      <c r="G73" s="3217">
        <v>45000</v>
      </c>
      <c r="H73" s="3218"/>
      <c r="J73" s="3217"/>
      <c r="K73" s="3218"/>
      <c r="L73" s="1247"/>
      <c r="M73" s="3217"/>
      <c r="N73" s="3218"/>
      <c r="P73" s="3217">
        <v>45000</v>
      </c>
      <c r="Q73" s="3218"/>
      <c r="S73" s="3217"/>
      <c r="T73" s="3218"/>
      <c r="V73" s="1295"/>
      <c r="W73" s="3317"/>
      <c r="X73" s="3318"/>
    </row>
    <row r="74" spans="1:24" s="325" customFormat="1" ht="12" customHeight="1">
      <c r="B74" s="325" t="s">
        <v>2049</v>
      </c>
      <c r="G74" s="3217">
        <v>20000</v>
      </c>
      <c r="H74" s="3218"/>
      <c r="J74" s="3217"/>
      <c r="K74" s="3218"/>
      <c r="L74" s="1247"/>
      <c r="M74" s="3217"/>
      <c r="N74" s="3218"/>
      <c r="P74" s="3217">
        <v>20000</v>
      </c>
      <c r="Q74" s="3218"/>
      <c r="S74" s="3217"/>
      <c r="T74" s="3218"/>
      <c r="V74" s="1295"/>
      <c r="W74" s="3317"/>
      <c r="X74" s="3318"/>
    </row>
    <row r="75" spans="1:24" s="325" customFormat="1" ht="12" customHeight="1">
      <c r="B75" s="325" t="s">
        <v>1277</v>
      </c>
      <c r="G75" s="3217"/>
      <c r="H75" s="3218"/>
      <c r="J75" s="3217"/>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741</v>
      </c>
      <c r="C76" s="3319" t="s">
        <v>3711</v>
      </c>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191</v>
      </c>
      <c r="G77" s="3321">
        <f>SUM(G66:H76)</f>
        <v>411000</v>
      </c>
      <c r="H77" s="3322"/>
      <c r="J77" s="3321">
        <f>SUM(J66:K76)</f>
        <v>0</v>
      </c>
      <c r="K77" s="3322"/>
      <c r="L77" s="403"/>
      <c r="M77" s="3321">
        <f>SUM(M66:N76)</f>
        <v>0</v>
      </c>
      <c r="N77" s="3322"/>
      <c r="P77" s="3321">
        <f>SUM(P66:Q76)</f>
        <v>411000</v>
      </c>
      <c r="Q77" s="3322"/>
      <c r="S77" s="3321">
        <f>SUM(S66:T76)</f>
        <v>0</v>
      </c>
      <c r="T77" s="3322"/>
      <c r="V77" s="1297">
        <f>SUM(V66:V76)</f>
        <v>0</v>
      </c>
      <c r="W77" s="3369"/>
      <c r="X77" s="3370"/>
    </row>
    <row r="78" spans="1:24" ht="12" customHeight="1">
      <c r="A78" s="325"/>
      <c r="B78" s="327" t="s">
        <v>1269</v>
      </c>
      <c r="C78" s="325"/>
      <c r="D78" s="1039" t="s">
        <v>3736</v>
      </c>
      <c r="E78" s="1142">
        <f>G83/'Part VI-Revenues &amp; Expenses'!$O$67</f>
        <v>900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6">
        <v>68400</v>
      </c>
      <c r="H79" s="3207"/>
      <c r="J79" s="3206"/>
      <c r="K79" s="3207"/>
      <c r="L79" s="1247"/>
      <c r="M79" s="3206"/>
      <c r="N79" s="3207"/>
      <c r="P79" s="3206">
        <v>68400</v>
      </c>
      <c r="Q79" s="3207"/>
      <c r="S79" s="3206"/>
      <c r="T79" s="3207"/>
      <c r="V79" s="1295"/>
      <c r="W79" s="3317"/>
      <c r="X79" s="3318"/>
    </row>
    <row r="80" spans="1:24" s="325" customFormat="1" ht="12" customHeight="1">
      <c r="B80" s="325" t="s">
        <v>1271</v>
      </c>
      <c r="G80" s="3217"/>
      <c r="H80" s="3218"/>
      <c r="J80" s="3217"/>
      <c r="K80" s="3218"/>
      <c r="L80" s="1247"/>
      <c r="M80" s="3217"/>
      <c r="N80" s="3218"/>
      <c r="P80" s="3217"/>
      <c r="Q80" s="3218"/>
      <c r="S80" s="3217"/>
      <c r="T80" s="3218"/>
      <c r="V80" s="1295"/>
      <c r="W80" s="3317"/>
      <c r="X80" s="3318"/>
    </row>
    <row r="81" spans="1:24" s="325" customFormat="1" ht="12" customHeight="1">
      <c r="B81" s="325" t="s">
        <v>1272</v>
      </c>
      <c r="D81" s="409" t="s">
        <v>1403</v>
      </c>
      <c r="E81" s="1321"/>
      <c r="G81" s="3217"/>
      <c r="H81" s="3218"/>
      <c r="I81" s="346"/>
      <c r="J81" s="3217"/>
      <c r="K81" s="3218"/>
      <c r="L81" s="1247"/>
      <c r="M81" s="3217"/>
      <c r="N81" s="3218"/>
      <c r="P81" s="3217"/>
      <c r="Q81" s="3218"/>
      <c r="S81" s="3217"/>
      <c r="T81" s="3218"/>
      <c r="V81" s="1295"/>
      <c r="W81" s="3317"/>
      <c r="X81" s="3318"/>
    </row>
    <row r="82" spans="1:24" s="325" customFormat="1" ht="12" customHeight="1" thickBot="1">
      <c r="B82" s="325" t="s">
        <v>1273</v>
      </c>
      <c r="D82" s="409" t="s">
        <v>1403</v>
      </c>
      <c r="E82" s="1322"/>
      <c r="G82" s="3195"/>
      <c r="H82" s="3196"/>
      <c r="I82" s="346"/>
      <c r="J82" s="3195"/>
      <c r="K82" s="3196"/>
      <c r="L82" s="1247"/>
      <c r="M82" s="3195"/>
      <c r="N82" s="3196"/>
      <c r="P82" s="3195"/>
      <c r="Q82" s="3196"/>
      <c r="S82" s="3195"/>
      <c r="T82" s="3196"/>
      <c r="V82" s="1295"/>
      <c r="W82" s="3356"/>
      <c r="X82" s="3357"/>
    </row>
    <row r="83" spans="1:24" s="325" customFormat="1" ht="12" customHeight="1" thickTop="1">
      <c r="F83" s="401" t="s">
        <v>191</v>
      </c>
      <c r="G83" s="3321">
        <f>SUM(G79:H82)</f>
        <v>68400</v>
      </c>
      <c r="H83" s="3322"/>
      <c r="J83" s="3321">
        <f>SUM(J79:K82)</f>
        <v>0</v>
      </c>
      <c r="K83" s="3322"/>
      <c r="L83" s="403"/>
      <c r="M83" s="3321">
        <f>SUM(M79:N82)</f>
        <v>0</v>
      </c>
      <c r="N83" s="3322"/>
      <c r="P83" s="3321">
        <f>SUM(P79:Q82)</f>
        <v>68400</v>
      </c>
      <c r="Q83" s="3322"/>
      <c r="S83" s="3321">
        <f>SUM(S79:T82)</f>
        <v>0</v>
      </c>
      <c r="T83" s="3322"/>
      <c r="V83" s="1297">
        <f>SUM(V79:V82)</f>
        <v>0</v>
      </c>
      <c r="W83" s="3369"/>
      <c r="X83" s="3370"/>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6">
        <v>129600</v>
      </c>
      <c r="H85" s="3207"/>
      <c r="J85" s="3355"/>
      <c r="K85" s="3355"/>
      <c r="L85" s="1247"/>
      <c r="M85" s="3355"/>
      <c r="N85" s="3355"/>
      <c r="P85" s="3355"/>
      <c r="Q85" s="3355"/>
      <c r="S85" s="3206">
        <v>129600</v>
      </c>
      <c r="T85" s="3207"/>
      <c r="V85" s="1295"/>
      <c r="W85" s="3317"/>
      <c r="X85" s="3318"/>
    </row>
    <row r="86" spans="1:24" s="325" customFormat="1" ht="12" customHeight="1">
      <c r="B86" s="325" t="s">
        <v>1275</v>
      </c>
      <c r="G86" s="3217">
        <v>55000</v>
      </c>
      <c r="H86" s="3218"/>
      <c r="J86" s="3355"/>
      <c r="K86" s="3355"/>
      <c r="L86" s="1247"/>
      <c r="M86" s="3355"/>
      <c r="N86" s="3355"/>
      <c r="P86" s="3355"/>
      <c r="Q86" s="3355"/>
      <c r="S86" s="3217">
        <v>55000</v>
      </c>
      <c r="T86" s="3218"/>
      <c r="V86" s="1295"/>
      <c r="W86" s="3317"/>
      <c r="X86" s="3318"/>
    </row>
    <row r="87" spans="1:24" s="325" customFormat="1" ht="12" customHeight="1">
      <c r="B87" s="325" t="s">
        <v>1276</v>
      </c>
      <c r="G87" s="3217">
        <v>70000</v>
      </c>
      <c r="H87" s="3218"/>
      <c r="J87" s="3355"/>
      <c r="K87" s="3355"/>
      <c r="L87" s="1247"/>
      <c r="M87" s="3355"/>
      <c r="N87" s="3355"/>
      <c r="P87" s="3355"/>
      <c r="Q87" s="3355"/>
      <c r="S87" s="3217">
        <v>70000</v>
      </c>
      <c r="T87" s="3218"/>
      <c r="V87" s="1295"/>
      <c r="W87" s="3317"/>
      <c r="X87" s="3318"/>
    </row>
    <row r="88" spans="1:24" s="325" customFormat="1" ht="12" customHeight="1">
      <c r="B88" s="325" t="s">
        <v>1278</v>
      </c>
      <c r="G88" s="3217"/>
      <c r="H88" s="3218"/>
      <c r="J88" s="3355"/>
      <c r="K88" s="3355"/>
      <c r="L88" s="1247"/>
      <c r="M88" s="3355"/>
      <c r="N88" s="3355"/>
      <c r="P88" s="3355"/>
      <c r="Q88" s="3355"/>
      <c r="S88" s="3217"/>
      <c r="T88" s="3218"/>
      <c r="V88" s="1295"/>
      <c r="W88" s="3317"/>
      <c r="X88" s="3318"/>
    </row>
    <row r="89" spans="1:24" s="325" customFormat="1" ht="12" customHeight="1">
      <c r="B89" s="325" t="s">
        <v>2298</v>
      </c>
      <c r="G89" s="3217">
        <v>120828.64</v>
      </c>
      <c r="H89" s="3218"/>
      <c r="J89" s="3355"/>
      <c r="K89" s="3355"/>
      <c r="L89" s="1247"/>
      <c r="M89" s="3355"/>
      <c r="N89" s="3355"/>
      <c r="P89" s="3355"/>
      <c r="Q89" s="3355"/>
      <c r="S89" s="3217">
        <v>120828.64</v>
      </c>
      <c r="T89" s="3218"/>
      <c r="V89" s="1295"/>
      <c r="W89" s="3317"/>
      <c r="X89" s="3318"/>
    </row>
    <row r="90" spans="1:24" s="325" customFormat="1" ht="12" customHeight="1" thickBot="1">
      <c r="A90" s="429" t="str">
        <f>IF(AND(G90&gt;0,OR(C90="",C90="&lt;Enter detailed description here; use Comments section if needed&gt;")),"X","")</f>
        <v/>
      </c>
      <c r="B90" s="325" t="s">
        <v>741</v>
      </c>
      <c r="C90" s="3319" t="s">
        <v>5334</v>
      </c>
      <c r="D90" s="3319"/>
      <c r="E90" s="3319"/>
      <c r="F90" s="3320"/>
      <c r="G90" s="3195">
        <f>25000+17280</f>
        <v>42280</v>
      </c>
      <c r="H90" s="3196"/>
      <c r="J90" s="3355"/>
      <c r="K90" s="3355"/>
      <c r="L90" s="1247"/>
      <c r="M90" s="3355"/>
      <c r="N90" s="3355"/>
      <c r="P90" s="3355"/>
      <c r="Q90" s="3355"/>
      <c r="S90" s="3195">
        <v>25000</v>
      </c>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191</v>
      </c>
      <c r="G91" s="3321">
        <f>SUM(G85:H90)</f>
        <v>417708.64</v>
      </c>
      <c r="H91" s="3322"/>
      <c r="J91" s="3355"/>
      <c r="K91" s="3355"/>
      <c r="L91" s="403"/>
      <c r="M91" s="3355"/>
      <c r="N91" s="3355"/>
      <c r="P91" s="3355"/>
      <c r="Q91" s="3355"/>
      <c r="S91" s="3321">
        <f>SUM(S85:T90)</f>
        <v>400428.64</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2843</v>
      </c>
      <c r="H93" s="1238"/>
      <c r="I93" s="1238"/>
      <c r="J93" s="3307" t="s">
        <v>271</v>
      </c>
      <c r="K93" s="3308"/>
      <c r="L93" s="400"/>
      <c r="M93" s="3311" t="s">
        <v>489</v>
      </c>
      <c r="N93" s="3312"/>
      <c r="P93" s="3307" t="s">
        <v>272</v>
      </c>
      <c r="Q93" s="3308"/>
      <c r="S93" s="3307" t="s">
        <v>273</v>
      </c>
      <c r="T93" s="3308"/>
      <c r="V93" s="487" t="str">
        <f>B93</f>
        <v>DEVELOPMENT BUDGET  (cont'd)</v>
      </c>
    </row>
    <row r="94" spans="1:24" s="325" customFormat="1" ht="18" customHeight="1" thickBot="1">
      <c r="G94" s="3315" t="s">
        <v>101</v>
      </c>
      <c r="H94" s="3316"/>
      <c r="J94" s="3309"/>
      <c r="K94" s="3310"/>
      <c r="L94" s="400"/>
      <c r="M94" s="3313"/>
      <c r="N94" s="3314"/>
      <c r="P94" s="3309"/>
      <c r="Q94" s="3310"/>
      <c r="S94" s="3309"/>
      <c r="T94" s="3310"/>
      <c r="V94" s="371" t="s">
        <v>2682</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v>5000</v>
      </c>
      <c r="H97" s="3218"/>
      <c r="J97" s="403"/>
      <c r="K97" s="403"/>
      <c r="L97" s="410"/>
      <c r="M97" s="403"/>
      <c r="N97" s="403"/>
      <c r="P97" s="403"/>
      <c r="Q97" s="403"/>
      <c r="S97" s="3217">
        <v>5000</v>
      </c>
      <c r="T97" s="3218"/>
      <c r="V97" s="1295"/>
      <c r="W97" s="3317"/>
      <c r="X97" s="3318"/>
    </row>
    <row r="98" spans="1:24" s="325" customFormat="1" ht="12.6" customHeight="1">
      <c r="B98" s="325" t="s">
        <v>3952</v>
      </c>
      <c r="G98" s="3217"/>
      <c r="H98" s="3218"/>
      <c r="J98" s="403"/>
      <c r="K98" s="403"/>
      <c r="L98" s="410"/>
      <c r="M98" s="403"/>
      <c r="N98" s="403"/>
      <c r="O98" s="1238"/>
      <c r="P98" s="403"/>
      <c r="Q98" s="403"/>
      <c r="S98" s="3217"/>
      <c r="T98" s="3218"/>
      <c r="V98" s="1295"/>
      <c r="W98" s="3317"/>
      <c r="X98" s="3318"/>
    </row>
    <row r="99" spans="1:24" s="325" customFormat="1" ht="12.6" customHeight="1">
      <c r="B99" s="325" t="s">
        <v>519</v>
      </c>
      <c r="E99" s="3358">
        <f>ROUNDUP('DCA Underwriting Assumptions'!$Q$88*J175,0)</f>
        <v>41012</v>
      </c>
      <c r="F99" s="3359"/>
      <c r="G99" s="3217">
        <v>51263.92</v>
      </c>
      <c r="H99" s="3218"/>
      <c r="J99" s="1143" t="str">
        <f>IF(E99&gt;G99,"WARNING!  LIHTC Allocation Fee proposed is below minimum required.","")</f>
        <v/>
      </c>
      <c r="K99" s="403"/>
      <c r="L99" s="1247"/>
      <c r="M99" s="403"/>
      <c r="N99" s="403"/>
      <c r="O99" s="1238"/>
      <c r="P99" s="403"/>
      <c r="Q99" s="403"/>
      <c r="S99" s="3217">
        <v>51264</v>
      </c>
      <c r="T99" s="3218"/>
      <c r="V99" s="1295"/>
      <c r="W99" s="3317"/>
      <c r="X99" s="3318"/>
    </row>
    <row r="100" spans="1:24" s="325" customFormat="1" ht="12.6" customHeight="1">
      <c r="B100" s="325" t="s">
        <v>753</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60800</v>
      </c>
      <c r="F100" s="3359"/>
      <c r="G100" s="3217">
        <v>60800</v>
      </c>
      <c r="H100" s="3218"/>
      <c r="J100" s="1143" t="str">
        <f>IF(E100&gt;G100,"WARNING!  LIHTC Compliance Fee proposed is below minimum required.","")</f>
        <v/>
      </c>
      <c r="K100" s="188"/>
      <c r="L100" s="188"/>
      <c r="M100" s="188"/>
      <c r="N100" s="188"/>
      <c r="O100" s="188"/>
      <c r="P100" s="188"/>
      <c r="Q100" s="188"/>
      <c r="S100" s="3217">
        <v>60800</v>
      </c>
      <c r="T100" s="3218"/>
      <c r="V100" s="1295"/>
      <c r="W100" s="3317"/>
      <c r="X100" s="3318"/>
    </row>
    <row r="101" spans="1:24" s="325" customFormat="1" ht="12.6" customHeight="1">
      <c r="B101" s="325" t="s">
        <v>4243</v>
      </c>
      <c r="F101" s="1555">
        <f>ROUNDUP('DCA Underwriting Assumptions'!$Q$90,0)</f>
        <v>3000</v>
      </c>
      <c r="G101" s="3217"/>
      <c r="H101" s="3218"/>
      <c r="J101" s="188"/>
      <c r="K101" s="188"/>
      <c r="L101" s="188"/>
      <c r="M101" s="188"/>
      <c r="N101" s="188"/>
      <c r="O101" s="188"/>
      <c r="P101" s="188"/>
      <c r="Q101" s="188"/>
      <c r="S101" s="3217"/>
      <c r="T101" s="3218"/>
      <c r="V101" s="1295"/>
      <c r="W101" s="3317"/>
      <c r="X101" s="3318"/>
    </row>
    <row r="102" spans="1:24" s="325" customFormat="1" ht="12.6" customHeight="1">
      <c r="B102" s="325" t="s">
        <v>4244</v>
      </c>
      <c r="F102" s="1555">
        <f>ROUNDUP('DCA Underwriting Assumptions'!$Q$113,0)</f>
        <v>3000</v>
      </c>
      <c r="G102" s="3217">
        <v>16000</v>
      </c>
      <c r="H102" s="3218"/>
      <c r="J102" s="188"/>
      <c r="K102" s="188"/>
      <c r="L102" s="188"/>
      <c r="M102" s="188"/>
      <c r="N102" s="188"/>
      <c r="O102" s="188"/>
      <c r="P102" s="188"/>
      <c r="Q102" s="188"/>
      <c r="S102" s="3217">
        <v>16000</v>
      </c>
      <c r="T102" s="3218"/>
      <c r="V102" s="1295"/>
      <c r="W102" s="3317"/>
      <c r="X102" s="3318"/>
    </row>
    <row r="103" spans="1:24" s="325" customFormat="1" ht="12.6" customHeight="1">
      <c r="A103" s="429" t="str">
        <f>IF(AND(G103&gt;0,OR(C103="",C103="&lt;Enter detailed description here; use Comments section if needed&gt;")),"X","")</f>
        <v/>
      </c>
      <c r="B103" s="325" t="s">
        <v>741</v>
      </c>
      <c r="C103" s="3353" t="s">
        <v>3711</v>
      </c>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741</v>
      </c>
      <c r="C104" s="3351" t="s">
        <v>3711</v>
      </c>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191</v>
      </c>
      <c r="G105" s="3321">
        <f>SUM(G96:H104)</f>
        <v>133063.91999999998</v>
      </c>
      <c r="H105" s="3322"/>
      <c r="J105" s="403"/>
      <c r="K105" s="403"/>
      <c r="L105" s="1247"/>
      <c r="M105" s="403"/>
      <c r="N105" s="403"/>
      <c r="P105" s="403"/>
      <c r="Q105" s="403"/>
      <c r="S105" s="3321">
        <f>SUM(S96:T104)</f>
        <v>133064</v>
      </c>
      <c r="T105" s="3322"/>
      <c r="V105" s="1297">
        <f>SUM(V96:V104)</f>
        <v>0</v>
      </c>
      <c r="W105" s="3432"/>
      <c r="X105" s="3433"/>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6"/>
      <c r="H107" s="3207"/>
      <c r="J107" s="3355"/>
      <c r="K107" s="3355"/>
      <c r="L107" s="1247"/>
      <c r="M107" s="3355"/>
      <c r="N107" s="3355"/>
      <c r="O107" s="1238"/>
      <c r="P107" s="3355"/>
      <c r="Q107" s="3355"/>
      <c r="S107" s="3206"/>
      <c r="T107" s="3207"/>
      <c r="V107" s="1295"/>
      <c r="W107" s="3317"/>
      <c r="X107" s="3318"/>
    </row>
    <row r="108" spans="1:24" s="325" customFormat="1" ht="12.6" customHeight="1">
      <c r="B108" s="325" t="s">
        <v>280</v>
      </c>
      <c r="G108" s="3217">
        <v>20000</v>
      </c>
      <c r="H108" s="3218"/>
      <c r="J108" s="3355"/>
      <c r="K108" s="3355"/>
      <c r="L108" s="1247"/>
      <c r="M108" s="3355"/>
      <c r="N108" s="3355"/>
      <c r="O108" s="1238"/>
      <c r="P108" s="3355"/>
      <c r="Q108" s="3355"/>
      <c r="S108" s="3217">
        <v>20000</v>
      </c>
      <c r="T108" s="3218"/>
      <c r="V108" s="1295"/>
      <c r="W108" s="3317"/>
      <c r="X108" s="3318"/>
    </row>
    <row r="109" spans="1:24" s="325" customFormat="1" ht="12.6" customHeight="1">
      <c r="B109" s="325" t="s">
        <v>2386</v>
      </c>
      <c r="G109" s="3217"/>
      <c r="H109" s="3218"/>
      <c r="J109" s="3355"/>
      <c r="K109" s="3355"/>
      <c r="L109" s="1247"/>
      <c r="M109" s="3355"/>
      <c r="N109" s="3355"/>
      <c r="O109" s="1238"/>
      <c r="P109" s="3355"/>
      <c r="Q109" s="3355"/>
      <c r="S109" s="3217"/>
      <c r="T109" s="3218"/>
      <c r="V109" s="1295"/>
      <c r="W109" s="3317"/>
      <c r="X109" s="3318"/>
    </row>
    <row r="110" spans="1:24" s="325" customFormat="1" ht="12.6" customHeight="1" thickBot="1">
      <c r="A110" s="429" t="str">
        <f>IF(AND(G110&gt;0,OR(C110="",C110="&lt;Enter detailed description here; use Comments section if needed&gt;")),"X","")</f>
        <v/>
      </c>
      <c r="B110" s="325" t="s">
        <v>741</v>
      </c>
      <c r="C110" s="3319"/>
      <c r="D110" s="3319"/>
      <c r="E110" s="3319"/>
      <c r="F110" s="3320"/>
      <c r="G110" s="3195"/>
      <c r="H110" s="3196"/>
      <c r="J110" s="3355"/>
      <c r="K110" s="3355"/>
      <c r="L110" s="1247"/>
      <c r="M110" s="3355"/>
      <c r="N110" s="3355"/>
      <c r="O110" s="1238"/>
      <c r="P110" s="3355"/>
      <c r="Q110" s="3355"/>
      <c r="S110" s="3195"/>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191</v>
      </c>
      <c r="G111" s="3321">
        <f>SUM(G107:H110)</f>
        <v>20000</v>
      </c>
      <c r="H111" s="3322"/>
      <c r="J111" s="3355"/>
      <c r="K111" s="3355"/>
      <c r="L111" s="1247"/>
      <c r="M111" s="3355"/>
      <c r="N111" s="3355"/>
      <c r="O111" s="1238"/>
      <c r="P111" s="3355"/>
      <c r="Q111" s="3355"/>
      <c r="S111" s="3321">
        <f>SUM(S107:T110)</f>
        <v>20000</v>
      </c>
      <c r="T111" s="3322"/>
      <c r="V111" s="1297">
        <f>SUM(V107:V110)</f>
        <v>0</v>
      </c>
      <c r="W111" s="3369"/>
      <c r="X111" s="3370"/>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0.3</v>
      </c>
      <c r="G113" s="3360">
        <v>570000</v>
      </c>
      <c r="H113" s="3360"/>
      <c r="J113" s="3361"/>
      <c r="K113" s="3362"/>
      <c r="L113" s="402"/>
      <c r="M113" s="3361"/>
      <c r="N113" s="3362"/>
      <c r="P113" s="3361">
        <v>570000</v>
      </c>
      <c r="Q113" s="3362"/>
      <c r="S113" s="3361"/>
      <c r="T113" s="3362"/>
      <c r="V113" s="1295"/>
      <c r="W113" s="3317"/>
      <c r="X113" s="3318"/>
    </row>
    <row r="114" spans="1:24" s="325" customFormat="1" ht="12.6" customHeight="1">
      <c r="B114" s="325" t="s">
        <v>4199</v>
      </c>
      <c r="F114" s="1533"/>
      <c r="V114" s="1295"/>
      <c r="W114" s="3317"/>
      <c r="X114" s="3318"/>
    </row>
    <row r="115" spans="1:24" s="325" customFormat="1" ht="12.6" customHeight="1">
      <c r="B115" s="325" t="s">
        <v>1861</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3633</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1853</v>
      </c>
      <c r="F117" s="457">
        <f>IF($G$118=0,0,G117/$G$118)</f>
        <v>0.7</v>
      </c>
      <c r="G117" s="3195">
        <v>1330000</v>
      </c>
      <c r="H117" s="3196"/>
      <c r="J117" s="3195"/>
      <c r="K117" s="3196"/>
      <c r="L117" s="1247"/>
      <c r="M117" s="3195"/>
      <c r="N117" s="3196"/>
      <c r="P117" s="3195">
        <v>1330000</v>
      </c>
      <c r="Q117" s="3196"/>
      <c r="S117" s="3195"/>
      <c r="T117" s="3196"/>
      <c r="V117" s="1295"/>
      <c r="W117" s="3356"/>
      <c r="X117" s="3357"/>
    </row>
    <row r="118" spans="1:24" s="325" customFormat="1" ht="12.6" customHeight="1" thickTop="1">
      <c r="C118" s="428"/>
      <c r="F118" s="401" t="s">
        <v>191</v>
      </c>
      <c r="G118" s="3363">
        <f>SUM(G113:H117)</f>
        <v>1900000</v>
      </c>
      <c r="H118" s="3364"/>
      <c r="J118" s="3321">
        <f>SUM(J113:K117)</f>
        <v>0</v>
      </c>
      <c r="K118" s="3322"/>
      <c r="L118" s="1247"/>
      <c r="M118" s="3321">
        <f>SUM(M113:N117)</f>
        <v>0</v>
      </c>
      <c r="N118" s="3322"/>
      <c r="P118" s="3321">
        <f>SUM(P113:Q117)</f>
        <v>1900000</v>
      </c>
      <c r="Q118" s="3322"/>
      <c r="S118" s="3321">
        <f>SUM(S113:T117)</f>
        <v>0</v>
      </c>
      <c r="T118" s="3322"/>
      <c r="V118" s="1297">
        <f>SUM(V113:V117)</f>
        <v>0</v>
      </c>
      <c r="W118" s="3369"/>
      <c r="X118" s="3370"/>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6">
        <v>20000</v>
      </c>
      <c r="H120" s="3207"/>
      <c r="J120" s="411"/>
      <c r="K120" s="411"/>
      <c r="L120" s="411"/>
      <c r="M120" s="411"/>
      <c r="N120" s="411"/>
      <c r="P120" s="411"/>
      <c r="Q120" s="411"/>
      <c r="S120" s="3206">
        <v>20000</v>
      </c>
      <c r="T120" s="3207"/>
      <c r="V120" s="1295"/>
      <c r="W120" s="3317"/>
      <c r="X120" s="3318"/>
    </row>
    <row r="121" spans="1:24" s="325" customFormat="1" ht="12.6" customHeight="1">
      <c r="B121" s="325" t="s">
        <v>1536</v>
      </c>
      <c r="F121" s="524">
        <f>+'Part VI-Revenues &amp; Expenses'!$P$226*('DCA Underwriting Assumptions'!$Q$112/12)</f>
        <v>93340.25</v>
      </c>
      <c r="G121" s="3217">
        <v>25000</v>
      </c>
      <c r="H121" s="3218"/>
      <c r="J121" s="1145" t="str">
        <f>IF(E121&gt;G121,"WARNING! Rent-Up Reserves proposed is below minimum - add comment.","")</f>
        <v/>
      </c>
      <c r="K121" s="1145"/>
      <c r="L121" s="1247"/>
      <c r="M121" s="1116"/>
      <c r="N121" s="1116"/>
      <c r="O121" s="1238"/>
      <c r="P121" s="1116"/>
      <c r="Q121" s="1116"/>
      <c r="R121" s="1238"/>
      <c r="S121" s="3217">
        <v>25000</v>
      </c>
      <c r="T121" s="3218"/>
      <c r="V121" s="1295"/>
      <c r="W121" s="3317"/>
      <c r="X121" s="331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396746.66752956575</v>
      </c>
      <c r="G122" s="3217">
        <v>410046.81</v>
      </c>
      <c r="H122" s="3218"/>
      <c r="J122" s="1145" t="str">
        <f>IF(E122&gt;G122,"WARNING! ODR proposed is below minimum - add comment.","")</f>
        <v/>
      </c>
      <c r="K122" s="410"/>
      <c r="L122" s="410"/>
      <c r="M122" s="410"/>
      <c r="N122" s="410"/>
      <c r="O122" s="1238"/>
      <c r="P122" s="410"/>
      <c r="Q122" s="410"/>
      <c r="R122" s="1238"/>
      <c r="S122" s="3217">
        <v>410047</v>
      </c>
      <c r="T122" s="3218"/>
      <c r="V122" s="1295"/>
      <c r="W122" s="3317"/>
      <c r="X122" s="3318"/>
    </row>
    <row r="123" spans="1:24" s="325" customFormat="1" ht="12.6" customHeight="1">
      <c r="B123" s="325" t="s">
        <v>1244</v>
      </c>
      <c r="G123" s="3217"/>
      <c r="H123" s="3218"/>
      <c r="J123" s="411"/>
      <c r="K123" s="411"/>
      <c r="L123" s="411"/>
      <c r="M123" s="411"/>
      <c r="N123" s="411"/>
      <c r="P123" s="411"/>
      <c r="Q123" s="411"/>
      <c r="S123" s="3217"/>
      <c r="T123" s="3218"/>
      <c r="V123" s="1295"/>
      <c r="W123" s="3317"/>
      <c r="X123" s="3318"/>
    </row>
    <row r="124" spans="1:24" s="325" customFormat="1" ht="12.6" customHeight="1">
      <c r="B124" s="325" t="s">
        <v>1245</v>
      </c>
      <c r="E124" s="969" t="s">
        <v>3566</v>
      </c>
      <c r="F124" s="524">
        <f>IF('Part VI-Revenues &amp; Expenses'!$O$67=0,0,G124/'Part VI-Revenues &amp; Expenses'!$O$67)</f>
        <v>1000</v>
      </c>
      <c r="G124" s="3217">
        <v>76000</v>
      </c>
      <c r="H124" s="3218"/>
      <c r="J124" s="3206"/>
      <c r="K124" s="3207"/>
      <c r="L124" s="1247"/>
      <c r="M124" s="3206"/>
      <c r="N124" s="3207"/>
      <c r="P124" s="3206"/>
      <c r="Q124" s="3207"/>
      <c r="S124" s="3217">
        <v>76000</v>
      </c>
      <c r="T124" s="3218"/>
      <c r="V124" s="1295"/>
      <c r="W124" s="3317"/>
      <c r="X124" s="3318"/>
    </row>
    <row r="125" spans="1:24" s="325" customFormat="1" ht="12.6" customHeight="1" thickBot="1">
      <c r="A125" s="429" t="str">
        <f>IF(AND(G125&gt;0,OR(C125="",C125="&lt;Enter detailed description here; use Comments section if needed&gt;")),"X","")</f>
        <v/>
      </c>
      <c r="B125" s="325" t="s">
        <v>741</v>
      </c>
      <c r="C125" s="3319" t="s">
        <v>3711</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191</v>
      </c>
      <c r="G126" s="3321">
        <f>SUM(G120:H125)</f>
        <v>531046.81000000006</v>
      </c>
      <c r="H126" s="3322"/>
      <c r="J126" s="3321">
        <f>SUM(J124:K125)</f>
        <v>0</v>
      </c>
      <c r="K126" s="3322"/>
      <c r="L126" s="1247"/>
      <c r="M126" s="3321">
        <f>SUM(M124:N125)</f>
        <v>0</v>
      </c>
      <c r="N126" s="3322"/>
      <c r="P126" s="3321">
        <f>SUM(P124:Q125)</f>
        <v>0</v>
      </c>
      <c r="Q126" s="3322"/>
      <c r="S126" s="3321">
        <f>SUM(S120:T125)</f>
        <v>531047</v>
      </c>
      <c r="T126" s="3322"/>
      <c r="V126" s="1297">
        <f>SUM(V120:V125)</f>
        <v>0</v>
      </c>
      <c r="W126" s="3369"/>
      <c r="X126" s="3370"/>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6">
        <v>627708</v>
      </c>
      <c r="H128" s="3207"/>
      <c r="J128" s="3206"/>
      <c r="K128" s="3207"/>
      <c r="L128" s="402"/>
      <c r="M128" s="3206"/>
      <c r="N128" s="3207"/>
      <c r="P128" s="3206">
        <v>400000</v>
      </c>
      <c r="Q128" s="3207"/>
      <c r="S128" s="3206">
        <v>227708</v>
      </c>
      <c r="T128" s="3207"/>
      <c r="V128" s="1295"/>
      <c r="W128" s="3317"/>
      <c r="X128" s="3318"/>
    </row>
    <row r="129" spans="1:24" s="325" customFormat="1" ht="12.6" customHeight="1" thickBot="1">
      <c r="A129" s="429" t="str">
        <f>IF(AND(G129&gt;0,OR(C129="",C129="&lt;Enter detailed description here; use Comments section if needed&gt;")),"X","")</f>
        <v/>
      </c>
      <c r="B129" s="325" t="s">
        <v>741</v>
      </c>
      <c r="C129" s="3319"/>
      <c r="D129" s="3319"/>
      <c r="E129" s="3319"/>
      <c r="F129" s="3320"/>
      <c r="G129" s="3195"/>
      <c r="H129" s="3196"/>
      <c r="J129" s="3195"/>
      <c r="K129" s="3196"/>
      <c r="L129" s="1247"/>
      <c r="M129" s="3195"/>
      <c r="N129" s="3196"/>
      <c r="P129" s="3195"/>
      <c r="Q129" s="3196"/>
      <c r="S129" s="3195"/>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191</v>
      </c>
      <c r="G130" s="3321">
        <f>SUM(G128:H129)</f>
        <v>627708</v>
      </c>
      <c r="H130" s="3322"/>
      <c r="J130" s="3321">
        <f>SUM(J128:K129)</f>
        <v>0</v>
      </c>
      <c r="K130" s="3322"/>
      <c r="L130" s="1247"/>
      <c r="M130" s="3321">
        <f>SUM(M128:N129)</f>
        <v>0</v>
      </c>
      <c r="N130" s="3322"/>
      <c r="P130" s="3321">
        <f>SUM(P128:Q129)</f>
        <v>400000</v>
      </c>
      <c r="Q130" s="3322"/>
      <c r="S130" s="3321">
        <f>SUM(S128:T129)</f>
        <v>227708</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2767</v>
      </c>
      <c r="G132" s="3367">
        <f>G17+G23+G27+G33+G38+G41+G47+G64+G77+G83+G91+G105+G111+G118+G126+G130</f>
        <v>15458102.010000002</v>
      </c>
      <c r="H132" s="3368"/>
      <c r="J132" s="3367">
        <f>J17+J23+J27+J33+J38+J41+J47+J64+J77+J83+J91+J105+J111+J118+J126+J130</f>
        <v>0</v>
      </c>
      <c r="K132" s="3368"/>
      <c r="M132" s="3367">
        <f>M17+M23+M27+M33+M38+M41+M47+M64+M77+M83+M91+M105+M111+M118+M126+M130</f>
        <v>0</v>
      </c>
      <c r="N132" s="3368"/>
      <c r="P132" s="3367">
        <f>P17+P23+P27+P33+P38+P41+P47+P64+P77+P83+P91+P105+P111+P118+P126+P130</f>
        <v>10130887.640000001</v>
      </c>
      <c r="Q132" s="3368"/>
      <c r="S132" s="3367">
        <f>S17+S23+S27+S33+S38+S41+S47+S64+S77+S83+S91+S105+S111+S118+S126+S130</f>
        <v>5309824.6399999997</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2763</v>
      </c>
      <c r="C134" s="569"/>
      <c r="D134" s="3377">
        <f>IF('Part VI-Revenues &amp; Expenses'!$O$67=0,0,G132/'Part VI-Revenues &amp; Expenses'!$O$67)</f>
        <v>203396.0790789474</v>
      </c>
      <c r="E134" s="3377"/>
      <c r="F134" s="570" t="s">
        <v>2762</v>
      </c>
      <c r="G134" s="3378">
        <f>IF('Part I-Project Information'!$P$75=0,0,G132/'Part I-Project Information'!$P$75)</f>
        <v>235.99435147018414</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7" t="s">
        <v>271</v>
      </c>
      <c r="K137" s="3308"/>
      <c r="M137" s="3307" t="s">
        <v>100</v>
      </c>
      <c r="N137" s="3308"/>
      <c r="P137" s="3307" t="s">
        <v>272</v>
      </c>
      <c r="Q137" s="3308"/>
      <c r="V137" s="1298"/>
      <c r="W137" s="487" t="str">
        <f>B137</f>
        <v>TAX CREDIT CALCULATION - BASIS METHOD</v>
      </c>
    </row>
    <row r="138" spans="1:24" s="325" customFormat="1" ht="15" customHeight="1" thickBot="1">
      <c r="B138" s="331" t="s">
        <v>2044</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0">
        <v>0</v>
      </c>
      <c r="K140" s="3381"/>
      <c r="P140" s="3380">
        <v>0</v>
      </c>
      <c r="Q140" s="3381"/>
      <c r="V140" s="1295"/>
      <c r="W140" s="3317"/>
      <c r="X140" s="3318"/>
    </row>
    <row r="141" spans="1:24" s="325" customFormat="1" ht="14.1" customHeight="1">
      <c r="B141" s="1238" t="s">
        <v>2152</v>
      </c>
      <c r="D141" s="1238"/>
      <c r="E141" s="1238"/>
      <c r="F141" s="1238"/>
      <c r="G141" s="1238"/>
      <c r="H141" s="1238"/>
      <c r="I141" s="415"/>
      <c r="J141" s="3382">
        <v>0</v>
      </c>
      <c r="K141" s="3383"/>
      <c r="P141" s="3382">
        <v>0</v>
      </c>
      <c r="Q141" s="3383"/>
      <c r="V141" s="1295"/>
      <c r="W141" s="3317"/>
      <c r="X141" s="3318"/>
    </row>
    <row r="142" spans="1:24" s="325" customFormat="1" ht="14.1" customHeight="1">
      <c r="B142" s="1238" t="s">
        <v>1863</v>
      </c>
      <c r="D142" s="1238"/>
      <c r="E142" s="1238"/>
      <c r="I142" s="415"/>
      <c r="J142" s="3382">
        <v>0</v>
      </c>
      <c r="K142" s="3383"/>
      <c r="P142" s="3382">
        <v>0</v>
      </c>
      <c r="Q142" s="3383"/>
      <c r="V142" s="1295"/>
      <c r="W142" s="3317"/>
      <c r="X142" s="3318"/>
    </row>
    <row r="143" spans="1:24" s="325" customFormat="1" ht="14.1" customHeight="1">
      <c r="B143" s="1238" t="s">
        <v>1864</v>
      </c>
      <c r="D143" s="1238"/>
      <c r="E143" s="1238"/>
      <c r="I143" s="415"/>
      <c r="J143" s="3382">
        <v>0</v>
      </c>
      <c r="K143" s="3383"/>
      <c r="P143" s="3382">
        <v>0</v>
      </c>
      <c r="Q143" s="3383"/>
      <c r="V143" s="1295"/>
      <c r="W143" s="3317"/>
      <c r="X143" s="3318"/>
    </row>
    <row r="144" spans="1:24" s="325" customFormat="1" ht="14.1" customHeight="1">
      <c r="B144" s="1238" t="s">
        <v>254</v>
      </c>
      <c r="D144" s="1238"/>
      <c r="E144" s="1238"/>
      <c r="I144" s="415"/>
      <c r="J144" s="3382">
        <v>0</v>
      </c>
      <c r="K144" s="3383"/>
      <c r="P144" s="3382">
        <v>0</v>
      </c>
      <c r="Q144" s="3383"/>
      <c r="V144" s="1295"/>
      <c r="W144" s="3317"/>
      <c r="X144" s="3318"/>
    </row>
    <row r="145" spans="1:24" s="325" customFormat="1" ht="14.1" customHeight="1" thickBot="1">
      <c r="B145" s="1238" t="s">
        <v>1601</v>
      </c>
      <c r="C145" s="3384"/>
      <c r="D145" s="3384"/>
      <c r="E145" s="3384"/>
      <c r="F145" s="3384"/>
      <c r="G145" s="3384"/>
      <c r="H145" s="3384"/>
      <c r="I145" s="3385"/>
      <c r="J145" s="3365">
        <v>0</v>
      </c>
      <c r="K145" s="3366"/>
      <c r="P145" s="3365">
        <v>0</v>
      </c>
      <c r="Q145" s="3366"/>
      <c r="V145" s="1295"/>
      <c r="W145" s="3356"/>
      <c r="X145" s="3357"/>
    </row>
    <row r="146" spans="1:24" s="325" customFormat="1" ht="14.1" customHeight="1" thickBot="1">
      <c r="B146" s="337" t="s">
        <v>1865</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2">
        <f>J132</f>
        <v>0</v>
      </c>
      <c r="K149" s="3373"/>
      <c r="M149" s="3374">
        <f>M132</f>
        <v>0</v>
      </c>
      <c r="N149" s="3375"/>
      <c r="P149" s="3372">
        <f>P132</f>
        <v>10130887.640000001</v>
      </c>
      <c r="Q149" s="3373"/>
      <c r="R149" s="3435" t="s">
        <v>4733</v>
      </c>
      <c r="S149" s="3436"/>
      <c r="T149" s="3436"/>
      <c r="V149" s="1295"/>
      <c r="W149" s="3317"/>
      <c r="X149" s="3318"/>
    </row>
    <row r="150" spans="1:24" s="325" customFormat="1" ht="14.1" customHeight="1">
      <c r="B150" s="325" t="s">
        <v>2220</v>
      </c>
      <c r="J150" s="3386">
        <f>J146</f>
        <v>0</v>
      </c>
      <c r="K150" s="3387"/>
      <c r="M150" s="3388"/>
      <c r="N150" s="3388"/>
      <c r="P150" s="3386">
        <f>P146</f>
        <v>0</v>
      </c>
      <c r="Q150" s="3387"/>
      <c r="R150" s="3435"/>
      <c r="S150" s="3436"/>
      <c r="T150" s="3436"/>
      <c r="U150" s="2401"/>
      <c r="V150" s="1295"/>
      <c r="W150" s="3317"/>
      <c r="X150" s="3318"/>
    </row>
    <row r="151" spans="1:24" s="325" customFormat="1" ht="14.1" customHeight="1">
      <c r="B151" s="325" t="s">
        <v>2221</v>
      </c>
      <c r="J151" s="3386">
        <f>J149-J150</f>
        <v>0</v>
      </c>
      <c r="K151" s="3387"/>
      <c r="M151" s="3386">
        <f>M149</f>
        <v>0</v>
      </c>
      <c r="N151" s="3387"/>
      <c r="P151" s="3386">
        <f>P149-P150</f>
        <v>10130887.640000001</v>
      </c>
      <c r="Q151" s="3387"/>
      <c r="R151" s="3435"/>
      <c r="S151" s="3436"/>
      <c r="T151" s="3436"/>
      <c r="U151" s="2401"/>
      <c r="V151" s="1295"/>
      <c r="W151" s="3317"/>
      <c r="X151" s="3318"/>
    </row>
    <row r="152" spans="1:24" s="325" customFormat="1" ht="14.1" customHeight="1">
      <c r="B152" s="325" t="s">
        <v>1485</v>
      </c>
      <c r="G152" s="1231" t="s">
        <v>1714</v>
      </c>
      <c r="H152" s="2937" t="s">
        <v>5287</v>
      </c>
      <c r="I152" s="2938"/>
      <c r="J152" s="3389">
        <v>1.3</v>
      </c>
      <c r="K152" s="3390"/>
      <c r="M152" s="3391"/>
      <c r="N152" s="3391"/>
      <c r="P152" s="3389">
        <v>1.3</v>
      </c>
      <c r="Q152" s="3390"/>
      <c r="R152" s="3437" t="s">
        <v>3700</v>
      </c>
      <c r="S152" s="3438"/>
      <c r="T152" s="3439"/>
      <c r="U152" s="2402"/>
      <c r="V152" s="1295"/>
      <c r="W152" s="3317"/>
      <c r="X152" s="3318"/>
    </row>
    <row r="153" spans="1:24" s="325" customFormat="1" ht="14.1" customHeight="1">
      <c r="B153" s="325" t="s">
        <v>2054</v>
      </c>
      <c r="J153" s="3386">
        <f>J151*J152</f>
        <v>0</v>
      </c>
      <c r="K153" s="3387"/>
      <c r="M153" s="3386">
        <f>+M151</f>
        <v>0</v>
      </c>
      <c r="N153" s="3387"/>
      <c r="P153" s="3386">
        <f>P151*P152</f>
        <v>13170153.932000002</v>
      </c>
      <c r="Q153" s="3387"/>
      <c r="R153" s="3440"/>
      <c r="S153" s="3441"/>
      <c r="T153" s="3442"/>
      <c r="U153" s="2402"/>
      <c r="V153" s="1295"/>
      <c r="W153" s="3317"/>
      <c r="X153" s="3318"/>
    </row>
    <row r="154" spans="1:24" s="325" customFormat="1" ht="14.1" customHeight="1">
      <c r="B154" s="325" t="s">
        <v>2540</v>
      </c>
      <c r="J154" s="3392">
        <f>MIN('Part VI-Revenues &amp; Expenses'!$O$63/'Part VI-Revenues &amp; Expenses'!$O$65,'Part VI-Revenues &amp; Expenses'!$O$152/'Part VI-Revenues &amp; Expenses'!$O$154)</f>
        <v>1</v>
      </c>
      <c r="K154" s="3393"/>
      <c r="M154" s="3392">
        <f>MIN('Part VI-Revenues &amp; Expenses'!$O$63/'Part VI-Revenues &amp; Expenses'!$O$65,'Part VI-Revenues &amp; Expenses'!$O$152/'Part VI-Revenues &amp; Expenses'!$O$154)</f>
        <v>1</v>
      </c>
      <c r="N154" s="3393"/>
      <c r="P154" s="3392">
        <f>MIN('Part VI-Revenues &amp; Expenses'!$O$63/'Part VI-Revenues &amp; Expenses'!$O$65,'Part VI-Revenues &amp; Expenses'!$O$152/'Part VI-Revenues &amp; Expenses'!$O$154)</f>
        <v>1</v>
      </c>
      <c r="Q154" s="3393"/>
      <c r="R154" s="3443"/>
      <c r="S154" s="3444"/>
      <c r="T154" s="3445"/>
      <c r="V154" s="1295"/>
      <c r="W154" s="3317"/>
      <c r="X154" s="3318"/>
    </row>
    <row r="155" spans="1:24" s="325" customFormat="1" ht="14.1" customHeight="1">
      <c r="B155" s="325" t="s">
        <v>2045</v>
      </c>
      <c r="J155" s="3386">
        <f>J153*J154</f>
        <v>0</v>
      </c>
      <c r="K155" s="3387"/>
      <c r="M155" s="3386">
        <f>M153*M154</f>
        <v>0</v>
      </c>
      <c r="N155" s="3387"/>
      <c r="P155" s="3386">
        <f>P153*P154</f>
        <v>13170153.932000002</v>
      </c>
      <c r="Q155" s="3387"/>
      <c r="V155" s="1295"/>
      <c r="W155" s="3317"/>
      <c r="X155" s="3318"/>
    </row>
    <row r="156" spans="1:24" s="325" customFormat="1" ht="14.1" customHeight="1">
      <c r="B156" s="325" t="s">
        <v>2046</v>
      </c>
      <c r="J156" s="3389">
        <v>1</v>
      </c>
      <c r="K156" s="3390"/>
      <c r="M156" s="3389">
        <v>1</v>
      </c>
      <c r="N156" s="3390"/>
      <c r="P156" s="3389">
        <v>1</v>
      </c>
      <c r="Q156" s="3390"/>
      <c r="V156" s="1295"/>
      <c r="W156" s="3317"/>
      <c r="X156" s="3318"/>
    </row>
    <row r="157" spans="1:24" s="325" customFormat="1" ht="14.1" customHeight="1" thickBot="1">
      <c r="B157" s="325" t="s">
        <v>2541</v>
      </c>
      <c r="J157" s="3394">
        <f>J155*J156</f>
        <v>0</v>
      </c>
      <c r="K157" s="3395"/>
      <c r="M157" s="3394">
        <f>M155*M156</f>
        <v>0</v>
      </c>
      <c r="N157" s="3395"/>
      <c r="P157" s="3394">
        <f>P155*P156</f>
        <v>13170153.932000002</v>
      </c>
      <c r="Q157" s="3395"/>
      <c r="V157" s="1302"/>
      <c r="W157" s="3356"/>
      <c r="X157" s="3357"/>
    </row>
    <row r="158" spans="1:24" s="325" customFormat="1" ht="14.1" customHeight="1" thickBot="1">
      <c r="B158" s="327" t="s">
        <v>1424</v>
      </c>
      <c r="J158" s="3284">
        <f>ROUNDDOWN(J157+M157+P157,0)</f>
        <v>13170153</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427" t="str">
        <f>IF(J163&gt;J162,"TDC exceeds QAP PUCL!","")</f>
        <v/>
      </c>
      <c r="H162" s="3427"/>
      <c r="I162" s="3428"/>
      <c r="J162" s="3423">
        <f>'Part VIII-Threshold Criteria'!$P$63</f>
        <v>16229310</v>
      </c>
      <c r="K162" s="3424"/>
      <c r="L162" s="3425"/>
      <c r="M162" s="3404" t="s">
        <v>2745</v>
      </c>
      <c r="N162" s="3429"/>
      <c r="O162" s="3429"/>
      <c r="P162" s="3429"/>
      <c r="Q162" s="3429"/>
      <c r="R162" s="3405"/>
      <c r="S162" s="3404" t="s">
        <v>3674</v>
      </c>
      <c r="T162" s="3405"/>
      <c r="V162" s="1295"/>
      <c r="W162" s="3317"/>
      <c r="X162" s="3318"/>
    </row>
    <row r="163" spans="1:24" s="325" customFormat="1" ht="14.1" customHeight="1">
      <c r="B163" s="325" t="s">
        <v>2747</v>
      </c>
      <c r="J163" s="3408">
        <f>MIN(G132,J162,(G132-O165))</f>
        <v>15458102.010000002</v>
      </c>
      <c r="K163" s="3409"/>
      <c r="L163" s="3410"/>
      <c r="M163" s="3406"/>
      <c r="N163" s="3430"/>
      <c r="O163" s="3430"/>
      <c r="P163" s="3430"/>
      <c r="Q163" s="3430"/>
      <c r="R163" s="3407"/>
      <c r="S163" s="3406"/>
      <c r="T163" s="3407"/>
      <c r="V163" s="1295"/>
      <c r="W163" s="3317"/>
      <c r="X163" s="3318"/>
    </row>
    <row r="164" spans="1:24" s="325" customFormat="1" ht="14.1" customHeight="1">
      <c r="B164" s="325" t="s">
        <v>263</v>
      </c>
      <c r="J164" s="3386">
        <f>'Part III-Sources of Funds'!$I$58-'Part III-Sources of Funds'!$I$42-'Part III-Sources of Funds'!$I$43-'Part III-Sources of Funds'!$I$49-'Part III-Sources of Funds'!$I$50</f>
        <v>8640000</v>
      </c>
      <c r="K164" s="3388"/>
      <c r="L164" s="3411"/>
      <c r="M164" s="3406"/>
      <c r="N164" s="3430"/>
      <c r="O164" s="3430"/>
      <c r="P164" s="3430"/>
      <c r="Q164" s="3430"/>
      <c r="R164" s="3407"/>
      <c r="S164" s="3406"/>
      <c r="T164" s="3407"/>
      <c r="V164" s="1295"/>
      <c r="W164" s="3317"/>
      <c r="X164" s="3318"/>
    </row>
    <row r="165" spans="1:24" s="325" customFormat="1" ht="14.1" customHeight="1" thickBot="1">
      <c r="B165" s="325" t="s">
        <v>2232</v>
      </c>
      <c r="J165" s="3386">
        <f>+J163-J164</f>
        <v>6818102.0100000016</v>
      </c>
      <c r="K165" s="3388"/>
      <c r="L165" s="3411"/>
      <c r="M165" s="3412" t="s">
        <v>2746</v>
      </c>
      <c r="N165" s="3413"/>
      <c r="O165" s="3414">
        <f>'Part III-Sources of Funds'!$I$42</f>
        <v>0</v>
      </c>
      <c r="P165" s="3414"/>
      <c r="Q165" s="3414"/>
      <c r="R165" s="3415"/>
      <c r="S165" s="468" t="s">
        <v>1662</v>
      </c>
      <c r="T165" s="469" t="s">
        <v>2992</v>
      </c>
      <c r="V165" s="1295"/>
      <c r="W165" s="3317"/>
      <c r="X165" s="3318"/>
    </row>
    <row r="166" spans="1:24" s="325" customFormat="1" ht="14.1" customHeight="1">
      <c r="B166" s="325" t="s">
        <v>1286</v>
      </c>
      <c r="J166" s="3416" t="str">
        <f>"/ 10"</f>
        <v>/ 10</v>
      </c>
      <c r="K166" s="3416"/>
      <c r="L166" s="3416"/>
      <c r="M166" s="1238"/>
      <c r="N166" s="537"/>
      <c r="O166" s="537"/>
      <c r="P166" s="537"/>
      <c r="Q166" s="537"/>
      <c r="R166" s="537"/>
      <c r="V166" s="1298"/>
      <c r="W166" s="3317"/>
      <c r="X166" s="3318"/>
    </row>
    <row r="167" spans="1:24" s="325" customFormat="1" ht="14.1" customHeight="1">
      <c r="B167" s="325" t="s">
        <v>1287</v>
      </c>
      <c r="J167" s="3386">
        <f>J165/10</f>
        <v>681810.20100000012</v>
      </c>
      <c r="K167" s="3388"/>
      <c r="L167" s="3387"/>
      <c r="M167" s="346"/>
      <c r="N167" s="2920" t="s">
        <v>1288</v>
      </c>
      <c r="O167" s="2920"/>
      <c r="Q167" s="2920" t="s">
        <v>1799</v>
      </c>
      <c r="R167" s="2920"/>
      <c r="V167" s="1295"/>
      <c r="W167" s="3317"/>
      <c r="X167" s="3318"/>
    </row>
    <row r="168" spans="1:24" s="325" customFormat="1" ht="14.1" customHeight="1" thickBot="1">
      <c r="B168" s="325" t="s">
        <v>1484</v>
      </c>
      <c r="J168" s="3396">
        <f>N168+Q168</f>
        <v>1.33</v>
      </c>
      <c r="K168" s="3397"/>
      <c r="L168" s="3398"/>
      <c r="M168" s="1231" t="s">
        <v>1289</v>
      </c>
      <c r="N168" s="3399">
        <v>0.78</v>
      </c>
      <c r="O168" s="3400"/>
      <c r="P168" s="1231" t="s">
        <v>612</v>
      </c>
      <c r="Q168" s="3399">
        <v>0.55000000000000004</v>
      </c>
      <c r="R168" s="3400"/>
      <c r="V168" s="1295"/>
      <c r="W168" s="3317"/>
      <c r="X168" s="3318"/>
    </row>
    <row r="169" spans="1:24" s="325" customFormat="1" ht="14.1" customHeight="1" thickBot="1">
      <c r="B169" s="327" t="s">
        <v>1425</v>
      </c>
      <c r="J169" s="3284">
        <f>ROUNDDOWN(IF(J168=0,"",J167/J168),0)</f>
        <v>512639</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2900</v>
      </c>
      <c r="J171" s="34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512639</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7">
        <v>512639</v>
      </c>
      <c r="K173" s="3418"/>
      <c r="L173" s="3419"/>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2619</v>
      </c>
      <c r="D175" s="346"/>
      <c r="E175" s="346"/>
      <c r="F175" s="330"/>
      <c r="J175" s="3420">
        <f>IF(J173="",0,+MIN(J171,J173))</f>
        <v>512639</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1794</v>
      </c>
      <c r="B178" s="356" t="s">
        <v>572</v>
      </c>
      <c r="N178" s="327" t="s">
        <v>530</v>
      </c>
      <c r="O178" s="327" t="s">
        <v>79</v>
      </c>
    </row>
    <row r="179" spans="1:24" ht="352.5" customHeight="1">
      <c r="A179" s="3287" t="s">
        <v>3734</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2692</v>
      </c>
      <c r="X179" s="327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6" t="str">
        <f>CONCATENATE("PART FOUR (b) -  OTHER COSTS","  -  ",'Part I-Project Information'!$O$6," - ",'Part I-Project Information'!$F$34,"  -  ",'Part I-Project Information'!$F$38,"  -  ",'Part I-Project Information'!$J$39,",  ","County")</f>
        <v>PART FOUR (b) -  OTHER COSTS  -  2019-5 - Enclave at Milledgeville  -  Milledgeville  -  Baldwin,  County</v>
      </c>
      <c r="B1" s="3447"/>
      <c r="C1" s="3447"/>
      <c r="D1" s="3447"/>
      <c r="E1" s="3447"/>
      <c r="F1" s="3447"/>
      <c r="G1" s="3447"/>
      <c r="H1" s="3447"/>
      <c r="I1" s="1086"/>
      <c r="J1" s="1086"/>
      <c r="K1" s="1086"/>
      <c r="L1" s="1086"/>
      <c r="M1" s="1086"/>
      <c r="N1" s="1086"/>
    </row>
    <row r="2" spans="1:14" ht="9" customHeight="1"/>
    <row r="3" spans="1:14" ht="57" customHeight="1">
      <c r="A3" s="3448" t="s">
        <v>3713</v>
      </c>
      <c r="B3" s="3449"/>
      <c r="C3" s="3449"/>
      <c r="D3" s="3449"/>
      <c r="E3" s="3449"/>
      <c r="F3" s="3449"/>
      <c r="G3" s="3449"/>
      <c r="H3" s="3450"/>
    </row>
    <row r="4" spans="1:14" ht="6" customHeight="1"/>
    <row r="5" spans="1:14" ht="38.25" customHeight="1">
      <c r="A5" s="3451" t="s">
        <v>3832</v>
      </c>
      <c r="B5" s="3451"/>
      <c r="C5" s="3451"/>
      <c r="D5" s="3451"/>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2" t="str">
        <f>'Part IV-A-Uses of Funds'!$C$14</f>
        <v>PNA/Energy Audit/EarthCraft/Sewer Inspections</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3707</v>
      </c>
      <c r="B12" s="1098">
        <f>'Part IV-A-Uses of Funds'!$G$14</f>
        <v>62380</v>
      </c>
      <c r="C12" s="1099" t="s">
        <v>1790</v>
      </c>
      <c r="D12" s="1098">
        <f>'Part IV-A-Uses of Funds'!$J$14+'Part IV-A-Uses of Funds'!$M$14+'Part IV-A-Uses of Funds'!$P$14</f>
        <v>62380</v>
      </c>
      <c r="F12" s="3459"/>
      <c r="G12" s="1090"/>
      <c r="H12" s="3459"/>
    </row>
    <row r="13" spans="1:14" s="1089" customFormat="1" ht="6" customHeight="1">
      <c r="A13" s="1090"/>
      <c r="B13" s="1091"/>
      <c r="C13" s="1090"/>
      <c r="D13" s="1090"/>
      <c r="F13" s="3459"/>
      <c r="G13" s="1092"/>
      <c r="H13" s="3459"/>
    </row>
    <row r="14" spans="1:14" s="1089" customFormat="1" ht="41.25" customHeight="1">
      <c r="A14" s="3452">
        <f>'Part IV-A-Uses of Funds'!$C$15</f>
        <v>0</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3707</v>
      </c>
      <c r="B17" s="1098">
        <f>'Part IV-A-Uses of Funds'!$G$15</f>
        <v>0</v>
      </c>
      <c r="C17" s="1099" t="s">
        <v>1790</v>
      </c>
      <c r="D17" s="1098">
        <f>'Part IV-A-Uses of Funds'!$J$15+'Part IV-A-Uses of Funds'!$M$15+'Part IV-A-Uses of Funds'!$P$15</f>
        <v>0</v>
      </c>
      <c r="F17" s="3459"/>
      <c r="G17" s="1090"/>
      <c r="H17" s="3459"/>
    </row>
    <row r="18" spans="1:8" s="1089" customFormat="1" ht="6" customHeight="1">
      <c r="A18" s="1090"/>
      <c r="B18" s="1091"/>
      <c r="C18" s="1090"/>
      <c r="D18" s="1090"/>
      <c r="F18" s="3459"/>
      <c r="G18" s="1092"/>
      <c r="H18" s="3459"/>
    </row>
    <row r="19" spans="1:8" s="1089" customFormat="1" ht="41.25" customHeight="1">
      <c r="A19" s="3452">
        <f>'Part IV-A-Uses of Funds'!$C$16</f>
        <v>0</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3707</v>
      </c>
      <c r="B22" s="1098">
        <f>'Part IV-A-Uses of Funds'!$G$16</f>
        <v>0</v>
      </c>
      <c r="C22" s="1099" t="s">
        <v>1790</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3706</v>
      </c>
      <c r="B24" s="1090"/>
      <c r="C24" s="1090"/>
      <c r="D24" s="1090"/>
      <c r="E24" s="1090"/>
      <c r="F24" s="1090"/>
      <c r="G24" s="1090"/>
    </row>
    <row r="25" spans="1:8" s="1089" customFormat="1" ht="41.25" customHeight="1">
      <c r="A25" s="3452" t="str">
        <f>'Part IV-A-Uses of Funds'!$C$41</f>
        <v>&lt;&lt; Enter description here; provide detail &amp; justification in tab Part IV-b &gt;&gt;</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25.5">
      <c r="A28" s="1099" t="s">
        <v>3707</v>
      </c>
      <c r="B28" s="1098">
        <f>'Part IV-A-Uses of Funds'!$G$41</f>
        <v>0</v>
      </c>
      <c r="C28" s="1099" t="s">
        <v>1790</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722</v>
      </c>
      <c r="B30" s="1090"/>
      <c r="C30" s="1090"/>
      <c r="D30" s="1090"/>
      <c r="E30" s="1090"/>
      <c r="F30" s="1090"/>
      <c r="G30" s="1090"/>
    </row>
    <row r="31" spans="1:8" s="1089" customFormat="1" ht="41.25" customHeight="1">
      <c r="A31" s="3464" t="str">
        <f>'Part IV-A-Uses of Funds'!$C$62</f>
        <v>Lender Due Diligence Fee</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3707</v>
      </c>
      <c r="B34" s="1098">
        <f>'Part IV-A-Uses of Funds'!$G$62</f>
        <v>0</v>
      </c>
      <c r="C34" s="1099" t="s">
        <v>1790</v>
      </c>
      <c r="D34" s="1098">
        <f>'Part IV-A-Uses of Funds'!$J$62+'Part IV-A-Uses of Funds'!$M$62+'Part IV-A-Uses of Funds'!$P$62</f>
        <v>0</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&lt;&lt; Enter description here; provide detail &amp; justification in tab Part IV-b &gt;&gt;</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3707</v>
      </c>
      <c r="B39" s="1098">
        <f>'Part IV-A-Uses of Funds'!$G$63</f>
        <v>0</v>
      </c>
      <c r="C39" s="1099" t="s">
        <v>1790</v>
      </c>
      <c r="D39" s="1098">
        <f>'Part IV-A-Uses of Funds'!$J$63+'Part IV-A-Uses of Funds'!$M$63+'Part IV-A-Uses of Funds'!$P$63</f>
        <v>0</v>
      </c>
      <c r="E39" s="1090"/>
      <c r="F39" s="3459"/>
      <c r="G39" s="1090"/>
      <c r="H39" s="3459"/>
    </row>
    <row r="40" spans="1:8" s="1089" customFormat="1" ht="6" customHeight="1">
      <c r="D40" s="1090"/>
      <c r="E40" s="1090"/>
      <c r="F40" s="3460"/>
      <c r="G40" s="1092"/>
      <c r="H40" s="3460"/>
    </row>
    <row r="41" spans="1:8" s="1089" customFormat="1">
      <c r="A41" s="1100" t="s">
        <v>476</v>
      </c>
      <c r="B41" s="1090"/>
      <c r="C41" s="1090"/>
      <c r="D41" s="1090"/>
      <c r="E41" s="1094"/>
      <c r="F41" s="1094"/>
      <c r="G41" s="1090"/>
    </row>
    <row r="42" spans="1:8" s="1089" customFormat="1" ht="41.25" customHeight="1">
      <c r="A42" s="3464" t="str">
        <f>'Part IV-A-Uses of Funds'!$C$76</f>
        <v>&lt;&lt; Enter description here; provide detail &amp; justification in tab Part IV-b &gt;&gt;</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3707</v>
      </c>
      <c r="B45" s="1098">
        <f>'Part IV-A-Uses of Funds'!$G$76</f>
        <v>0</v>
      </c>
      <c r="C45" s="1099" t="s">
        <v>1790</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724</v>
      </c>
      <c r="B47" s="1090"/>
      <c r="C47" s="1090"/>
      <c r="D47" s="1090"/>
      <c r="E47" s="1090"/>
      <c r="F47" s="1090"/>
      <c r="G47" s="1090"/>
    </row>
    <row r="48" spans="1:8" s="1089" customFormat="1" ht="41.25" customHeight="1">
      <c r="A48" s="3464" t="str">
        <f>'Part IV-A-Uses of Funds'!$C$90</f>
        <v>Lender Due Diligence Fee/Perm Loan app Fee 0.10%/Standby Fee 0.10%</v>
      </c>
      <c r="B48" s="3465"/>
      <c r="C48" s="3465"/>
      <c r="D48" s="3466"/>
      <c r="F48" s="3461"/>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3707</v>
      </c>
      <c r="B51" s="1098">
        <f>'Part IV-A-Uses of Funds'!$G$90</f>
        <v>42280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3708</v>
      </c>
      <c r="B53" s="1090"/>
      <c r="C53" s="1090"/>
      <c r="D53" s="1090"/>
      <c r="E53" s="1090"/>
      <c r="F53" s="1090"/>
      <c r="G53" s="1090"/>
    </row>
    <row r="54" spans="1:7" s="1089" customFormat="1" ht="41.25" customHeight="1">
      <c r="A54" s="3464" t="str">
        <f>'Part IV-A-Uses of Funds'!$C$103</f>
        <v>&lt;&lt; Enter description here; provide detail &amp; justification in tab Part IV-b &gt;&gt;</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25.5">
      <c r="A57" s="1099" t="s">
        <v>3707</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t="str">
        <f>'Part IV-A-Uses of Funds'!$C$104</f>
        <v>&lt;&lt; Enter description here; provide detail &amp; justification in tab Part IV-b &gt;&gt;</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25.5">
      <c r="A62" s="1099" t="s">
        <v>3707</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3709</v>
      </c>
      <c r="B64" s="1090"/>
      <c r="C64" s="1090"/>
      <c r="D64" s="1090"/>
      <c r="E64" s="1090"/>
      <c r="F64" s="1090"/>
      <c r="G64" s="1090"/>
    </row>
    <row r="65" spans="1:8" s="1089" customFormat="1" ht="41.25" customHeight="1">
      <c r="A65" s="3464">
        <f>'Part IV-A-Uses of Funds'!$C$110</f>
        <v>0</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25.5">
      <c r="A68" s="1099" t="s">
        <v>3707</v>
      </c>
      <c r="B68" s="1098">
        <f>'Part IV-A-Uses of Funds'!$G$110</f>
        <v>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1309</v>
      </c>
      <c r="B70" s="1090"/>
      <c r="C70" s="1090"/>
      <c r="D70" s="1090"/>
      <c r="E70" s="1090"/>
      <c r="F70" s="1090"/>
      <c r="G70" s="1090"/>
    </row>
    <row r="71" spans="1:8" s="1089" customFormat="1" ht="41.25" customHeight="1">
      <c r="A71" s="3464" t="str">
        <f>'Part IV-A-Uses of Funds'!$C$125</f>
        <v>&lt;&lt; Enter description here; provide detail &amp; justification in tab Part IV-b &gt;&gt;</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3707</v>
      </c>
      <c r="B74" s="1098">
        <f>'Part IV-A-Uses of Funds'!$G$125</f>
        <v>0</v>
      </c>
      <c r="C74" s="1099" t="s">
        <v>1790</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3710</v>
      </c>
      <c r="B76" s="1091"/>
      <c r="C76" s="1090"/>
      <c r="D76" s="1090"/>
      <c r="E76" s="1090"/>
      <c r="F76" s="1090"/>
      <c r="G76" s="1092"/>
    </row>
    <row r="77" spans="1:8" s="1089" customFormat="1" ht="41.25" customHeight="1">
      <c r="A77" s="3464">
        <f>'Part IV-A-Uses of Funds'!$C$129</f>
        <v>0</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3707</v>
      </c>
      <c r="B80" s="1098">
        <f>'Part IV-A-Uses of Funds'!$G$129</f>
        <v>0</v>
      </c>
      <c r="C80" s="1099" t="s">
        <v>1790</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L14" sqref="L1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2019-5 Enclave at Milledgeville, Milledgeville, Baldwin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4612</v>
      </c>
      <c r="I3" s="1260" t="str">
        <f>VLOOKUP('Part I-Project Information'!$J$39,'DCA Underwriting Assumptions'!$G$158:$H$317,2)</f>
        <v>South</v>
      </c>
    </row>
    <row r="4" spans="1:20" s="8" customFormat="1" ht="6" customHeight="1"/>
    <row r="5" spans="1:20">
      <c r="A5" s="279" t="s">
        <v>3806</v>
      </c>
    </row>
    <row r="6" spans="1:20" ht="6" customHeight="1">
      <c r="A6" s="8"/>
    </row>
    <row r="7" spans="1:20" s="8" customFormat="1">
      <c r="A7" s="13" t="s">
        <v>616</v>
      </c>
      <c r="B7" s="13" t="s">
        <v>2227</v>
      </c>
      <c r="F7" s="1" t="s">
        <v>2518</v>
      </c>
      <c r="G7" s="1"/>
      <c r="H7" s="1"/>
      <c r="I7" s="3472" t="s">
        <v>5292</v>
      </c>
      <c r="J7" s="3473"/>
      <c r="K7" s="3473"/>
      <c r="L7" s="3473"/>
      <c r="M7" s="3474"/>
    </row>
    <row r="8" spans="1:20" s="8" customFormat="1" ht="13.35" customHeight="1">
      <c r="A8" s="13"/>
      <c r="F8" s="1" t="s">
        <v>636</v>
      </c>
      <c r="G8" s="1"/>
      <c r="H8" s="33"/>
      <c r="I8" s="3475">
        <v>43891</v>
      </c>
      <c r="J8" s="3476"/>
      <c r="K8" s="6" t="s">
        <v>540</v>
      </c>
      <c r="L8" s="3477" t="s">
        <v>5312</v>
      </c>
      <c r="M8" s="3478"/>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2" t="s">
        <v>1369</v>
      </c>
      <c r="E12" s="3493"/>
      <c r="F12" s="280" t="s">
        <v>441</v>
      </c>
      <c r="G12" s="280"/>
      <c r="H12" s="1195"/>
      <c r="I12" s="2684"/>
      <c r="J12" s="2684">
        <v>52</v>
      </c>
      <c r="K12" s="2684">
        <v>84</v>
      </c>
      <c r="L12" s="2684">
        <v>105</v>
      </c>
      <c r="M12" s="2684"/>
      <c r="O12" s="3482" t="s">
        <v>3831</v>
      </c>
      <c r="P12" s="3482"/>
    </row>
    <row r="13" spans="1:20" s="8" customFormat="1" ht="12" customHeight="1">
      <c r="B13" s="2691" t="s">
        <v>1597</v>
      </c>
      <c r="C13" s="2692"/>
      <c r="D13" s="3483" t="s">
        <v>1369</v>
      </c>
      <c r="E13" s="3484"/>
      <c r="F13" s="281" t="s">
        <v>441</v>
      </c>
      <c r="G13" s="281"/>
      <c r="H13" s="1194"/>
      <c r="I13" s="2685"/>
      <c r="J13" s="2685"/>
      <c r="K13" s="2685"/>
      <c r="L13" s="2686"/>
      <c r="M13" s="2686"/>
      <c r="O13" s="3482"/>
      <c r="P13" s="3482"/>
    </row>
    <row r="14" spans="1:20" s="8" customFormat="1" ht="12" customHeight="1">
      <c r="B14" s="2693" t="s">
        <v>1598</v>
      </c>
      <c r="C14" s="2694"/>
      <c r="D14" s="3483" t="s">
        <v>1369</v>
      </c>
      <c r="E14" s="3484"/>
      <c r="F14" s="281" t="s">
        <v>441</v>
      </c>
      <c r="G14" s="281"/>
      <c r="H14" s="276"/>
      <c r="I14" s="2685"/>
      <c r="J14" s="2685"/>
      <c r="K14" s="2685"/>
      <c r="L14" s="2686"/>
      <c r="M14" s="2686"/>
      <c r="O14" s="3482"/>
      <c r="P14" s="3482"/>
    </row>
    <row r="15" spans="1:20" s="8" customFormat="1" ht="12" customHeight="1">
      <c r="B15" s="2695" t="s">
        <v>467</v>
      </c>
      <c r="C15" s="2696"/>
      <c r="D15" s="2695" t="s">
        <v>1596</v>
      </c>
      <c r="E15" s="277"/>
      <c r="F15" s="281" t="s">
        <v>441</v>
      </c>
      <c r="G15" s="281"/>
      <c r="H15" s="1193"/>
      <c r="I15" s="2685"/>
      <c r="J15" s="2685"/>
      <c r="K15" s="2685"/>
      <c r="L15" s="2686"/>
      <c r="M15" s="2686"/>
      <c r="O15" s="3482"/>
      <c r="P15" s="3482"/>
    </row>
    <row r="16" spans="1:20" s="8" customFormat="1" ht="12" customHeight="1">
      <c r="B16" s="2697" t="s">
        <v>3803</v>
      </c>
      <c r="C16" s="2692"/>
      <c r="D16" s="2691" t="s">
        <v>1596</v>
      </c>
      <c r="E16" s="1192"/>
      <c r="F16" s="281" t="s">
        <v>441</v>
      </c>
      <c r="G16" s="281"/>
      <c r="H16" s="1194"/>
      <c r="I16" s="2685"/>
      <c r="J16" s="2685"/>
      <c r="K16" s="2685"/>
      <c r="L16" s="2686"/>
      <c r="M16" s="2686"/>
      <c r="O16" s="3482"/>
      <c r="P16" s="3482"/>
    </row>
    <row r="17" spans="1:19" s="8" customFormat="1" ht="12" customHeight="1">
      <c r="B17" s="2697" t="s">
        <v>3804</v>
      </c>
      <c r="C17" s="2692"/>
      <c r="D17" s="2691" t="s">
        <v>1596</v>
      </c>
      <c r="E17" s="1192"/>
      <c r="F17" s="281" t="s">
        <v>441</v>
      </c>
      <c r="G17" s="281"/>
      <c r="H17" s="1194"/>
      <c r="I17" s="2685"/>
      <c r="J17" s="2685"/>
      <c r="K17" s="2685"/>
      <c r="L17" s="2686"/>
      <c r="M17" s="2686"/>
      <c r="O17" s="3482"/>
      <c r="P17" s="3482"/>
    </row>
    <row r="18" spans="1:19" s="8" customFormat="1" ht="12" customHeight="1">
      <c r="B18" s="2698" t="s">
        <v>3805</v>
      </c>
      <c r="C18" s="2694"/>
      <c r="D18" s="2693" t="s">
        <v>1596</v>
      </c>
      <c r="E18" s="1192"/>
      <c r="F18" s="281" t="s">
        <v>441</v>
      </c>
      <c r="G18" s="281"/>
      <c r="H18" s="276"/>
      <c r="I18" s="2685"/>
      <c r="J18" s="2685"/>
      <c r="K18" s="2685"/>
      <c r="L18" s="2686"/>
      <c r="M18" s="2686"/>
      <c r="O18" s="3482"/>
      <c r="P18" s="3482"/>
    </row>
    <row r="19" spans="1:19" s="8" customFormat="1" ht="12" customHeight="1">
      <c r="B19" s="2695" t="s">
        <v>1370</v>
      </c>
      <c r="C19" s="2696"/>
      <c r="D19" s="2701" t="s">
        <v>3468</v>
      </c>
      <c r="E19" s="2683" t="s">
        <v>2989</v>
      </c>
      <c r="F19" s="281" t="s">
        <v>441</v>
      </c>
      <c r="G19" s="281"/>
      <c r="H19" s="1193"/>
      <c r="I19" s="2685"/>
      <c r="J19" s="2685"/>
      <c r="K19" s="2685"/>
      <c r="L19" s="2686"/>
      <c r="M19" s="2686"/>
      <c r="O19" s="3482"/>
      <c r="P19" s="3482"/>
    </row>
    <row r="20" spans="1:19" s="8" customFormat="1" ht="12" customHeight="1">
      <c r="B20" s="2699" t="s">
        <v>1851</v>
      </c>
      <c r="C20" s="2700"/>
      <c r="D20" s="278"/>
      <c r="E20" s="250"/>
      <c r="F20" s="281" t="s">
        <v>441</v>
      </c>
      <c r="G20" s="281"/>
      <c r="H20" s="1194"/>
      <c r="I20" s="2685"/>
      <c r="J20" s="2685"/>
      <c r="K20" s="2685"/>
      <c r="L20" s="2686"/>
      <c r="M20" s="2686"/>
      <c r="O20" s="3482"/>
      <c r="P20" s="3482"/>
    </row>
    <row r="21" spans="1:19" s="8" customFormat="1" ht="12" customHeight="1">
      <c r="B21" s="2699" t="s">
        <v>741</v>
      </c>
      <c r="C21" s="3467"/>
      <c r="D21" s="3468"/>
      <c r="E21" s="3469"/>
      <c r="F21" s="282"/>
      <c r="G21" s="282"/>
      <c r="H21" s="1196"/>
      <c r="I21" s="2687"/>
      <c r="J21" s="2687"/>
      <c r="K21" s="2687"/>
      <c r="L21" s="2688"/>
      <c r="M21" s="2688"/>
      <c r="O21" s="3482"/>
      <c r="P21" s="348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52</v>
      </c>
      <c r="K22" s="155">
        <f>IF(SUM(K12:K21)=0,0,IF(OR($D12="&lt;&lt;Select Fuel &gt;&gt;",$D13="&lt;&lt;Select Fuel &gt;&gt;",$D14="&lt;&lt;Select Fuel &gt;&gt;"),"Select Fuel",IF($E19="&lt;Select&gt;","Submeter?",SUM(K12:K21))))</f>
        <v>84</v>
      </c>
      <c r="L22" s="155">
        <f>IF(SUM(L12:L21)=0,0,IF(OR($D12="&lt;&lt;Select Fuel &gt;&gt;",$D13="&lt;&lt;Select Fuel &gt;&gt;",$D14="&lt;&lt;Select Fuel &gt;&gt;"),"Select Fuel",IF($E19="&lt;Select&gt;","Submeter?",SUM(L12:L21))))</f>
        <v>105</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2518</v>
      </c>
      <c r="G24" s="1"/>
      <c r="H24" s="1"/>
      <c r="I24" s="3485"/>
      <c r="J24" s="3473"/>
      <c r="K24" s="3473"/>
      <c r="L24" s="3473"/>
      <c r="M24" s="3474"/>
    </row>
    <row r="25" spans="1:19" s="8" customFormat="1" ht="13.35" customHeight="1">
      <c r="A25" s="13"/>
      <c r="B25" s="13"/>
      <c r="F25" s="1" t="s">
        <v>636</v>
      </c>
      <c r="G25" s="1"/>
      <c r="H25" s="33"/>
      <c r="I25" s="3475"/>
      <c r="J25" s="3476"/>
      <c r="K25" s="6" t="s">
        <v>540</v>
      </c>
      <c r="L25" s="3477"/>
      <c r="M25" s="3478"/>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2" t="s">
        <v>1820</v>
      </c>
      <c r="E29" s="3493"/>
      <c r="F29" s="280"/>
      <c r="G29" s="280"/>
      <c r="H29" s="1195"/>
      <c r="I29" s="2684"/>
      <c r="J29" s="2684"/>
      <c r="K29" s="2684"/>
      <c r="L29" s="2684"/>
      <c r="M29" s="2684"/>
      <c r="O29" s="3482" t="s">
        <v>3831</v>
      </c>
      <c r="P29" s="3482"/>
    </row>
    <row r="30" spans="1:19" s="8" customFormat="1" ht="12" customHeight="1">
      <c r="B30" s="2691" t="s">
        <v>1597</v>
      </c>
      <c r="C30" s="2692"/>
      <c r="D30" s="3483" t="s">
        <v>1820</v>
      </c>
      <c r="E30" s="3484"/>
      <c r="F30" s="281"/>
      <c r="G30" s="281"/>
      <c r="H30" s="1194"/>
      <c r="I30" s="2685"/>
      <c r="J30" s="2685"/>
      <c r="K30" s="2685"/>
      <c r="L30" s="2686"/>
      <c r="M30" s="2686"/>
      <c r="O30" s="3482"/>
      <c r="P30" s="3482"/>
    </row>
    <row r="31" spans="1:19" s="8" customFormat="1" ht="12" customHeight="1">
      <c r="B31" s="2693" t="s">
        <v>1598</v>
      </c>
      <c r="C31" s="2694"/>
      <c r="D31" s="3483" t="s">
        <v>1820</v>
      </c>
      <c r="E31" s="3484"/>
      <c r="F31" s="281"/>
      <c r="G31" s="281"/>
      <c r="H31" s="276"/>
      <c r="I31" s="2685"/>
      <c r="J31" s="2685"/>
      <c r="K31" s="2685"/>
      <c r="L31" s="2686"/>
      <c r="M31" s="2686"/>
      <c r="O31" s="3482"/>
      <c r="P31" s="3482"/>
    </row>
    <row r="32" spans="1:19" s="8" customFormat="1" ht="12" customHeight="1">
      <c r="B32" s="2695" t="s">
        <v>467</v>
      </c>
      <c r="C32" s="2696"/>
      <c r="D32" s="2695" t="s">
        <v>1596</v>
      </c>
      <c r="E32" s="277"/>
      <c r="F32" s="281"/>
      <c r="G32" s="281"/>
      <c r="H32" s="1193"/>
      <c r="I32" s="2685"/>
      <c r="J32" s="2685"/>
      <c r="K32" s="2685"/>
      <c r="L32" s="2686"/>
      <c r="M32" s="2686"/>
      <c r="O32" s="3482"/>
      <c r="P32" s="3482"/>
    </row>
    <row r="33" spans="1:19" s="8" customFormat="1" ht="12" customHeight="1">
      <c r="B33" s="2697" t="s">
        <v>3803</v>
      </c>
      <c r="C33" s="2692"/>
      <c r="D33" s="2691" t="s">
        <v>1596</v>
      </c>
      <c r="E33" s="1192"/>
      <c r="F33" s="281"/>
      <c r="G33" s="281"/>
      <c r="H33" s="1194"/>
      <c r="I33" s="2685"/>
      <c r="J33" s="2685"/>
      <c r="K33" s="2685"/>
      <c r="L33" s="2686"/>
      <c r="M33" s="2686"/>
      <c r="O33" s="3482"/>
      <c r="P33" s="3482"/>
    </row>
    <row r="34" spans="1:19" s="8" customFormat="1" ht="12" customHeight="1">
      <c r="B34" s="2697" t="s">
        <v>3804</v>
      </c>
      <c r="C34" s="2692"/>
      <c r="D34" s="2691" t="s">
        <v>1596</v>
      </c>
      <c r="E34" s="1192"/>
      <c r="F34" s="281"/>
      <c r="G34" s="281"/>
      <c r="H34" s="1194"/>
      <c r="I34" s="2685"/>
      <c r="J34" s="2685"/>
      <c r="K34" s="2685"/>
      <c r="L34" s="2686"/>
      <c r="M34" s="2686"/>
      <c r="O34" s="3482"/>
      <c r="P34" s="3482"/>
    </row>
    <row r="35" spans="1:19" s="8" customFormat="1" ht="12" customHeight="1">
      <c r="B35" s="2698" t="s">
        <v>3805</v>
      </c>
      <c r="C35" s="2694"/>
      <c r="D35" s="2693" t="s">
        <v>1596</v>
      </c>
      <c r="E35" s="1192"/>
      <c r="F35" s="281"/>
      <c r="G35" s="281"/>
      <c r="H35" s="276"/>
      <c r="I35" s="2685"/>
      <c r="J35" s="2685"/>
      <c r="K35" s="2685"/>
      <c r="L35" s="2686"/>
      <c r="M35" s="2686"/>
      <c r="O35" s="3482"/>
      <c r="P35" s="3482"/>
    </row>
    <row r="36" spans="1:19" s="8" customFormat="1" ht="12" customHeight="1">
      <c r="B36" s="2695" t="s">
        <v>1370</v>
      </c>
      <c r="C36" s="2696"/>
      <c r="D36" s="2701" t="s">
        <v>3468</v>
      </c>
      <c r="E36" s="2683" t="s">
        <v>201</v>
      </c>
      <c r="F36" s="281"/>
      <c r="G36" s="281"/>
      <c r="H36" s="1193"/>
      <c r="I36" s="2685"/>
      <c r="J36" s="2685"/>
      <c r="K36" s="2685"/>
      <c r="L36" s="2686"/>
      <c r="M36" s="2686"/>
      <c r="O36" s="3482"/>
      <c r="P36" s="3482"/>
    </row>
    <row r="37" spans="1:19" s="8" customFormat="1" ht="12" customHeight="1">
      <c r="B37" s="2699" t="s">
        <v>1851</v>
      </c>
      <c r="C37" s="2700"/>
      <c r="D37" s="278"/>
      <c r="E37" s="250"/>
      <c r="F37" s="281"/>
      <c r="G37" s="281"/>
      <c r="H37" s="1194"/>
      <c r="I37" s="2685"/>
      <c r="J37" s="2685"/>
      <c r="K37" s="2685"/>
      <c r="L37" s="2686"/>
      <c r="M37" s="2686"/>
      <c r="O37" s="3482"/>
      <c r="P37" s="3482"/>
    </row>
    <row r="38" spans="1:19" s="8" customFormat="1" ht="12" customHeight="1">
      <c r="B38" s="2699" t="s">
        <v>741</v>
      </c>
      <c r="C38" s="3467"/>
      <c r="D38" s="3468"/>
      <c r="E38" s="3469"/>
      <c r="F38" s="282"/>
      <c r="G38" s="282"/>
      <c r="H38" s="1196"/>
      <c r="I38" s="2687"/>
      <c r="J38" s="2687"/>
      <c r="K38" s="2687"/>
      <c r="L38" s="2688"/>
      <c r="M38" s="2688"/>
      <c r="O38" s="3482"/>
      <c r="P38" s="348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6"/>
      <c r="C43" s="3487"/>
      <c r="D43" s="3487"/>
      <c r="E43" s="3487"/>
      <c r="F43" s="3487"/>
      <c r="G43" s="3487"/>
      <c r="H43" s="3487"/>
      <c r="I43" s="3487"/>
      <c r="J43" s="3487"/>
      <c r="K43" s="3487"/>
      <c r="L43" s="3487"/>
      <c r="M43" s="3488"/>
      <c r="N43" s="27"/>
      <c r="O43" s="2881" t="s">
        <v>2692</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89"/>
      <c r="C46" s="3490"/>
      <c r="D46" s="3490"/>
      <c r="E46" s="3490"/>
      <c r="F46" s="3490"/>
      <c r="G46" s="3490"/>
      <c r="H46" s="3490"/>
      <c r="I46" s="3490"/>
      <c r="J46" s="3490"/>
      <c r="K46" s="3490"/>
      <c r="L46" s="3490"/>
      <c r="M46" s="3491"/>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Xin Wang</cp:lastModifiedBy>
  <cp:lastPrinted>2019-04-18T21:32:14Z</cp:lastPrinted>
  <dcterms:created xsi:type="dcterms:W3CDTF">2005-09-15T20:51:37Z</dcterms:created>
  <dcterms:modified xsi:type="dcterms:W3CDTF">2020-06-05T19:05:55Z</dcterms:modified>
</cp:coreProperties>
</file>