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S:\Prestwick Development\4. Active Developments\Georgia\In Development\55 Milton Ave\Financing - Debt - Equity - Applications\A. Applications\2019 Bond LIHTC Application\"/>
    </mc:Choice>
  </mc:AlternateContent>
  <workbookProtection workbookAlgorithmName="SHA-512" workbookHashValue="Q7Dlwaahw6818hKw5BnzK5UPh1kRfzI+Mk2t7UULnw5qb+l98HVbDj8gRBuvCA/kAykf5t2HG36JfplKwXG2BQ==" workbookSaltValue="+Y+mXBGQLvvQDEBjHdbS0Q==" workbookSpinCount="100000" lockStructure="1"/>
  <bookViews>
    <workbookView xWindow="0" yWindow="0" windowWidth="26775" windowHeight="11280" tabRatio="876" firstSheet="2" activeTab="11"/>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62" i="74" l="1"/>
  <c r="D62" i="74" s="1"/>
  <c r="E62" i="74" s="1"/>
  <c r="F62" i="74" s="1"/>
  <c r="C30" i="74"/>
  <c r="B62" i="74"/>
  <c r="E30" i="74"/>
  <c r="F30" i="74" s="1"/>
  <c r="G30" i="74" s="1"/>
  <c r="H30" i="74" s="1"/>
  <c r="I30" i="74" s="1"/>
  <c r="J30" i="74" s="1"/>
  <c r="K30" i="74" s="1"/>
  <c r="D30" i="74"/>
  <c r="O390" i="73" l="1"/>
  <c r="N390" i="73"/>
  <c r="K53" i="75"/>
  <c r="K90"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O171" i="72"/>
  <c r="G280" i="72"/>
  <c r="O61" i="72"/>
  <c r="O279" i="72"/>
  <c r="O1927" i="94" s="1"/>
  <c r="O288" i="72"/>
  <c r="K293" i="72"/>
  <c r="C772" i="94"/>
  <c r="B772" i="94"/>
  <c r="M772" i="94"/>
  <c r="W772" i="94"/>
  <c r="C773" i="94"/>
  <c r="B773" i="94"/>
  <c r="M773" i="94"/>
  <c r="W773" i="94"/>
  <c r="C774" i="94"/>
  <c r="B774" i="94"/>
  <c r="M774" i="94"/>
  <c r="W774" i="94"/>
  <c r="C775" i="94"/>
  <c r="B775" i="94"/>
  <c r="M775" i="94"/>
  <c r="W775" i="94"/>
  <c r="C776" i="94"/>
  <c r="B776" i="94"/>
  <c r="M776" i="94"/>
  <c r="W776" i="94"/>
  <c r="C777" i="94"/>
  <c r="B777" i="94"/>
  <c r="M777" i="94"/>
  <c r="W777" i="94"/>
  <c r="C778" i="94"/>
  <c r="B778" i="94"/>
  <c r="M778" i="94"/>
  <c r="W778" i="94"/>
  <c r="C779" i="94"/>
  <c r="B779" i="94"/>
  <c r="M779" i="94"/>
  <c r="C780" i="94"/>
  <c r="B780" i="94"/>
  <c r="M780" i="94"/>
  <c r="W780" i="94" s="1"/>
  <c r="C781" i="94"/>
  <c r="B781" i="94"/>
  <c r="M781" i="94"/>
  <c r="AL781" i="94" s="1"/>
  <c r="C782" i="94"/>
  <c r="B782" i="94"/>
  <c r="M782" i="94"/>
  <c r="C783" i="94"/>
  <c r="B783" i="94"/>
  <c r="M783" i="94"/>
  <c r="AL783" i="94" s="1"/>
  <c r="C784" i="94"/>
  <c r="B784" i="94"/>
  <c r="M784" i="94"/>
  <c r="C785" i="94"/>
  <c r="B785" i="94"/>
  <c r="M785" i="94"/>
  <c r="AG785" i="94" s="1"/>
  <c r="C786" i="94"/>
  <c r="B786" i="94"/>
  <c r="M786" i="94"/>
  <c r="C787" i="94"/>
  <c r="B787" i="94"/>
  <c r="M787" i="94"/>
  <c r="AB787" i="94" s="1"/>
  <c r="C788" i="94"/>
  <c r="B788" i="94"/>
  <c r="M788" i="94"/>
  <c r="W788" i="94"/>
  <c r="C789" i="94"/>
  <c r="B789" i="94"/>
  <c r="M789" i="94"/>
  <c r="W789" i="94"/>
  <c r="C790" i="94"/>
  <c r="B790" i="94"/>
  <c r="M790" i="94"/>
  <c r="W790" i="94"/>
  <c r="C791" i="94"/>
  <c r="B791" i="94"/>
  <c r="M791" i="94"/>
  <c r="W791" i="94"/>
  <c r="C792" i="94"/>
  <c r="B792" i="94"/>
  <c r="M792" i="94"/>
  <c r="W792" i="94"/>
  <c r="C793" i="94"/>
  <c r="B793" i="94"/>
  <c r="M793" i="94"/>
  <c r="W793" i="94"/>
  <c r="C794" i="94"/>
  <c r="B794" i="94"/>
  <c r="M794" i="94"/>
  <c r="W794" i="94"/>
  <c r="C795" i="94"/>
  <c r="B795" i="94"/>
  <c r="M795" i="94"/>
  <c r="W795" i="94"/>
  <c r="C796" i="94"/>
  <c r="B796" i="94"/>
  <c r="M796" i="94"/>
  <c r="W796" i="94"/>
  <c r="C797" i="94"/>
  <c r="B797" i="94"/>
  <c r="M797" i="94"/>
  <c r="W797" i="94"/>
  <c r="C798" i="94"/>
  <c r="B798" i="94"/>
  <c r="M798" i="94"/>
  <c r="W798" i="94"/>
  <c r="C799" i="94"/>
  <c r="B799" i="94"/>
  <c r="M799" i="94"/>
  <c r="W799" i="94"/>
  <c r="C800" i="94"/>
  <c r="B800" i="94"/>
  <c r="M800" i="94"/>
  <c r="W800" i="94"/>
  <c r="C801" i="94"/>
  <c r="B801" i="94"/>
  <c r="M801" i="94"/>
  <c r="W801" i="94"/>
  <c r="C802" i="94"/>
  <c r="B802" i="94"/>
  <c r="M802" i="94"/>
  <c r="W802" i="94"/>
  <c r="C803" i="94"/>
  <c r="B803" i="94"/>
  <c r="M803" i="94"/>
  <c r="W803" i="94"/>
  <c r="C804" i="94"/>
  <c r="B804" i="94"/>
  <c r="M804" i="94"/>
  <c r="W804" i="94"/>
  <c r="C805" i="94"/>
  <c r="B805" i="94"/>
  <c r="M805" i="94"/>
  <c r="W805" i="94"/>
  <c r="C806" i="94"/>
  <c r="B806" i="94"/>
  <c r="M806" i="94"/>
  <c r="W806" i="94"/>
  <c r="C807" i="94"/>
  <c r="B807" i="94"/>
  <c r="M807" i="94"/>
  <c r="W807" i="94"/>
  <c r="C808" i="94"/>
  <c r="B808" i="94"/>
  <c r="M808" i="94"/>
  <c r="W808" i="94"/>
  <c r="C809" i="94"/>
  <c r="B809" i="94"/>
  <c r="M809" i="94"/>
  <c r="W809" i="94"/>
  <c r="AB772" i="94"/>
  <c r="AB773" i="94"/>
  <c r="AB774" i="94"/>
  <c r="AB775" i="94"/>
  <c r="AB776" i="94"/>
  <c r="AB777" i="94"/>
  <c r="AB778" i="94"/>
  <c r="AB779" i="94"/>
  <c r="AB783" i="94"/>
  <c r="AB784" i="94"/>
  <c r="AB786" i="94"/>
  <c r="AB788" i="94"/>
  <c r="AB789" i="94"/>
  <c r="AB790" i="94"/>
  <c r="AB791" i="94"/>
  <c r="AB792" i="94"/>
  <c r="AB793" i="94"/>
  <c r="AB794" i="94"/>
  <c r="AB795" i="94"/>
  <c r="AB796" i="94"/>
  <c r="AB797" i="94"/>
  <c r="AB798" i="94"/>
  <c r="AB799" i="94"/>
  <c r="AB800" i="94"/>
  <c r="AB801" i="94"/>
  <c r="AB802" i="94"/>
  <c r="AB803" i="94"/>
  <c r="AB804" i="94"/>
  <c r="AB805" i="94"/>
  <c r="AB806" i="94"/>
  <c r="AB807" i="94"/>
  <c r="AB808" i="94"/>
  <c r="AB809" i="94"/>
  <c r="AG772" i="94"/>
  <c r="AG773" i="94"/>
  <c r="AG774" i="94"/>
  <c r="AG775" i="94"/>
  <c r="AG776" i="94"/>
  <c r="AG777" i="94"/>
  <c r="AG778" i="94"/>
  <c r="AG779" i="94"/>
  <c r="AG780" i="94"/>
  <c r="AG782" i="94"/>
  <c r="AG783" i="94"/>
  <c r="AG786" i="94"/>
  <c r="AG788" i="94"/>
  <c r="AG789" i="94"/>
  <c r="AG790" i="94"/>
  <c r="AG791" i="94"/>
  <c r="AG792" i="94"/>
  <c r="AG793" i="94"/>
  <c r="AG794" i="94"/>
  <c r="AG795" i="94"/>
  <c r="AG796" i="94"/>
  <c r="AG797" i="94"/>
  <c r="AG798" i="94"/>
  <c r="AG799" i="94"/>
  <c r="AG800" i="94"/>
  <c r="AG801" i="94"/>
  <c r="AG802" i="94"/>
  <c r="AG803" i="94"/>
  <c r="AG804" i="94"/>
  <c r="AG805" i="94"/>
  <c r="AG806" i="94"/>
  <c r="AG807" i="94"/>
  <c r="AG808" i="94"/>
  <c r="AG809" i="94"/>
  <c r="AL772" i="94"/>
  <c r="AL773" i="94"/>
  <c r="AL774" i="94"/>
  <c r="AL775" i="94"/>
  <c r="AL776" i="94"/>
  <c r="AL777" i="94"/>
  <c r="AL778" i="94"/>
  <c r="AL779" i="94"/>
  <c r="AL780" i="94"/>
  <c r="AL782" i="94"/>
  <c r="AL785" i="94"/>
  <c r="AL786" i="94"/>
  <c r="AL788" i="94"/>
  <c r="AL789" i="94"/>
  <c r="AL790" i="94"/>
  <c r="AL791" i="94"/>
  <c r="AL792" i="94"/>
  <c r="AL793" i="94"/>
  <c r="AL794" i="94"/>
  <c r="AL795" i="94"/>
  <c r="AL796" i="94"/>
  <c r="AL797" i="94"/>
  <c r="AL798" i="94"/>
  <c r="AL799" i="94"/>
  <c r="AL800" i="94"/>
  <c r="AL801" i="94"/>
  <c r="AL802" i="94"/>
  <c r="AL803" i="94"/>
  <c r="AL804" i="94"/>
  <c r="AL805" i="94"/>
  <c r="AL806" i="94"/>
  <c r="AL807" i="94"/>
  <c r="AL808" i="94"/>
  <c r="AL809" i="94"/>
  <c r="AQ772" i="94"/>
  <c r="AQ773" i="94"/>
  <c r="AQ774" i="94"/>
  <c r="AQ775" i="94"/>
  <c r="AQ776" i="94"/>
  <c r="AQ777" i="94"/>
  <c r="AQ778" i="94"/>
  <c r="AQ779" i="94"/>
  <c r="AQ780" i="94"/>
  <c r="AQ782" i="94"/>
  <c r="AQ784" i="94"/>
  <c r="AQ786" i="94"/>
  <c r="AQ788" i="94"/>
  <c r="AQ789" i="94"/>
  <c r="AQ790" i="94"/>
  <c r="AQ791" i="94"/>
  <c r="AQ792" i="94"/>
  <c r="AQ793" i="94"/>
  <c r="AQ794" i="94"/>
  <c r="AQ795" i="94"/>
  <c r="AQ796" i="94"/>
  <c r="AQ797" i="94"/>
  <c r="AQ798" i="94"/>
  <c r="AQ799" i="94"/>
  <c r="AQ800" i="94"/>
  <c r="AQ801" i="94"/>
  <c r="AQ802" i="94"/>
  <c r="AQ803" i="94"/>
  <c r="AQ804" i="94"/>
  <c r="AQ805" i="94"/>
  <c r="AQ806" i="94"/>
  <c r="AQ807" i="94"/>
  <c r="AQ808" i="94"/>
  <c r="AQ809" i="94"/>
  <c r="AV772" i="94"/>
  <c r="AV773" i="94"/>
  <c r="AV774" i="94"/>
  <c r="AV775" i="94"/>
  <c r="AV776" i="94"/>
  <c r="AV777" i="94"/>
  <c r="AV778" i="94"/>
  <c r="AV779" i="94"/>
  <c r="AV781" i="94"/>
  <c r="AV782" i="94"/>
  <c r="AV783" i="94"/>
  <c r="AV784" i="94"/>
  <c r="AV785" i="94"/>
  <c r="AV786" i="94"/>
  <c r="AV788" i="94"/>
  <c r="AV789" i="94"/>
  <c r="AV790" i="94"/>
  <c r="AV791" i="94"/>
  <c r="AV792" i="94"/>
  <c r="AV793" i="94"/>
  <c r="AV794" i="94"/>
  <c r="AV795" i="94"/>
  <c r="AV796" i="94"/>
  <c r="AV797" i="94"/>
  <c r="AV798" i="94"/>
  <c r="AV799" i="94"/>
  <c r="AV800" i="94"/>
  <c r="AV801" i="94"/>
  <c r="AV802" i="94"/>
  <c r="AV803" i="94"/>
  <c r="AV804" i="94"/>
  <c r="AV805" i="94"/>
  <c r="AV806" i="94"/>
  <c r="AV807" i="94"/>
  <c r="AV808" i="94"/>
  <c r="AV809" i="94"/>
  <c r="BA772" i="94"/>
  <c r="BA773" i="94"/>
  <c r="BA774" i="94"/>
  <c r="BA775" i="94"/>
  <c r="BA776" i="94"/>
  <c r="BA777" i="94"/>
  <c r="BA778" i="94"/>
  <c r="BA779" i="94"/>
  <c r="BA780" i="94"/>
  <c r="BA782" i="94"/>
  <c r="BA784" i="94"/>
  <c r="BA786" i="94"/>
  <c r="BA788" i="94"/>
  <c r="BA789" i="94"/>
  <c r="BA790" i="94"/>
  <c r="BA791" i="94"/>
  <c r="BA792" i="94"/>
  <c r="BA793" i="94"/>
  <c r="BA794" i="94"/>
  <c r="BA795" i="94"/>
  <c r="BA796" i="94"/>
  <c r="BA797" i="94"/>
  <c r="BA798" i="94"/>
  <c r="BA799" i="94"/>
  <c r="BA800" i="94"/>
  <c r="BA801" i="94"/>
  <c r="BA802" i="94"/>
  <c r="BA803" i="94"/>
  <c r="BA804" i="94"/>
  <c r="BA805" i="94"/>
  <c r="BA806" i="94"/>
  <c r="BA807" i="94"/>
  <c r="BA808" i="94"/>
  <c r="BA809" i="94"/>
  <c r="BF772" i="94"/>
  <c r="BF773" i="94"/>
  <c r="BF774" i="94"/>
  <c r="BF775" i="94"/>
  <c r="BF776" i="94"/>
  <c r="BF777" i="94"/>
  <c r="BF778" i="94"/>
  <c r="BF779" i="94"/>
  <c r="BF780" i="94"/>
  <c r="BF781" i="94"/>
  <c r="BF782" i="94"/>
  <c r="BF783" i="94"/>
  <c r="BF784" i="94"/>
  <c r="BF785" i="94"/>
  <c r="BF786" i="94"/>
  <c r="BF787" i="94"/>
  <c r="BF788" i="94"/>
  <c r="BF789" i="94"/>
  <c r="BF790" i="94"/>
  <c r="BF791" i="94"/>
  <c r="BF792" i="94"/>
  <c r="BF793" i="94"/>
  <c r="BF794" i="94"/>
  <c r="BF795" i="94"/>
  <c r="BF796" i="94"/>
  <c r="BF797" i="94"/>
  <c r="BF798" i="94"/>
  <c r="BF799" i="94"/>
  <c r="BF800" i="94"/>
  <c r="BF801" i="94"/>
  <c r="BF802" i="94"/>
  <c r="BF803" i="94"/>
  <c r="BF804" i="94"/>
  <c r="BF805" i="94"/>
  <c r="BF806" i="94"/>
  <c r="BF807" i="94"/>
  <c r="BF808" i="94"/>
  <c r="BF809" i="94"/>
  <c r="EC772" i="94"/>
  <c r="EC773" i="94"/>
  <c r="EC774" i="94"/>
  <c r="EC775" i="94"/>
  <c r="EC776" i="94"/>
  <c r="EC777" i="94"/>
  <c r="EC778" i="94"/>
  <c r="EC779" i="94"/>
  <c r="EC780" i="94"/>
  <c r="EC781" i="94"/>
  <c r="EC782" i="94"/>
  <c r="EC783" i="94"/>
  <c r="EC784" i="94"/>
  <c r="EC785" i="94"/>
  <c r="EC786" i="94"/>
  <c r="EC787" i="94"/>
  <c r="EC788" i="94"/>
  <c r="EC789" i="94"/>
  <c r="EC790" i="94"/>
  <c r="EC791" i="94"/>
  <c r="EC792" i="94"/>
  <c r="EC793" i="94"/>
  <c r="EC794" i="94"/>
  <c r="EC795" i="94"/>
  <c r="EC796" i="94"/>
  <c r="EC797" i="94"/>
  <c r="EC798" i="94"/>
  <c r="EC799" i="94"/>
  <c r="EC800" i="94"/>
  <c r="EC801" i="94"/>
  <c r="EC802" i="94"/>
  <c r="EC803" i="94"/>
  <c r="EC804" i="94"/>
  <c r="EC805" i="94"/>
  <c r="EC806" i="94"/>
  <c r="EC807" i="94"/>
  <c r="EC808" i="94"/>
  <c r="EC809" i="94"/>
  <c r="X772" i="94"/>
  <c r="X773" i="94"/>
  <c r="X774" i="94"/>
  <c r="X775" i="94"/>
  <c r="X776" i="94"/>
  <c r="X777" i="94"/>
  <c r="X778" i="94"/>
  <c r="X779" i="94"/>
  <c r="X780" i="94"/>
  <c r="X781" i="94"/>
  <c r="X782" i="94"/>
  <c r="X783" i="94"/>
  <c r="X784" i="94"/>
  <c r="X786" i="94"/>
  <c r="X787" i="94"/>
  <c r="X788" i="94"/>
  <c r="X789" i="94"/>
  <c r="X790" i="94"/>
  <c r="X791" i="94"/>
  <c r="X792" i="94"/>
  <c r="X793" i="94"/>
  <c r="X794" i="94"/>
  <c r="X795" i="94"/>
  <c r="X796" i="94"/>
  <c r="X797" i="94"/>
  <c r="X798" i="94"/>
  <c r="X799" i="94"/>
  <c r="X800" i="94"/>
  <c r="X801" i="94"/>
  <c r="X802" i="94"/>
  <c r="X803" i="94"/>
  <c r="X804" i="94"/>
  <c r="X805" i="94"/>
  <c r="X806" i="94"/>
  <c r="X807" i="94"/>
  <c r="X808" i="94"/>
  <c r="X809" i="94"/>
  <c r="AC772" i="94"/>
  <c r="AC773" i="94"/>
  <c r="AC774" i="94"/>
  <c r="AC775" i="94"/>
  <c r="AC776" i="94"/>
  <c r="AC777" i="94"/>
  <c r="AC778" i="94"/>
  <c r="AC779" i="94"/>
  <c r="AC780" i="94"/>
  <c r="AC781" i="94"/>
  <c r="AC782" i="94"/>
  <c r="AC783" i="94"/>
  <c r="AC784" i="94"/>
  <c r="AC785" i="94"/>
  <c r="AC786" i="94"/>
  <c r="AC787" i="94"/>
  <c r="AC788" i="94"/>
  <c r="AC789" i="94"/>
  <c r="AC790" i="94"/>
  <c r="AC791" i="94"/>
  <c r="AC792" i="94"/>
  <c r="AC793" i="94"/>
  <c r="AC794" i="94"/>
  <c r="AC795" i="94"/>
  <c r="AC796" i="94"/>
  <c r="AC797" i="94"/>
  <c r="AC798" i="94"/>
  <c r="AC799" i="94"/>
  <c r="AC800" i="94"/>
  <c r="AC801" i="94"/>
  <c r="AC802" i="94"/>
  <c r="AC803" i="94"/>
  <c r="AC804" i="94"/>
  <c r="AC805" i="94"/>
  <c r="AC806" i="94"/>
  <c r="AC807" i="94"/>
  <c r="AC808" i="94"/>
  <c r="AC809" i="94"/>
  <c r="AH772" i="94"/>
  <c r="AH773" i="94"/>
  <c r="AH774" i="94"/>
  <c r="AH775" i="94"/>
  <c r="AH776" i="94"/>
  <c r="AH777" i="94"/>
  <c r="AH778" i="94"/>
  <c r="AH779" i="94"/>
  <c r="AH780" i="94"/>
  <c r="AH781" i="94"/>
  <c r="AH783" i="94"/>
  <c r="AH784" i="94"/>
  <c r="AH785" i="94"/>
  <c r="AH786" i="94"/>
  <c r="AH787" i="94"/>
  <c r="AH788" i="94"/>
  <c r="AH789" i="94"/>
  <c r="AH790" i="94"/>
  <c r="AH791" i="94"/>
  <c r="AH792" i="94"/>
  <c r="AH793" i="94"/>
  <c r="AH794" i="94"/>
  <c r="AH795" i="94"/>
  <c r="AH796" i="94"/>
  <c r="AH797" i="94"/>
  <c r="AH798" i="94"/>
  <c r="AH799" i="94"/>
  <c r="AH800" i="94"/>
  <c r="AH801" i="94"/>
  <c r="AH802" i="94"/>
  <c r="AH803" i="94"/>
  <c r="AH804" i="94"/>
  <c r="AH805" i="94"/>
  <c r="AH806" i="94"/>
  <c r="AH807" i="94"/>
  <c r="AH808" i="94"/>
  <c r="AH809" i="94"/>
  <c r="AM772" i="94"/>
  <c r="AM773" i="94"/>
  <c r="AM774" i="94"/>
  <c r="AM775" i="94"/>
  <c r="AM776" i="94"/>
  <c r="AM777" i="94"/>
  <c r="AM778" i="94"/>
  <c r="AM780" i="94"/>
  <c r="AM781" i="94"/>
  <c r="AM782" i="94"/>
  <c r="AM783" i="94"/>
  <c r="AM784" i="94"/>
  <c r="AM785" i="94"/>
  <c r="AM786" i="94"/>
  <c r="AM787" i="94"/>
  <c r="AM788" i="94"/>
  <c r="AM789" i="94"/>
  <c r="AM790" i="94"/>
  <c r="AM791" i="94"/>
  <c r="AM792" i="94"/>
  <c r="AM793" i="94"/>
  <c r="AM794" i="94"/>
  <c r="AM795" i="94"/>
  <c r="AM796" i="94"/>
  <c r="AM797" i="94"/>
  <c r="AM798" i="94"/>
  <c r="AM799" i="94"/>
  <c r="AM800" i="94"/>
  <c r="AM801" i="94"/>
  <c r="AM802" i="94"/>
  <c r="AM803" i="94"/>
  <c r="AM804" i="94"/>
  <c r="AM805" i="94"/>
  <c r="AM806" i="94"/>
  <c r="AM807" i="94"/>
  <c r="AM808" i="94"/>
  <c r="AM809" i="94"/>
  <c r="AR772" i="94"/>
  <c r="AR773" i="94"/>
  <c r="AR774" i="94"/>
  <c r="AR775" i="94"/>
  <c r="AR776" i="94"/>
  <c r="AR777" i="94"/>
  <c r="AR778" i="94"/>
  <c r="AR779" i="94"/>
  <c r="AR780" i="94"/>
  <c r="AR781" i="94"/>
  <c r="AR782" i="94"/>
  <c r="AR783" i="94"/>
  <c r="AR784" i="94"/>
  <c r="AR785" i="94"/>
  <c r="AR786" i="94"/>
  <c r="AR787" i="94"/>
  <c r="AR788" i="94"/>
  <c r="AR789" i="94"/>
  <c r="AR790" i="94"/>
  <c r="AR791" i="94"/>
  <c r="AR792" i="94"/>
  <c r="AR793" i="94"/>
  <c r="AR794" i="94"/>
  <c r="AR795" i="94"/>
  <c r="AR796" i="94"/>
  <c r="AR797" i="94"/>
  <c r="AR798" i="94"/>
  <c r="AR799" i="94"/>
  <c r="AR800" i="94"/>
  <c r="AR801" i="94"/>
  <c r="AR802" i="94"/>
  <c r="AR803" i="94"/>
  <c r="AR804" i="94"/>
  <c r="AR805" i="94"/>
  <c r="AR806" i="94"/>
  <c r="AR807" i="94"/>
  <c r="AR808" i="94"/>
  <c r="AR809" i="94"/>
  <c r="AW772" i="94"/>
  <c r="AW773" i="94"/>
  <c r="AW774" i="94"/>
  <c r="AW775" i="94"/>
  <c r="AW776" i="94"/>
  <c r="AW777" i="94"/>
  <c r="AW778" i="94"/>
  <c r="AW779" i="94"/>
  <c r="AW780" i="94"/>
  <c r="AW781" i="94"/>
  <c r="AW782" i="94"/>
  <c r="AW783" i="94"/>
  <c r="AW784" i="94"/>
  <c r="AW785" i="94"/>
  <c r="AW786" i="94"/>
  <c r="AW787" i="94"/>
  <c r="AW788" i="94"/>
  <c r="AW789" i="94"/>
  <c r="AW790" i="94"/>
  <c r="AW791" i="94"/>
  <c r="AW792" i="94"/>
  <c r="AW793" i="94"/>
  <c r="AW794" i="94"/>
  <c r="AW795" i="94"/>
  <c r="AW796" i="94"/>
  <c r="AW797" i="94"/>
  <c r="AW798" i="94"/>
  <c r="AW799" i="94"/>
  <c r="AW800" i="94"/>
  <c r="AW801" i="94"/>
  <c r="AW802" i="94"/>
  <c r="AW803" i="94"/>
  <c r="AW804" i="94"/>
  <c r="AW805" i="94"/>
  <c r="AW806" i="94"/>
  <c r="AW807" i="94"/>
  <c r="AW808" i="94"/>
  <c r="AW809" i="94"/>
  <c r="BB772" i="94"/>
  <c r="BB773" i="94"/>
  <c r="BB774" i="94"/>
  <c r="BB775" i="94"/>
  <c r="BB776" i="94"/>
  <c r="BB777" i="94"/>
  <c r="BB778" i="94"/>
  <c r="BB779" i="94"/>
  <c r="BB780" i="94"/>
  <c r="BB781" i="94"/>
  <c r="BB782" i="94"/>
  <c r="BB783" i="94"/>
  <c r="BB784" i="94"/>
  <c r="BB785" i="94"/>
  <c r="BB786" i="94"/>
  <c r="BB787" i="94"/>
  <c r="BB788" i="94"/>
  <c r="BB789" i="94"/>
  <c r="BB790" i="94"/>
  <c r="BB791" i="94"/>
  <c r="BB792" i="94"/>
  <c r="BB793" i="94"/>
  <c r="BB794" i="94"/>
  <c r="BB795" i="94"/>
  <c r="BB796" i="94"/>
  <c r="BB797" i="94"/>
  <c r="BB798" i="94"/>
  <c r="BB799" i="94"/>
  <c r="BB800" i="94"/>
  <c r="BB801" i="94"/>
  <c r="BB802" i="94"/>
  <c r="BB803" i="94"/>
  <c r="BB804" i="94"/>
  <c r="BB805" i="94"/>
  <c r="BB806" i="94"/>
  <c r="BB807" i="94"/>
  <c r="BB808" i="94"/>
  <c r="BB809" i="94"/>
  <c r="BG772" i="94"/>
  <c r="BG773" i="94"/>
  <c r="BG774" i="94"/>
  <c r="BG775" i="94"/>
  <c r="BG776" i="94"/>
  <c r="BG777" i="94"/>
  <c r="BG778" i="94"/>
  <c r="BG779" i="94"/>
  <c r="BG780" i="94"/>
  <c r="BG781" i="94"/>
  <c r="BG782" i="94"/>
  <c r="BG783" i="94"/>
  <c r="BG784" i="94"/>
  <c r="BG785" i="94"/>
  <c r="BG786" i="94"/>
  <c r="BG787" i="94"/>
  <c r="BG788" i="94"/>
  <c r="BG789" i="94"/>
  <c r="BG790" i="94"/>
  <c r="BG791" i="94"/>
  <c r="BG792" i="94"/>
  <c r="BG793" i="94"/>
  <c r="BG794" i="94"/>
  <c r="BG795" i="94"/>
  <c r="BG796" i="94"/>
  <c r="BG797" i="94"/>
  <c r="BG798" i="94"/>
  <c r="BG799" i="94"/>
  <c r="BG800" i="94"/>
  <c r="BG801" i="94"/>
  <c r="BG802" i="94"/>
  <c r="BG803" i="94"/>
  <c r="BG804" i="94"/>
  <c r="BG805" i="94"/>
  <c r="BG806" i="94"/>
  <c r="BG807" i="94"/>
  <c r="BG808" i="94"/>
  <c r="BG809" i="94"/>
  <c r="ED772" i="94"/>
  <c r="ED773" i="94"/>
  <c r="ED774" i="94"/>
  <c r="ED775" i="94"/>
  <c r="ED776" i="94"/>
  <c r="ED777" i="94"/>
  <c r="ED778" i="94"/>
  <c r="ED779" i="94"/>
  <c r="ED780" i="94"/>
  <c r="ED781" i="94"/>
  <c r="ED782" i="94"/>
  <c r="ED783" i="94"/>
  <c r="ED784" i="94"/>
  <c r="ED785" i="94"/>
  <c r="ED786" i="94"/>
  <c r="ED787" i="94"/>
  <c r="ED788" i="94"/>
  <c r="ED789" i="94"/>
  <c r="ED790" i="94"/>
  <c r="ED791" i="94"/>
  <c r="ED792" i="94"/>
  <c r="ED793" i="94"/>
  <c r="ED794" i="94"/>
  <c r="ED795" i="94"/>
  <c r="ED796" i="94"/>
  <c r="ED797" i="94"/>
  <c r="ED798" i="94"/>
  <c r="ED799" i="94"/>
  <c r="ED800" i="94"/>
  <c r="ED801" i="94"/>
  <c r="ED802" i="94"/>
  <c r="ED803" i="94"/>
  <c r="ED804" i="94"/>
  <c r="ED805" i="94"/>
  <c r="ED806" i="94"/>
  <c r="ED807" i="94"/>
  <c r="ED808" i="94"/>
  <c r="ED809" i="94"/>
  <c r="Y772" i="94"/>
  <c r="Y773" i="94"/>
  <c r="Y774" i="94"/>
  <c r="Y775" i="94"/>
  <c r="Y776" i="94"/>
  <c r="Y777" i="94"/>
  <c r="Y778" i="94"/>
  <c r="Y779" i="94"/>
  <c r="Y780" i="94"/>
  <c r="Y781" i="94"/>
  <c r="Y782" i="94"/>
  <c r="Y783" i="94"/>
  <c r="Y784" i="94"/>
  <c r="Y785" i="94"/>
  <c r="Y787" i="94"/>
  <c r="Y788" i="94"/>
  <c r="Y789" i="94"/>
  <c r="Y790" i="94"/>
  <c r="Y791" i="94"/>
  <c r="Y792" i="94"/>
  <c r="Y793" i="94"/>
  <c r="Y794" i="94"/>
  <c r="Y795" i="94"/>
  <c r="Y796" i="94"/>
  <c r="Y797" i="94"/>
  <c r="Y798" i="94"/>
  <c r="Y799" i="94"/>
  <c r="Y800" i="94"/>
  <c r="Y801" i="94"/>
  <c r="Y802" i="94"/>
  <c r="Y803" i="94"/>
  <c r="Y804" i="94"/>
  <c r="Y805" i="94"/>
  <c r="Y806" i="94"/>
  <c r="Y807" i="94"/>
  <c r="Y808" i="94"/>
  <c r="Y809" i="94"/>
  <c r="AD772" i="94"/>
  <c r="AD773" i="94"/>
  <c r="AD774" i="94"/>
  <c r="AD775" i="94"/>
  <c r="AD776" i="94"/>
  <c r="AD777" i="94"/>
  <c r="AD778" i="94"/>
  <c r="AD779" i="94"/>
  <c r="AD780" i="94"/>
  <c r="AD781" i="94"/>
  <c r="AD782" i="94"/>
  <c r="AD783" i="94"/>
  <c r="AD784" i="94"/>
  <c r="AD785" i="94"/>
  <c r="AD786" i="94"/>
  <c r="AD787" i="94"/>
  <c r="AD788" i="94"/>
  <c r="AD789" i="94"/>
  <c r="AD790" i="94"/>
  <c r="AD791" i="94"/>
  <c r="AD792" i="94"/>
  <c r="AD793" i="94"/>
  <c r="AD794" i="94"/>
  <c r="AD795" i="94"/>
  <c r="AD796" i="94"/>
  <c r="AD797" i="94"/>
  <c r="AD798" i="94"/>
  <c r="AD799" i="94"/>
  <c r="AD800" i="94"/>
  <c r="AD801" i="94"/>
  <c r="AD802" i="94"/>
  <c r="AD803" i="94"/>
  <c r="AD804" i="94"/>
  <c r="AD805" i="94"/>
  <c r="AD806" i="94"/>
  <c r="AD807" i="94"/>
  <c r="AD808" i="94"/>
  <c r="AD809" i="94"/>
  <c r="AI772" i="94"/>
  <c r="AI773" i="94"/>
  <c r="AI774" i="94"/>
  <c r="AI775" i="94"/>
  <c r="AI776" i="94"/>
  <c r="AI777" i="94"/>
  <c r="AI778" i="94"/>
  <c r="AI779" i="94"/>
  <c r="AI780" i="94"/>
  <c r="AI781" i="94"/>
  <c r="AI782" i="94"/>
  <c r="AI784" i="94"/>
  <c r="AI785" i="94"/>
  <c r="AI786" i="94"/>
  <c r="AI787" i="94"/>
  <c r="AI788" i="94"/>
  <c r="AI789" i="94"/>
  <c r="AI790" i="94"/>
  <c r="AI791" i="94"/>
  <c r="AI792" i="94"/>
  <c r="AI793" i="94"/>
  <c r="AI794" i="94"/>
  <c r="AI795" i="94"/>
  <c r="AI796" i="94"/>
  <c r="AI797" i="94"/>
  <c r="AI798" i="94"/>
  <c r="AI799" i="94"/>
  <c r="AI800" i="94"/>
  <c r="AI801" i="94"/>
  <c r="AI802" i="94"/>
  <c r="AI803" i="94"/>
  <c r="AI804" i="94"/>
  <c r="AI805" i="94"/>
  <c r="AI806" i="94"/>
  <c r="AI807" i="94"/>
  <c r="AI808" i="94"/>
  <c r="AI809" i="94"/>
  <c r="AN772" i="94"/>
  <c r="AN773" i="94"/>
  <c r="AN774" i="94"/>
  <c r="AN775" i="94"/>
  <c r="AN776" i="94"/>
  <c r="AN777" i="94"/>
  <c r="AN778" i="94"/>
  <c r="AN779" i="94"/>
  <c r="AN781" i="94"/>
  <c r="AN782" i="94"/>
  <c r="AN783" i="94"/>
  <c r="AN784" i="94"/>
  <c r="AN785" i="94"/>
  <c r="AN786" i="94"/>
  <c r="AN787" i="94"/>
  <c r="AN788" i="94"/>
  <c r="AN789" i="94"/>
  <c r="AN790" i="94"/>
  <c r="AN791" i="94"/>
  <c r="AN792" i="94"/>
  <c r="AN793" i="94"/>
  <c r="AN794" i="94"/>
  <c r="AN795" i="94"/>
  <c r="AN796" i="94"/>
  <c r="AN797" i="94"/>
  <c r="AN798" i="94"/>
  <c r="AN799" i="94"/>
  <c r="AN800" i="94"/>
  <c r="AN801" i="94"/>
  <c r="AN802" i="94"/>
  <c r="AN803" i="94"/>
  <c r="AN804" i="94"/>
  <c r="AN805" i="94"/>
  <c r="AN806" i="94"/>
  <c r="AN807" i="94"/>
  <c r="AN808" i="94"/>
  <c r="AN809" i="94"/>
  <c r="AS772" i="94"/>
  <c r="AS773" i="94"/>
  <c r="AS774" i="94"/>
  <c r="AS775" i="94"/>
  <c r="AS776" i="94"/>
  <c r="AS777" i="94"/>
  <c r="AS778" i="94"/>
  <c r="AS779" i="94"/>
  <c r="AS780" i="94"/>
  <c r="AS781" i="94"/>
  <c r="AS782" i="94"/>
  <c r="AS783" i="94"/>
  <c r="AS784" i="94"/>
  <c r="AS785" i="94"/>
  <c r="AS786" i="94"/>
  <c r="AS787" i="94"/>
  <c r="AS788" i="94"/>
  <c r="AS789" i="94"/>
  <c r="AS790" i="94"/>
  <c r="AS791" i="94"/>
  <c r="AS792" i="94"/>
  <c r="AS793" i="94"/>
  <c r="AS794" i="94"/>
  <c r="AS795" i="94"/>
  <c r="AS796" i="94"/>
  <c r="AS797" i="94"/>
  <c r="AS798" i="94"/>
  <c r="AS799" i="94"/>
  <c r="AS800" i="94"/>
  <c r="AS801" i="94"/>
  <c r="AS802" i="94"/>
  <c r="AS803" i="94"/>
  <c r="AS804" i="94"/>
  <c r="AS805" i="94"/>
  <c r="AS806" i="94"/>
  <c r="AS807" i="94"/>
  <c r="AS808" i="94"/>
  <c r="AS809" i="94"/>
  <c r="AX772" i="94"/>
  <c r="AX773" i="94"/>
  <c r="AX774" i="94"/>
  <c r="AX775" i="94"/>
  <c r="AX776" i="94"/>
  <c r="AX777" i="94"/>
  <c r="AX778" i="94"/>
  <c r="AX779" i="94"/>
  <c r="AX780" i="94"/>
  <c r="AX781" i="94"/>
  <c r="AX782" i="94"/>
  <c r="AX783" i="94"/>
  <c r="AX784" i="94"/>
  <c r="AX785" i="94"/>
  <c r="AX786" i="94"/>
  <c r="AX787" i="94"/>
  <c r="AX788" i="94"/>
  <c r="AX789" i="94"/>
  <c r="AX790" i="94"/>
  <c r="AX791" i="94"/>
  <c r="AX792" i="94"/>
  <c r="AX793" i="94"/>
  <c r="AX794" i="94"/>
  <c r="AX795" i="94"/>
  <c r="AX796" i="94"/>
  <c r="AX797" i="94"/>
  <c r="AX798" i="94"/>
  <c r="AX799" i="94"/>
  <c r="AX800" i="94"/>
  <c r="AX801" i="94"/>
  <c r="AX802" i="94"/>
  <c r="AX803" i="94"/>
  <c r="AX804" i="94"/>
  <c r="AX805" i="94"/>
  <c r="AX806" i="94"/>
  <c r="AX807" i="94"/>
  <c r="AX808" i="94"/>
  <c r="AX809" i="94"/>
  <c r="BC772" i="94"/>
  <c r="BC773" i="94"/>
  <c r="BC774" i="94"/>
  <c r="BC775" i="94"/>
  <c r="BC776" i="94"/>
  <c r="BC777" i="94"/>
  <c r="BC778" i="94"/>
  <c r="BC779" i="94"/>
  <c r="BC780" i="94"/>
  <c r="BC781" i="94"/>
  <c r="BC782" i="94"/>
  <c r="BC783" i="94"/>
  <c r="BC784" i="94"/>
  <c r="BC785" i="94"/>
  <c r="BC786" i="94"/>
  <c r="BC787" i="94"/>
  <c r="BC788" i="94"/>
  <c r="BC789" i="94"/>
  <c r="BC790" i="94"/>
  <c r="BC791" i="94"/>
  <c r="BC792" i="94"/>
  <c r="BC793" i="94"/>
  <c r="BC794" i="94"/>
  <c r="BC795" i="94"/>
  <c r="BC796" i="94"/>
  <c r="BC797" i="94"/>
  <c r="BC798" i="94"/>
  <c r="BC799" i="94"/>
  <c r="BC800" i="94"/>
  <c r="BC801" i="94"/>
  <c r="BC802" i="94"/>
  <c r="BC803" i="94"/>
  <c r="BC804" i="94"/>
  <c r="BC805" i="94"/>
  <c r="BC806" i="94"/>
  <c r="BC807" i="94"/>
  <c r="BC808" i="94"/>
  <c r="BC809" i="94"/>
  <c r="BH772" i="94"/>
  <c r="BH773" i="94"/>
  <c r="BH774" i="94"/>
  <c r="BH775" i="94"/>
  <c r="BH776" i="94"/>
  <c r="BH777" i="94"/>
  <c r="BH778" i="94"/>
  <c r="BH779" i="94"/>
  <c r="BH780" i="94"/>
  <c r="BH781" i="94"/>
  <c r="BH782" i="94"/>
  <c r="BH783" i="94"/>
  <c r="BH784" i="94"/>
  <c r="BH785"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EE772" i="94"/>
  <c r="EE773" i="94"/>
  <c r="EE774" i="94"/>
  <c r="EE775" i="94"/>
  <c r="EE776" i="94"/>
  <c r="EE777" i="94"/>
  <c r="EE778" i="94"/>
  <c r="EE779" i="94"/>
  <c r="EE780" i="94"/>
  <c r="EE781" i="94"/>
  <c r="EE782" i="94"/>
  <c r="EE783" i="94"/>
  <c r="EE784"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Z772" i="94"/>
  <c r="Z773" i="94"/>
  <c r="Z774" i="94"/>
  <c r="Z775" i="94"/>
  <c r="Z776" i="94"/>
  <c r="Z777" i="94"/>
  <c r="Z778" i="94"/>
  <c r="Z779" i="94"/>
  <c r="Z780" i="94"/>
  <c r="Z781" i="94"/>
  <c r="Z782" i="94"/>
  <c r="Z783" i="94"/>
  <c r="Z784" i="94"/>
  <c r="Z785" i="94"/>
  <c r="Z786" i="94"/>
  <c r="Z788" i="94"/>
  <c r="Z789" i="94"/>
  <c r="Z790" i="94"/>
  <c r="Z791" i="94"/>
  <c r="Z792" i="94"/>
  <c r="Z793" i="94"/>
  <c r="Z794" i="94"/>
  <c r="Z795" i="94"/>
  <c r="Z796" i="94"/>
  <c r="Z797" i="94"/>
  <c r="Z798" i="94"/>
  <c r="Z799" i="94"/>
  <c r="Z800" i="94"/>
  <c r="Z801" i="94"/>
  <c r="Z802" i="94"/>
  <c r="Z803" i="94"/>
  <c r="Z804" i="94"/>
  <c r="Z805" i="94"/>
  <c r="Z806" i="94"/>
  <c r="Z807" i="94"/>
  <c r="Z808" i="94"/>
  <c r="Z809" i="94"/>
  <c r="AE772" i="94"/>
  <c r="AE773" i="94"/>
  <c r="AE774" i="94"/>
  <c r="AE775" i="94"/>
  <c r="AE776" i="94"/>
  <c r="AE777" i="94"/>
  <c r="AE778" i="94"/>
  <c r="AE779" i="94"/>
  <c r="AE780" i="94"/>
  <c r="AE781" i="94"/>
  <c r="AE782" i="94"/>
  <c r="AE783" i="94"/>
  <c r="AE784"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J772" i="94"/>
  <c r="AJ773" i="94"/>
  <c r="AJ774" i="94"/>
  <c r="AJ775" i="94"/>
  <c r="AJ776" i="94"/>
  <c r="AJ777" i="94"/>
  <c r="AJ778" i="94"/>
  <c r="AJ779" i="94"/>
  <c r="AJ780" i="94"/>
  <c r="AJ781" i="94"/>
  <c r="AJ782" i="94"/>
  <c r="AJ783" i="94"/>
  <c r="AJ785" i="94"/>
  <c r="AJ786"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O772" i="94"/>
  <c r="AO773" i="94"/>
  <c r="AO774" i="94"/>
  <c r="AO775" i="94"/>
  <c r="AO776" i="94"/>
  <c r="AO777" i="94"/>
  <c r="AO778" i="94"/>
  <c r="AO779" i="94"/>
  <c r="AO780" i="94"/>
  <c r="AO782" i="94"/>
  <c r="AO783" i="94"/>
  <c r="AO784"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T772" i="94"/>
  <c r="AT773" i="94"/>
  <c r="AT774" i="94"/>
  <c r="AT775" i="94"/>
  <c r="AT776" i="94"/>
  <c r="AT777" i="94"/>
  <c r="AT778" i="94"/>
  <c r="AT779" i="94"/>
  <c r="AT780" i="94"/>
  <c r="AT781" i="94"/>
  <c r="AT782" i="94"/>
  <c r="AT783"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Y772" i="94"/>
  <c r="AY773" i="94"/>
  <c r="AY774" i="94"/>
  <c r="AY775" i="94"/>
  <c r="AY776" i="94"/>
  <c r="AY777" i="94"/>
  <c r="AY778" i="94"/>
  <c r="AY779" i="94"/>
  <c r="AY780" i="94"/>
  <c r="AY781" i="94"/>
  <c r="AY782" i="94"/>
  <c r="AY783" i="94"/>
  <c r="AY784"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BD772" i="94"/>
  <c r="BD773" i="94"/>
  <c r="BD774" i="94"/>
  <c r="BD775" i="94"/>
  <c r="BD776" i="94"/>
  <c r="BD777" i="94"/>
  <c r="BD778" i="94"/>
  <c r="BD779" i="94"/>
  <c r="BD780" i="94"/>
  <c r="BD781" i="94"/>
  <c r="BD782" i="94"/>
  <c r="BD783"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I772" i="94"/>
  <c r="BI773" i="94"/>
  <c r="BI774" i="94"/>
  <c r="BI775" i="94"/>
  <c r="BI776" i="94"/>
  <c r="BI777" i="94"/>
  <c r="BI778" i="94"/>
  <c r="BI779" i="94"/>
  <c r="BI780" i="94"/>
  <c r="BI781" i="94"/>
  <c r="BI782" i="94"/>
  <c r="BI783" i="94"/>
  <c r="BI784"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EF772" i="94"/>
  <c r="EF773" i="94"/>
  <c r="EF774" i="94"/>
  <c r="EF775" i="94"/>
  <c r="EF776" i="94"/>
  <c r="EF777" i="94"/>
  <c r="EF778" i="94"/>
  <c r="EF779" i="94"/>
  <c r="EF780" i="94"/>
  <c r="EF781" i="94"/>
  <c r="EF782"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AA772" i="94"/>
  <c r="AA773" i="94"/>
  <c r="AA774" i="94"/>
  <c r="AA775" i="94"/>
  <c r="AA776" i="94"/>
  <c r="AA777" i="94"/>
  <c r="AA778" i="94"/>
  <c r="AA779" i="94"/>
  <c r="AA780" i="94"/>
  <c r="AA781" i="94"/>
  <c r="AA782" i="94"/>
  <c r="AA783" i="94"/>
  <c r="AA784"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F772" i="94"/>
  <c r="AF773" i="94"/>
  <c r="AF774" i="94"/>
  <c r="AF775" i="94"/>
  <c r="AF776" i="94"/>
  <c r="AF777" i="94"/>
  <c r="AF778" i="94"/>
  <c r="AF779" i="94"/>
  <c r="AF780" i="94"/>
  <c r="AF781" i="94"/>
  <c r="AF782" i="94"/>
  <c r="AF783"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K772" i="94"/>
  <c r="AK773" i="94"/>
  <c r="AK774" i="94"/>
  <c r="AK775" i="94"/>
  <c r="AK776" i="94"/>
  <c r="AK777" i="94"/>
  <c r="AK778" i="94"/>
  <c r="AK779" i="94"/>
  <c r="AK780" i="94"/>
  <c r="AK781" i="94"/>
  <c r="AK782" i="94"/>
  <c r="AK783" i="94"/>
  <c r="AK784"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P772" i="94"/>
  <c r="AP773" i="94"/>
  <c r="AP774" i="94"/>
  <c r="AP775" i="94"/>
  <c r="AP776" i="94"/>
  <c r="AP777" i="94"/>
  <c r="AP778" i="94"/>
  <c r="AP779" i="94"/>
  <c r="AP780" i="94"/>
  <c r="AP781" i="94"/>
  <c r="AP782" i="94"/>
  <c r="AP783" i="94"/>
  <c r="AP784"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U772" i="94"/>
  <c r="AU773" i="94"/>
  <c r="AU774" i="94"/>
  <c r="AU775" i="94"/>
  <c r="AU776" i="94"/>
  <c r="AU777" i="94"/>
  <c r="AU778" i="94"/>
  <c r="AU779" i="94"/>
  <c r="AU780" i="94"/>
  <c r="AU781" i="94"/>
  <c r="AU782" i="94"/>
  <c r="AU783"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Z772" i="94"/>
  <c r="AZ773" i="94"/>
  <c r="AZ774" i="94"/>
  <c r="AZ775" i="94"/>
  <c r="AZ776" i="94"/>
  <c r="AZ777" i="94"/>
  <c r="AZ778" i="94"/>
  <c r="AZ779" i="94"/>
  <c r="AZ780" i="94"/>
  <c r="AZ781" i="94"/>
  <c r="AZ782" i="94"/>
  <c r="AZ783"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BE772" i="94"/>
  <c r="BE773" i="94"/>
  <c r="BE774" i="94"/>
  <c r="BE775" i="94"/>
  <c r="BE776" i="94"/>
  <c r="BE777" i="94"/>
  <c r="BE778" i="94"/>
  <c r="BE779" i="94"/>
  <c r="BE780" i="94"/>
  <c r="BE781" i="94"/>
  <c r="BE782" i="94"/>
  <c r="BE783" i="94"/>
  <c r="BE784"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J772" i="94"/>
  <c r="BJ773" i="94"/>
  <c r="BJ774" i="94"/>
  <c r="BJ775" i="94"/>
  <c r="BJ776" i="94"/>
  <c r="BJ777" i="94"/>
  <c r="BJ778" i="94"/>
  <c r="BJ779" i="94"/>
  <c r="BJ780" i="94"/>
  <c r="BJ781" i="94"/>
  <c r="BJ782" i="94"/>
  <c r="BJ783"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3" i="94"/>
  <c r="EG774" i="94"/>
  <c r="EG775" i="94"/>
  <c r="EG776" i="94"/>
  <c r="EG777" i="94"/>
  <c r="EG778" i="94"/>
  <c r="EG779" i="94"/>
  <c r="EG780" i="94"/>
  <c r="EG781" i="94"/>
  <c r="EG782"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J62" i="94" s="1"/>
  <c r="F102" i="78"/>
  <c r="F101" i="78"/>
  <c r="O2090" i="94"/>
  <c r="O440" i="72"/>
  <c r="O2088" i="94"/>
  <c r="O2068" i="94"/>
  <c r="P2057" i="94"/>
  <c r="O2057" i="94"/>
  <c r="N2057" i="94"/>
  <c r="R386" i="72"/>
  <c r="M409" i="72"/>
  <c r="M2057" i="94" s="1"/>
  <c r="P2056" i="94"/>
  <c r="O2056" i="94"/>
  <c r="N2056" i="94"/>
  <c r="G17" i="78"/>
  <c r="G23" i="78"/>
  <c r="G27" i="78"/>
  <c r="F36" i="78" s="1"/>
  <c r="G33" i="78"/>
  <c r="G38" i="78"/>
  <c r="G64" i="78"/>
  <c r="G77" i="78"/>
  <c r="G83" i="78"/>
  <c r="G91" i="78"/>
  <c r="G105" i="78"/>
  <c r="G111" i="78"/>
  <c r="G118" i="78"/>
  <c r="G126" i="78"/>
  <c r="G130" i="78"/>
  <c r="K2057" i="94"/>
  <c r="L386" i="72"/>
  <c r="J409" i="72"/>
  <c r="J2057" i="94" s="1"/>
  <c r="O384" i="72"/>
  <c r="O2032" i="94"/>
  <c r="O369" i="72"/>
  <c r="O2017" i="94"/>
  <c r="O1991" i="94"/>
  <c r="O330" i="72"/>
  <c r="O336" i="72"/>
  <c r="O1984" i="94"/>
  <c r="O334" i="72"/>
  <c r="O1982" i="94"/>
  <c r="O1978" i="94"/>
  <c r="O329" i="72"/>
  <c r="O1977" i="94"/>
  <c r="L306" i="72"/>
  <c r="O320" i="72" s="1"/>
  <c r="O298" i="72"/>
  <c r="O1946" i="94"/>
  <c r="K1934" i="94"/>
  <c r="O1936" i="94"/>
  <c r="K1870" i="94"/>
  <c r="J222" i="72"/>
  <c r="J1870" i="94" s="1"/>
  <c r="O205" i="72"/>
  <c r="O1853" i="94"/>
  <c r="I182" i="72"/>
  <c r="I1830" i="94"/>
  <c r="I1829" i="94"/>
  <c r="I1828" i="94"/>
  <c r="O1819" i="94"/>
  <c r="O107" i="72"/>
  <c r="O1755" i="94"/>
  <c r="O92" i="72"/>
  <c r="O1740" i="94" s="1"/>
  <c r="O86" i="72"/>
  <c r="O1734" i="94" s="1"/>
  <c r="O1709" i="94"/>
  <c r="O51" i="72"/>
  <c r="O1699" i="94"/>
  <c r="O22" i="72"/>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111" i="75"/>
  <c r="O2074" i="94"/>
  <c r="Q2072" i="94"/>
  <c r="L2070" i="94"/>
  <c r="R2068" i="94"/>
  <c r="P2068"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L306" i="94"/>
  <c r="P1968" i="94"/>
  <c r="P1954" i="94" s="1"/>
  <c r="Q1966" i="94"/>
  <c r="L1966" i="94"/>
  <c r="Q1965" i="94"/>
  <c r="L1965" i="94"/>
  <c r="P1964" i="94"/>
  <c r="Q1955" i="94"/>
  <c r="L1955" i="94"/>
  <c r="J1955" i="94"/>
  <c r="L1954" i="94"/>
  <c r="U1948" i="94"/>
  <c r="U1947" i="94"/>
  <c r="M1947" i="94"/>
  <c r="P1946" i="94"/>
  <c r="H293" i="94"/>
  <c r="P1941" i="94"/>
  <c r="P1936" i="94"/>
  <c r="P1925" i="94"/>
  <c r="K1941" i="94"/>
  <c r="M1930" i="94"/>
  <c r="G1928" i="94"/>
  <c r="J1927" i="94"/>
  <c r="L1884" i="94"/>
  <c r="K1884" i="94"/>
  <c r="P153" i="94"/>
  <c r="L1883" i="94"/>
  <c r="O153" i="94"/>
  <c r="K1883" i="94"/>
  <c r="K1882" i="94"/>
  <c r="L1880" i="94"/>
  <c r="O107" i="94"/>
  <c r="K1880" i="94"/>
  <c r="P189" i="94"/>
  <c r="L1879" i="94"/>
  <c r="O189" i="94"/>
  <c r="K1879" i="94"/>
  <c r="L1870" i="94"/>
  <c r="I1861" i="94"/>
  <c r="J1859" i="94"/>
  <c r="Q1858" i="94"/>
  <c r="L1858" i="94"/>
  <c r="L1857" i="94"/>
  <c r="L1856" i="94"/>
  <c r="Q1855" i="94"/>
  <c r="L1855" i="94"/>
  <c r="Q1854" i="94"/>
  <c r="P1853" i="94"/>
  <c r="P1837" i="94"/>
  <c r="J1830" i="94"/>
  <c r="J1829" i="94"/>
  <c r="J1828" i="94"/>
  <c r="P1819" i="94"/>
  <c r="P1801" i="94"/>
  <c r="K1826" i="94"/>
  <c r="H1826" i="94"/>
  <c r="T1821" i="94"/>
  <c r="T1820" i="94"/>
  <c r="L1816" i="94"/>
  <c r="M1816" i="94"/>
  <c r="T1816" i="94"/>
  <c r="L1815" i="94"/>
  <c r="M1815" i="94"/>
  <c r="T1815" i="94"/>
  <c r="L1814" i="94"/>
  <c r="M1814" i="94"/>
  <c r="T1814" i="94"/>
  <c r="F1808" i="94"/>
  <c r="Q1772" i="94"/>
  <c r="Q1771" i="94"/>
  <c r="Q1770" i="94"/>
  <c r="Q1769" i="94"/>
  <c r="Q1763" i="94"/>
  <c r="L1763" i="94"/>
  <c r="Q1757" i="94"/>
  <c r="L1757" i="94"/>
  <c r="J1757" i="94"/>
  <c r="M107" i="94"/>
  <c r="P1755" i="94"/>
  <c r="Q1748" i="94"/>
  <c r="F1746" i="94"/>
  <c r="Q1745" i="94"/>
  <c r="Q1744" i="94"/>
  <c r="J72" i="94"/>
  <c r="P1740" i="94" s="1"/>
  <c r="F1738" i="94"/>
  <c r="Q1737" i="94"/>
  <c r="Q1736" i="94"/>
  <c r="H1736" i="94"/>
  <c r="Q1735" i="94"/>
  <c r="J1720" i="94"/>
  <c r="Q1712" i="94"/>
  <c r="P1709" i="94"/>
  <c r="M1934" i="94"/>
  <c r="L1934" i="94"/>
  <c r="J1704" i="94"/>
  <c r="Q1701" i="94"/>
  <c r="K1700" i="94"/>
  <c r="P1699" i="94"/>
  <c r="K1697" i="94"/>
  <c r="O1681" i="94"/>
  <c r="P1678" i="94"/>
  <c r="J1681" i="94"/>
  <c r="F1681" i="94"/>
  <c r="P1674" i="94"/>
  <c r="P1673" i="94"/>
  <c r="F1668" i="94"/>
  <c r="O420" i="94"/>
  <c r="E1668" i="94"/>
  <c r="F1667" i="94"/>
  <c r="E1667" i="94"/>
  <c r="F1666" i="94"/>
  <c r="F1665" i="94"/>
  <c r="O359" i="94"/>
  <c r="E1665" i="94" s="1"/>
  <c r="F1664" i="94"/>
  <c r="E1664" i="94"/>
  <c r="F1663" i="94"/>
  <c r="E1663" i="94"/>
  <c r="F1662" i="94"/>
  <c r="F1661" i="94"/>
  <c r="E1661" i="94"/>
  <c r="Q1660" i="94"/>
  <c r="F1660" i="94"/>
  <c r="E1660" i="94"/>
  <c r="F1659" i="94"/>
  <c r="O61" i="94"/>
  <c r="E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s="1"/>
  <c r="N1464" i="94"/>
  <c r="N1399" i="94"/>
  <c r="J1231" i="94"/>
  <c r="L1224" i="94"/>
  <c r="L1223" i="94"/>
  <c r="L1222" i="94"/>
  <c r="L1221" i="94"/>
  <c r="L1220" i="94"/>
  <c r="R48" i="81"/>
  <c r="L1217" i="94"/>
  <c r="Q1216" i="94"/>
  <c r="P1216" i="94"/>
  <c r="Q48" i="81"/>
  <c r="L1216" i="94"/>
  <c r="P48" i="81"/>
  <c r="L1215" i="94"/>
  <c r="O48" i="81"/>
  <c r="L1214" i="94"/>
  <c r="Q1213" i="94"/>
  <c r="P1213" i="94"/>
  <c r="N48" i="81"/>
  <c r="L1213" i="94"/>
  <c r="L1210" i="94"/>
  <c r="L1209" i="94"/>
  <c r="L1208" i="94"/>
  <c r="L1207" i="94"/>
  <c r="L1206" i="94"/>
  <c r="L1203" i="94"/>
  <c r="L1202" i="94"/>
  <c r="L1201" i="94"/>
  <c r="L1200" i="94"/>
  <c r="L1199" i="94"/>
  <c r="R1159" i="94"/>
  <c r="A1159" i="94"/>
  <c r="K210" i="75"/>
  <c r="F112" i="74"/>
  <c r="F1127" i="94"/>
  <c r="J210" i="75"/>
  <c r="E112" i="74"/>
  <c r="E1127" i="94"/>
  <c r="I210" i="75"/>
  <c r="D112" i="74"/>
  <c r="D1127" i="94"/>
  <c r="H210" i="75"/>
  <c r="C112" i="74"/>
  <c r="C1127" i="94"/>
  <c r="G210" i="75"/>
  <c r="B112" i="74"/>
  <c r="B1127" i="94"/>
  <c r="K206" i="75"/>
  <c r="F111" i="74"/>
  <c r="F1126" i="94"/>
  <c r="J206" i="75"/>
  <c r="E111" i="74"/>
  <c r="E1126" i="94"/>
  <c r="I206" i="75"/>
  <c r="D111" i="74"/>
  <c r="D1126" i="94"/>
  <c r="H206" i="75"/>
  <c r="C111" i="74"/>
  <c r="C1126" i="94"/>
  <c r="G206" i="75"/>
  <c r="B111" i="74"/>
  <c r="B1126" i="94"/>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P197" i="75"/>
  <c r="K81" i="74"/>
  <c r="K1096" i="94"/>
  <c r="O197" i="75"/>
  <c r="J81" i="74"/>
  <c r="J1096" i="94"/>
  <c r="N197" i="75"/>
  <c r="I81" i="74"/>
  <c r="I1096" i="94"/>
  <c r="M197" i="75"/>
  <c r="H81" i="74"/>
  <c r="H1096" i="94"/>
  <c r="L197" i="75"/>
  <c r="G81" i="74"/>
  <c r="G1096" i="94"/>
  <c r="K197" i="75"/>
  <c r="F81" i="74"/>
  <c r="F1096" i="94"/>
  <c r="J197" i="75"/>
  <c r="E81" i="74"/>
  <c r="E1096" i="94"/>
  <c r="I197" i="75"/>
  <c r="D81" i="74"/>
  <c r="D1096" i="94"/>
  <c r="H197" i="75"/>
  <c r="C81" i="74"/>
  <c r="C1096" i="94"/>
  <c r="G197" i="75"/>
  <c r="B81" i="74"/>
  <c r="B1096" i="94"/>
  <c r="P192" i="75"/>
  <c r="K50" i="74"/>
  <c r="K1065" i="94"/>
  <c r="O192" i="75"/>
  <c r="J50" i="74"/>
  <c r="J1065" i="94"/>
  <c r="N192" i="75"/>
  <c r="I50" i="74"/>
  <c r="I1065" i="94"/>
  <c r="M192" i="75"/>
  <c r="H50" i="74"/>
  <c r="H1065" i="94"/>
  <c r="L192" i="75"/>
  <c r="G50" i="74"/>
  <c r="G1065" i="94"/>
  <c r="K192" i="75"/>
  <c r="F50" i="74"/>
  <c r="F1065" i="94"/>
  <c r="J192" i="75"/>
  <c r="E50" i="74"/>
  <c r="E1065" i="94"/>
  <c r="I192" i="75"/>
  <c r="D50" i="74"/>
  <c r="D1065" i="94"/>
  <c r="H192" i="75"/>
  <c r="C50" i="74"/>
  <c r="C1065" i="94"/>
  <c r="G192" i="75"/>
  <c r="B50" i="74"/>
  <c r="B1065" i="94"/>
  <c r="P188" i="75"/>
  <c r="K49" i="74"/>
  <c r="K1064" i="94"/>
  <c r="O188" i="75"/>
  <c r="J49" i="74"/>
  <c r="J1064" i="94"/>
  <c r="N188" i="75"/>
  <c r="I49" i="74"/>
  <c r="I1064" i="94"/>
  <c r="M188" i="75"/>
  <c r="H49" i="74"/>
  <c r="H1064" i="94"/>
  <c r="L188" i="75"/>
  <c r="G49" i="74"/>
  <c r="G1064" i="94"/>
  <c r="K188" i="75"/>
  <c r="F49" i="74"/>
  <c r="F1064" i="94"/>
  <c r="J188" i="75"/>
  <c r="E49" i="74"/>
  <c r="E1064" i="94"/>
  <c r="I188" i="75"/>
  <c r="D49" i="74"/>
  <c r="D1064" i="94"/>
  <c r="H188" i="75"/>
  <c r="C49" i="74"/>
  <c r="C1064" i="94"/>
  <c r="G188" i="75"/>
  <c r="B49" i="74"/>
  <c r="B1064" i="94"/>
  <c r="G179" i="75"/>
  <c r="B17" i="74"/>
  <c r="B1032" i="94"/>
  <c r="H179" i="75"/>
  <c r="C17" i="74"/>
  <c r="C1032" i="94"/>
  <c r="I179" i="75"/>
  <c r="D17" i="74"/>
  <c r="D1032" i="94"/>
  <c r="J179" i="75"/>
  <c r="E17" i="74"/>
  <c r="E1032" i="94"/>
  <c r="K179" i="75"/>
  <c r="F17" i="74"/>
  <c r="F1032" i="94"/>
  <c r="L179" i="75"/>
  <c r="G17" i="74"/>
  <c r="G1032" i="94"/>
  <c r="M179" i="75"/>
  <c r="H17" i="74"/>
  <c r="H1032" i="94"/>
  <c r="N179" i="75"/>
  <c r="I17" i="74"/>
  <c r="I1032" i="94"/>
  <c r="O179" i="75"/>
  <c r="J17" i="74"/>
  <c r="J1032" i="94"/>
  <c r="P179" i="75"/>
  <c r="K17" i="74"/>
  <c r="K1032" i="94"/>
  <c r="G183" i="75"/>
  <c r="B18" i="74"/>
  <c r="B1033" i="94"/>
  <c r="H183" i="75"/>
  <c r="C18" i="74"/>
  <c r="C1033" i="94"/>
  <c r="I183" i="75"/>
  <c r="D18" i="74"/>
  <c r="D1033" i="94"/>
  <c r="J183" i="75"/>
  <c r="E18" i="74"/>
  <c r="E1033" i="94"/>
  <c r="K183" i="75"/>
  <c r="F18" i="74"/>
  <c r="F1033" i="94"/>
  <c r="L183" i="75"/>
  <c r="G18" i="74"/>
  <c r="G1033" i="94"/>
  <c r="M183" i="75"/>
  <c r="H18" i="74"/>
  <c r="H1033" i="94"/>
  <c r="N183" i="75"/>
  <c r="I18" i="74"/>
  <c r="I1033" i="94"/>
  <c r="O183" i="75"/>
  <c r="J18" i="74"/>
  <c r="J1033" i="94"/>
  <c r="P183" i="75"/>
  <c r="K18" i="74"/>
  <c r="K1033" i="94"/>
  <c r="G1154" i="94"/>
  <c r="A1154" i="94"/>
  <c r="F135" i="74"/>
  <c r="F1150" i="94"/>
  <c r="E135" i="74"/>
  <c r="E1150" i="94"/>
  <c r="D135" i="74"/>
  <c r="D1150" i="94"/>
  <c r="C135" i="74"/>
  <c r="C1150" i="94"/>
  <c r="B135" i="74"/>
  <c r="B1150" i="94"/>
  <c r="K105" i="74"/>
  <c r="K1120" i="94"/>
  <c r="J105" i="74"/>
  <c r="J1120" i="94"/>
  <c r="I105" i="74"/>
  <c r="I1120" i="94"/>
  <c r="H105" i="74"/>
  <c r="H1120" i="94"/>
  <c r="G105" i="74"/>
  <c r="G1120" i="94"/>
  <c r="F105" i="74"/>
  <c r="F1120" i="94"/>
  <c r="E105" i="74"/>
  <c r="E1120" i="94"/>
  <c r="D105" i="74"/>
  <c r="D1120" i="94"/>
  <c r="C105" i="74"/>
  <c r="C1120" i="94"/>
  <c r="B105" i="74"/>
  <c r="B1120" i="94"/>
  <c r="K75" i="74"/>
  <c r="K1090" i="94" s="1"/>
  <c r="J75" i="74"/>
  <c r="J1090" i="94" s="1"/>
  <c r="I75" i="74"/>
  <c r="I1090" i="94" s="1"/>
  <c r="H75" i="74"/>
  <c r="H1090" i="94" s="1"/>
  <c r="K74" i="74"/>
  <c r="K1089" i="94"/>
  <c r="J74" i="74"/>
  <c r="J1089" i="94"/>
  <c r="I74" i="74"/>
  <c r="I1089" i="94"/>
  <c r="H74" i="74"/>
  <c r="H1089" i="94"/>
  <c r="G74" i="74"/>
  <c r="G1089" i="94"/>
  <c r="F74" i="74"/>
  <c r="F1089" i="94"/>
  <c r="E74" i="74"/>
  <c r="E1089" i="94"/>
  <c r="D74" i="74"/>
  <c r="D1089" i="94"/>
  <c r="C74" i="74"/>
  <c r="C1089" i="94"/>
  <c r="B74" i="74"/>
  <c r="B1089" i="94"/>
  <c r="K42" i="74"/>
  <c r="K1057" i="94"/>
  <c r="J42" i="74"/>
  <c r="J1057" i="94"/>
  <c r="I42" i="74"/>
  <c r="I1057" i="94"/>
  <c r="H42" i="74"/>
  <c r="H1057" i="94"/>
  <c r="G42" i="74"/>
  <c r="G1057" i="94"/>
  <c r="F42" i="74"/>
  <c r="F1057" i="94"/>
  <c r="E42" i="74"/>
  <c r="E1057" i="94"/>
  <c r="D42" i="74"/>
  <c r="D1057" i="94"/>
  <c r="C42" i="74"/>
  <c r="C1057" i="94"/>
  <c r="B42" i="74"/>
  <c r="B1057"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P43" i="68"/>
  <c r="K31" i="74" s="1"/>
  <c r="K985" i="93" s="1"/>
  <c r="B30" i="74"/>
  <c r="B1045" i="94"/>
  <c r="P41" i="68"/>
  <c r="K28" i="74"/>
  <c r="K1043" i="94"/>
  <c r="J28" i="74"/>
  <c r="J1043" i="94"/>
  <c r="I28" i="74"/>
  <c r="I1043" i="94"/>
  <c r="H28" i="74"/>
  <c r="H1043" i="94"/>
  <c r="G28" i="74"/>
  <c r="G1043" i="94"/>
  <c r="F28" i="74"/>
  <c r="F1043" i="94"/>
  <c r="E28" i="74"/>
  <c r="E1043" i="94"/>
  <c r="D28" i="74"/>
  <c r="D1043" i="94"/>
  <c r="C28" i="74"/>
  <c r="C1043" i="94"/>
  <c r="B28" i="74"/>
  <c r="B1043" i="94"/>
  <c r="P40" i="68"/>
  <c r="K27" i="74" s="1"/>
  <c r="P39" i="68"/>
  <c r="K26" i="74" s="1"/>
  <c r="K34" i="74" s="1"/>
  <c r="K1049" i="94" s="1"/>
  <c r="P38" i="68"/>
  <c r="K25" i="74" s="1"/>
  <c r="C13" i="74"/>
  <c r="C23" i="74"/>
  <c r="C1038" i="94"/>
  <c r="D13" i="74"/>
  <c r="D23" i="74"/>
  <c r="D1038" i="94"/>
  <c r="E13" i="74"/>
  <c r="E23" i="74"/>
  <c r="E1038" i="94"/>
  <c r="F13" i="74"/>
  <c r="F23" i="74"/>
  <c r="F1038" i="94"/>
  <c r="G13" i="74"/>
  <c r="G23" i="74"/>
  <c r="G1038" i="94"/>
  <c r="H13" i="74"/>
  <c r="H23" i="74"/>
  <c r="H1038" i="94"/>
  <c r="I13" i="74"/>
  <c r="I23" i="74"/>
  <c r="I1038" i="94"/>
  <c r="J13" i="74"/>
  <c r="J23" i="74"/>
  <c r="J1038" i="94"/>
  <c r="K13" i="74"/>
  <c r="K23" i="74"/>
  <c r="K1038" i="94"/>
  <c r="B23" i="74"/>
  <c r="B1038" i="94"/>
  <c r="K1024" i="94"/>
  <c r="K1023" i="94"/>
  <c r="G1024" i="94"/>
  <c r="G1023" i="94"/>
  <c r="G1020" i="94"/>
  <c r="B1023" i="94"/>
  <c r="F1137" i="94"/>
  <c r="E1137" i="94"/>
  <c r="D1137" i="94"/>
  <c r="C1137" i="94"/>
  <c r="B1137" i="94"/>
  <c r="D1135" i="94"/>
  <c r="K1107" i="94"/>
  <c r="J1107" i="94"/>
  <c r="I1107" i="94"/>
  <c r="H1107" i="94"/>
  <c r="G1107" i="94"/>
  <c r="F1107" i="94"/>
  <c r="E1107" i="94"/>
  <c r="D1107" i="94"/>
  <c r="C1107" i="94"/>
  <c r="B1107" i="94"/>
  <c r="J1105" i="94"/>
  <c r="F1105" i="94"/>
  <c r="B1105" i="94"/>
  <c r="A1083" i="94"/>
  <c r="A1114" i="94"/>
  <c r="A1144" i="94"/>
  <c r="F1078" i="94"/>
  <c r="K1075" i="94"/>
  <c r="J1075" i="94"/>
  <c r="I1075" i="94"/>
  <c r="H1075" i="94"/>
  <c r="G1075" i="94"/>
  <c r="F1075" i="94"/>
  <c r="E1075" i="94"/>
  <c r="D1075" i="94"/>
  <c r="C1075" i="94"/>
  <c r="B1075" i="94"/>
  <c r="A1075" i="94"/>
  <c r="A1107" i="94"/>
  <c r="A1137" i="94"/>
  <c r="H1074" i="94"/>
  <c r="A1074" i="94"/>
  <c r="A1106" i="94"/>
  <c r="A1136" i="94"/>
  <c r="J1073" i="94"/>
  <c r="F1073" i="94"/>
  <c r="B1073" i="94"/>
  <c r="A1073" i="94"/>
  <c r="A1105" i="94"/>
  <c r="A1135" i="94"/>
  <c r="E1072" i="94"/>
  <c r="A1072" i="94"/>
  <c r="A1104" i="94"/>
  <c r="A1134" i="94"/>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c r="Q12" i="75"/>
  <c r="Q774" i="94"/>
  <c r="Q13" i="75"/>
  <c r="Q775" i="94"/>
  <c r="Q14" i="75"/>
  <c r="Q776" i="94"/>
  <c r="Q15" i="75"/>
  <c r="Q777" i="94"/>
  <c r="Q16" i="75"/>
  <c r="Q778" i="94"/>
  <c r="Q17" i="75"/>
  <c r="Q779" i="94" s="1"/>
  <c r="Q18" i="75"/>
  <c r="Q780" i="94" s="1"/>
  <c r="Q19" i="75"/>
  <c r="Q781" i="94" s="1"/>
  <c r="Q20" i="75"/>
  <c r="Q782" i="94" s="1"/>
  <c r="Q21" i="75"/>
  <c r="Q783" i="94" s="1"/>
  <c r="Q22" i="75"/>
  <c r="Q784" i="94"/>
  <c r="Q23" i="75"/>
  <c r="Q785" i="94" s="1"/>
  <c r="Q24" i="75"/>
  <c r="Q786" i="94" s="1"/>
  <c r="Q25" i="75"/>
  <c r="Q787" i="94" s="1"/>
  <c r="Q26" i="75"/>
  <c r="Q788" i="94"/>
  <c r="Q27" i="75"/>
  <c r="Q789" i="94"/>
  <c r="Q28" i="75"/>
  <c r="Q790" i="94"/>
  <c r="Q29" i="75"/>
  <c r="Q791" i="94"/>
  <c r="Q30" i="75"/>
  <c r="Q792" i="94"/>
  <c r="Q31" i="75"/>
  <c r="Q793" i="94"/>
  <c r="Q32" i="75"/>
  <c r="Q794" i="94"/>
  <c r="Q33" i="75"/>
  <c r="Q795" i="94"/>
  <c r="Q34" i="75"/>
  <c r="Q796" i="94"/>
  <c r="Q35" i="75"/>
  <c r="Q797" i="94"/>
  <c r="Q36" i="75"/>
  <c r="Q798" i="94"/>
  <c r="Q37" i="75"/>
  <c r="Q799" i="94"/>
  <c r="Q38" i="75"/>
  <c r="Q800" i="94"/>
  <c r="Q39" i="75"/>
  <c r="Q801" i="94"/>
  <c r="Q40" i="75"/>
  <c r="Q802" i="94"/>
  <c r="Q41" i="75"/>
  <c r="Q803" i="94"/>
  <c r="Q42" i="75"/>
  <c r="Q804" i="94"/>
  <c r="Q43" i="75"/>
  <c r="Q805" i="94"/>
  <c r="Q44" i="75"/>
  <c r="Q806" i="94"/>
  <c r="Q45" i="75"/>
  <c r="Q807" i="94"/>
  <c r="Q46" i="75"/>
  <c r="Q808" i="94"/>
  <c r="Q47" i="75"/>
  <c r="Q809"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F990" i="94" s="1"/>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O773" i="94"/>
  <c r="HT773" i="94"/>
  <c r="P773" i="94"/>
  <c r="N774" i="94"/>
  <c r="O774" i="94"/>
  <c r="P774" i="94"/>
  <c r="N775" i="94"/>
  <c r="O775" i="94"/>
  <c r="P775" i="94"/>
  <c r="N776" i="94"/>
  <c r="O776" i="94"/>
  <c r="P776" i="94"/>
  <c r="N777" i="94"/>
  <c r="O777" i="94"/>
  <c r="LX777" i="94"/>
  <c r="P777" i="94"/>
  <c r="N778" i="94"/>
  <c r="O778" i="94"/>
  <c r="P778" i="94"/>
  <c r="N779" i="94"/>
  <c r="O779" i="94"/>
  <c r="P779" i="94"/>
  <c r="N780" i="94"/>
  <c r="O780" i="94"/>
  <c r="P780" i="94"/>
  <c r="N781" i="94"/>
  <c r="O781" i="94"/>
  <c r="P781" i="94"/>
  <c r="N782" i="94"/>
  <c r="O782" i="94"/>
  <c r="P782" i="94"/>
  <c r="N783" i="94"/>
  <c r="O783" i="94"/>
  <c r="P783" i="94"/>
  <c r="N784" i="94"/>
  <c r="O784" i="94"/>
  <c r="P784" i="94"/>
  <c r="N785" i="94"/>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MD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c r="D774" i="94"/>
  <c r="E774" i="94"/>
  <c r="F774" i="94"/>
  <c r="G774" i="94"/>
  <c r="H774" i="94"/>
  <c r="J774" i="94"/>
  <c r="E775" i="94"/>
  <c r="MS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AM779" i="94" s="1"/>
  <c r="F779" i="94"/>
  <c r="G779" i="94"/>
  <c r="H779" i="94"/>
  <c r="J779" i="94"/>
  <c r="FY779" i="94" s="1"/>
  <c r="D780" i="94"/>
  <c r="E780" i="94"/>
  <c r="AN780" i="94" s="1"/>
  <c r="F780" i="94"/>
  <c r="G780" i="94"/>
  <c r="H780" i="94"/>
  <c r="J780" i="94"/>
  <c r="D781" i="94"/>
  <c r="E781" i="94"/>
  <c r="AO781" i="94" s="1"/>
  <c r="F781" i="94"/>
  <c r="G781" i="94"/>
  <c r="H781" i="94"/>
  <c r="J781" i="94"/>
  <c r="D782" i="94"/>
  <c r="E782" i="94"/>
  <c r="AH782" i="94" s="1"/>
  <c r="F782" i="94"/>
  <c r="G782" i="94"/>
  <c r="H782" i="94"/>
  <c r="J782" i="94"/>
  <c r="GO783" i="94"/>
  <c r="D783" i="94"/>
  <c r="E783" i="94"/>
  <c r="AI783" i="94" s="1"/>
  <c r="F783" i="94"/>
  <c r="G783" i="94"/>
  <c r="H783" i="94"/>
  <c r="J783" i="94"/>
  <c r="D784" i="94"/>
  <c r="E784" i="94"/>
  <c r="AJ784" i="94" s="1"/>
  <c r="F784" i="94"/>
  <c r="G784" i="94"/>
  <c r="H784" i="94"/>
  <c r="J784" i="94"/>
  <c r="D785" i="94"/>
  <c r="E785" i="94"/>
  <c r="X785" i="94" s="1"/>
  <c r="F785" i="94"/>
  <c r="G785" i="94"/>
  <c r="H785" i="94"/>
  <c r="J785" i="94"/>
  <c r="D786" i="94"/>
  <c r="E786" i="94"/>
  <c r="Y786" i="94" s="1"/>
  <c r="F786" i="94"/>
  <c r="G786" i="94"/>
  <c r="H786" i="94"/>
  <c r="J786" i="94"/>
  <c r="D787" i="94"/>
  <c r="E787" i="94"/>
  <c r="Z787" i="94" s="1"/>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EA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ML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Y800" i="94"/>
  <c r="FX800" i="94"/>
  <c r="FV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MA782" i="94"/>
  <c r="LQ782" i="94"/>
  <c r="LG782" i="94"/>
  <c r="HS782" i="94"/>
  <c r="HJ782" i="94"/>
  <c r="HA782" i="94"/>
  <c r="GR782" i="94"/>
  <c r="GI782" i="94"/>
  <c r="FZ782" i="94"/>
  <c r="FP782" i="94"/>
  <c r="FG782" i="94"/>
  <c r="EX782" i="94"/>
  <c r="EO782" i="94"/>
  <c r="DW782" i="94"/>
  <c r="DN782" i="94"/>
  <c r="DD782" i="94"/>
  <c r="CU782" i="94"/>
  <c r="CL782" i="94"/>
  <c r="CD782" i="94"/>
  <c r="BV782" i="94"/>
  <c r="BN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IB780" i="94"/>
  <c r="LO779" i="94"/>
  <c r="LN779" i="94"/>
  <c r="LM779" i="94"/>
  <c r="LL779" i="94"/>
  <c r="LK779" i="94"/>
  <c r="LJ779" i="94"/>
  <c r="LI779" i="94"/>
  <c r="LH779" i="94"/>
  <c r="LG779" i="94"/>
  <c r="LF779" i="94"/>
  <c r="JG779" i="94"/>
  <c r="HY779" i="94"/>
  <c r="GE779" i="94"/>
  <c r="GD779" i="94"/>
  <c r="GC779" i="94"/>
  <c r="GB779" i="94"/>
  <c r="GA779" i="94"/>
  <c r="FZ779" i="94"/>
  <c r="FX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A779" i="94"/>
  <c r="DY779" i="94"/>
  <c r="DW779" i="94"/>
  <c r="DU779" i="94"/>
  <c r="DS779" i="94"/>
  <c r="DQ779" i="94"/>
  <c r="DO779" i="94"/>
  <c r="DM779" i="94"/>
  <c r="DK779" i="94"/>
  <c r="DI779" i="94"/>
  <c r="DG779" i="94"/>
  <c r="DE779" i="94"/>
  <c r="DC779" i="94"/>
  <c r="DA779" i="94"/>
  <c r="CY779" i="94"/>
  <c r="CW779" i="94"/>
  <c r="CU779" i="94"/>
  <c r="CS779" i="94"/>
  <c r="CQ779" i="94"/>
  <c r="CO779" i="94"/>
  <c r="CM779" i="94"/>
  <c r="CK779" i="94"/>
  <c r="CI779" i="94"/>
  <c r="CG779" i="94"/>
  <c r="CE779" i="94"/>
  <c r="CC779" i="94"/>
  <c r="CA779" i="94"/>
  <c r="BY779" i="94"/>
  <c r="BW779" i="94"/>
  <c r="BU779" i="94"/>
  <c r="BS779" i="94"/>
  <c r="BQ779" i="94"/>
  <c r="BO779" i="94"/>
  <c r="BM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c r="W573" i="94"/>
  <c r="W566" i="94"/>
  <c r="V566" i="94"/>
  <c r="W565" i="94"/>
  <c r="V565" i="94"/>
  <c r="W559" i="94"/>
  <c r="V559" i="94"/>
  <c r="W558" i="94"/>
  <c r="V558" i="94"/>
  <c r="W553" i="94"/>
  <c r="V553" i="94"/>
  <c r="V552" i="94"/>
  <c r="V556"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c r="V486" i="94"/>
  <c r="W480" i="94"/>
  <c r="W475" i="94"/>
  <c r="V475" i="94"/>
  <c r="W474" i="94"/>
  <c r="V474" i="94"/>
  <c r="W471" i="94"/>
  <c r="V471" i="94"/>
  <c r="V470" i="94"/>
  <c r="V472"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c r="S574" i="94"/>
  <c r="S573" i="94"/>
  <c r="S575" i="94"/>
  <c r="J574" i="94"/>
  <c r="J573" i="94"/>
  <c r="M574" i="94"/>
  <c r="M573" i="94"/>
  <c r="P574" i="94"/>
  <c r="P573" i="94"/>
  <c r="P570" i="94"/>
  <c r="P569" i="94"/>
  <c r="P571" i="94"/>
  <c r="M570" i="94"/>
  <c r="M569" i="94"/>
  <c r="M571" i="94"/>
  <c r="J570" i="94"/>
  <c r="J569" i="94"/>
  <c r="S570" i="94"/>
  <c r="S569" i="94"/>
  <c r="S568" i="94"/>
  <c r="S567" i="94"/>
  <c r="S566" i="94"/>
  <c r="S565" i="94"/>
  <c r="G570" i="94"/>
  <c r="G569" i="94"/>
  <c r="G568" i="94"/>
  <c r="G567" i="94"/>
  <c r="J567" i="94" s="1"/>
  <c r="G566" i="94"/>
  <c r="J566" i="94"/>
  <c r="G565" i="94"/>
  <c r="S562" i="94"/>
  <c r="S561" i="94"/>
  <c r="S560" i="94"/>
  <c r="P562" i="94"/>
  <c r="P561" i="94"/>
  <c r="P560" i="94"/>
  <c r="M562" i="94"/>
  <c r="M561" i="94"/>
  <c r="M560" i="94"/>
  <c r="J562" i="94"/>
  <c r="J561" i="94"/>
  <c r="J560" i="94"/>
  <c r="G562" i="94"/>
  <c r="G561" i="94"/>
  <c r="G560" i="94"/>
  <c r="S555" i="94"/>
  <c r="S554" i="94"/>
  <c r="S552" i="94"/>
  <c r="S553" i="94"/>
  <c r="S556" i="94"/>
  <c r="G553" i="94"/>
  <c r="G554" i="94"/>
  <c r="G555" i="94"/>
  <c r="S549" i="94"/>
  <c r="S548" i="94"/>
  <c r="S547" i="94"/>
  <c r="S546" i="94"/>
  <c r="S545" i="94"/>
  <c r="S544" i="94"/>
  <c r="S550" i="94" s="1"/>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S522"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A521" i="94" s="1"/>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J563" i="94" s="1"/>
  <c r="G558" i="94"/>
  <c r="G563" i="94" s="1"/>
  <c r="G524" i="94"/>
  <c r="G511" i="94"/>
  <c r="S497" i="94"/>
  <c r="P497" i="94"/>
  <c r="M497" i="94"/>
  <c r="G497" i="94"/>
  <c r="A624" i="94"/>
  <c r="C590" i="94"/>
  <c r="C574" i="94"/>
  <c r="C570" i="94"/>
  <c r="C555" i="94"/>
  <c r="U555" i="94"/>
  <c r="C549" i="94"/>
  <c r="C548" i="94"/>
  <c r="U548" i="94"/>
  <c r="C535" i="94"/>
  <c r="C521" i="94"/>
  <c r="C508" i="94"/>
  <c r="C507" i="94"/>
  <c r="C486" i="94"/>
  <c r="S492" i="94"/>
  <c r="P492" i="94"/>
  <c r="M492" i="94"/>
  <c r="J492" i="94"/>
  <c r="G492" i="94"/>
  <c r="S486" i="94"/>
  <c r="P486" i="94"/>
  <c r="M486" i="94"/>
  <c r="J486" i="94"/>
  <c r="G486" i="94"/>
  <c r="C460" i="94"/>
  <c r="G460" i="94"/>
  <c r="A460" i="94"/>
  <c r="C461" i="94"/>
  <c r="C459" i="94"/>
  <c r="S482" i="94"/>
  <c r="S481" i="94"/>
  <c r="S480" i="94"/>
  <c r="P482" i="94"/>
  <c r="P481" i="94"/>
  <c r="P480" i="94"/>
  <c r="M482" i="94"/>
  <c r="M481" i="94"/>
  <c r="M480" i="94"/>
  <c r="J482" i="94"/>
  <c r="J481" i="94"/>
  <c r="J480" i="94"/>
  <c r="J483" i="94"/>
  <c r="G481" i="94"/>
  <c r="G482" i="94"/>
  <c r="G483" i="94" s="1"/>
  <c r="S471" i="94"/>
  <c r="S470" i="94"/>
  <c r="S472" i="94" s="1"/>
  <c r="J471" i="94"/>
  <c r="J470" i="94"/>
  <c r="J472" i="94" s="1"/>
  <c r="G471" i="94"/>
  <c r="G470" i="94"/>
  <c r="G472" i="94" s="1"/>
  <c r="E480" i="94" s="1"/>
  <c r="S477" i="94"/>
  <c r="S476" i="94"/>
  <c r="S475" i="94"/>
  <c r="S474" i="94"/>
  <c r="P477" i="94"/>
  <c r="P474" i="94"/>
  <c r="P475" i="94"/>
  <c r="P476" i="94"/>
  <c r="P478" i="94"/>
  <c r="M477" i="94"/>
  <c r="M476" i="94"/>
  <c r="M475" i="94"/>
  <c r="M474" i="94"/>
  <c r="J477" i="94"/>
  <c r="J476" i="94"/>
  <c r="J475" i="94"/>
  <c r="J474" i="94"/>
  <c r="J478" i="94" s="1"/>
  <c r="G477" i="94"/>
  <c r="G476" i="94"/>
  <c r="G475" i="94"/>
  <c r="G474" i="94"/>
  <c r="S467" i="94"/>
  <c r="S464" i="94"/>
  <c r="S465" i="94"/>
  <c r="S466" i="94"/>
  <c r="S468" i="94"/>
  <c r="M467" i="94"/>
  <c r="G465" i="94"/>
  <c r="G468" i="94" s="1"/>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U461" i="94"/>
  <c r="G480" i="94"/>
  <c r="M470" i="94"/>
  <c r="M472" i="94"/>
  <c r="P470" i="94"/>
  <c r="P472" i="94"/>
  <c r="M466" i="94"/>
  <c r="G464" i="94"/>
  <c r="G453" i="94"/>
  <c r="J611" i="94"/>
  <c r="O610" i="94"/>
  <c r="I58" i="68"/>
  <c r="J609" i="94" s="1"/>
  <c r="W606" i="94"/>
  <c r="W593" i="94"/>
  <c r="W583" i="94"/>
  <c r="W582" i="94"/>
  <c r="M575" i="94"/>
  <c r="W572" i="94"/>
  <c r="O572" i="94"/>
  <c r="J571" i="94"/>
  <c r="U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W479" i="94"/>
  <c r="O479" i="94"/>
  <c r="W473" i="94"/>
  <c r="O473" i="94"/>
  <c r="W469" i="94"/>
  <c r="O469" i="94"/>
  <c r="F464" i="94"/>
  <c r="W463" i="94"/>
  <c r="O463" i="94"/>
  <c r="A461" i="94"/>
  <c r="W452" i="94"/>
  <c r="O452" i="94"/>
  <c r="V450" i="94"/>
  <c r="D450" i="94"/>
  <c r="A446" i="94"/>
  <c r="W446"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J462" i="94"/>
  <c r="P483" i="94"/>
  <c r="G528" i="94"/>
  <c r="M528" i="94"/>
  <c r="S563" i="94"/>
  <c r="S571"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A508" i="94"/>
  <c r="M563" i="94"/>
  <c r="J591" i="94"/>
  <c r="J595" i="94"/>
  <c r="J613"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V536"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U549" i="94"/>
  <c r="P591" i="94"/>
  <c r="P595" i="94"/>
  <c r="JT774" i="94"/>
  <c r="CY776" i="94"/>
  <c r="GI776" i="94"/>
  <c r="LQ776" i="94"/>
  <c r="DT778" i="94"/>
  <c r="MK780" i="94"/>
  <c r="DG776" i="94"/>
  <c r="EM776" i="94"/>
  <c r="GQ776" i="94"/>
  <c r="LY776" i="94"/>
  <c r="BP778" i="94"/>
  <c r="EB778" i="94"/>
  <c r="S483" i="94"/>
  <c r="U507" i="94"/>
  <c r="G536" i="94"/>
  <c r="MK774" i="94"/>
  <c r="DO776" i="94"/>
  <c r="EU776" i="94"/>
  <c r="GY776" i="94"/>
  <c r="MK776" i="94"/>
  <c r="BX778" i="94"/>
  <c r="IB778" i="94"/>
  <c r="CB784" i="94"/>
  <c r="FD784" i="94"/>
  <c r="ET792" i="94"/>
  <c r="J749" i="94"/>
  <c r="BK776" i="94"/>
  <c r="DW776" i="94"/>
  <c r="FC776" i="94"/>
  <c r="HG776" i="94"/>
  <c r="CF778" i="94"/>
  <c r="CT784" i="94"/>
  <c r="S462" i="94"/>
  <c r="P522" i="94"/>
  <c r="S536" i="94"/>
  <c r="BS776" i="94"/>
  <c r="FK776" i="94"/>
  <c r="HO776" i="94"/>
  <c r="DQ784" i="94"/>
  <c r="BV792" i="94"/>
  <c r="P462"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FB801" i="94"/>
  <c r="GU802" i="94"/>
  <c r="IA803" i="94"/>
  <c r="M522" i="94"/>
  <c r="S528" i="94"/>
  <c r="V468" i="94"/>
  <c r="J732" i="94"/>
  <c r="K749" i="94"/>
  <c r="DE790" i="94"/>
  <c r="HG794" i="94"/>
  <c r="HO794" i="94"/>
  <c r="HW794" i="94"/>
  <c r="LT794" i="94"/>
  <c r="MB794" i="94"/>
  <c r="IC795" i="94"/>
  <c r="FV798" i="94"/>
  <c r="GV802" i="94"/>
  <c r="IB803" i="94"/>
  <c r="K732" i="94"/>
  <c r="M732" i="94"/>
  <c r="L749" i="94"/>
  <c r="GF790" i="94"/>
  <c r="EN795" i="94"/>
  <c r="LM795" i="94"/>
  <c r="LK801" i="94"/>
  <c r="HC802" i="94"/>
  <c r="LS802" i="94"/>
  <c r="BT795" i="94"/>
  <c r="N945" i="94"/>
  <c r="J950" i="94"/>
  <c r="N954" i="94"/>
  <c r="J959" i="94"/>
  <c r="N963" i="94"/>
  <c r="V509" i="94"/>
  <c r="V550" i="94"/>
  <c r="M749" i="94"/>
  <c r="HD802" i="94"/>
  <c r="JE779" i="94"/>
  <c r="KK779"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GF782" i="94"/>
  <c r="GP782" i="94"/>
  <c r="GY782" i="94"/>
  <c r="HH782" i="94"/>
  <c r="HQ782" i="94"/>
  <c r="HZ782" i="94"/>
  <c r="LN782" i="94"/>
  <c r="LW782" i="94"/>
  <c r="IV785" i="94"/>
  <c r="IO787" i="94"/>
  <c r="LA787" i="94"/>
  <c r="JC789" i="94"/>
  <c r="CM790" i="94"/>
  <c r="FJ790" i="94"/>
  <c r="JF779" i="94"/>
  <c r="KL779"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GH782" i="94"/>
  <c r="GQ782" i="94"/>
  <c r="GZ782" i="94"/>
  <c r="HI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X782" i="94"/>
  <c r="LP782" i="94"/>
  <c r="HU782" i="94"/>
  <c r="HM782" i="94"/>
  <c r="HE782" i="94"/>
  <c r="GW782" i="94"/>
  <c r="GO782" i="94"/>
  <c r="GG782" i="94"/>
  <c r="FY782" i="94"/>
  <c r="FQ782" i="94"/>
  <c r="FI782" i="94"/>
  <c r="FA782" i="94"/>
  <c r="ES782" i="94"/>
  <c r="EK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JH779" i="94"/>
  <c r="KN779" i="94"/>
  <c r="CB780" i="94"/>
  <c r="IE781" i="94"/>
  <c r="IM781" i="94"/>
  <c r="IU781" i="94"/>
  <c r="JC781" i="94"/>
  <c r="JK781" i="94"/>
  <c r="JS781" i="94"/>
  <c r="KA781" i="94"/>
  <c r="KI781" i="94"/>
  <c r="KQ781" i="94"/>
  <c r="KY781" i="94"/>
  <c r="MP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MK784" i="94"/>
  <c r="JT785" i="94"/>
  <c r="JM787" i="94"/>
  <c r="MP787" i="94"/>
  <c r="KA789" i="94"/>
  <c r="DN790" i="94"/>
  <c r="GR790" i="94"/>
  <c r="LO798" i="94"/>
  <c r="JI779" i="94"/>
  <c r="KO779"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IL779" i="94"/>
  <c r="JR779" i="94"/>
  <c r="KX779"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JC779" i="94"/>
  <c r="KI779"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V779" i="94"/>
  <c r="JL779" i="94"/>
  <c r="KB779" i="94"/>
  <c r="KR779"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F779" i="94"/>
  <c r="LX779" i="94"/>
  <c r="LP779" i="94"/>
  <c r="HX779" i="94"/>
  <c r="HP779" i="94"/>
  <c r="HH779" i="94"/>
  <c r="GZ779" i="94"/>
  <c r="GR779" i="94"/>
  <c r="GJ779" i="94"/>
  <c r="ME779" i="94"/>
  <c r="LW779" i="94"/>
  <c r="HW779" i="94"/>
  <c r="HO779" i="94"/>
  <c r="HG779" i="94"/>
  <c r="GY779" i="94"/>
  <c r="GQ779" i="94"/>
  <c r="GI779" i="94"/>
  <c r="ML779" i="94"/>
  <c r="MD779" i="94"/>
  <c r="LV779" i="94"/>
  <c r="HV779" i="94"/>
  <c r="HN779" i="94"/>
  <c r="HF779" i="94"/>
  <c r="GX779" i="94"/>
  <c r="GP779" i="94"/>
  <c r="GH779" i="94"/>
  <c r="MA779" i="94"/>
  <c r="LS779" i="94"/>
  <c r="HS779" i="94"/>
  <c r="HK779" i="94"/>
  <c r="HC779" i="94"/>
  <c r="GU779" i="94"/>
  <c r="GM779" i="94"/>
  <c r="LZ779" i="94"/>
  <c r="LR779" i="94"/>
  <c r="HR779" i="94"/>
  <c r="HJ779" i="94"/>
  <c r="HB779" i="94"/>
  <c r="GT779" i="94"/>
  <c r="GL779" i="94"/>
  <c r="HL779" i="94"/>
  <c r="GO779" i="94"/>
  <c r="MC779" i="94"/>
  <c r="HI779" i="94"/>
  <c r="GN779" i="94"/>
  <c r="MB779" i="94"/>
  <c r="HE779" i="94"/>
  <c r="GK779" i="94"/>
  <c r="LU779" i="94"/>
  <c r="HD779" i="94"/>
  <c r="GG779" i="94"/>
  <c r="HQ779" i="94"/>
  <c r="GV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GE810" i="94" s="1"/>
  <c r="N917" i="94" s="1"/>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L810" i="94" s="1"/>
  <c r="J913" i="94" s="1"/>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GC810" i="94" s="1"/>
  <c r="L917" i="94" s="1"/>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LP810" i="94" s="1"/>
  <c r="HX787" i="94"/>
  <c r="HK787" i="94"/>
  <c r="GY787" i="94"/>
  <c r="GM787" i="94"/>
  <c r="MB787" i="94"/>
  <c r="HW787" i="94"/>
  <c r="HI787" i="94"/>
  <c r="GV787" i="94"/>
  <c r="GK787" i="94"/>
  <c r="MA787" i="94"/>
  <c r="HT787" i="94"/>
  <c r="HH787" i="94"/>
  <c r="HH810" i="94" s="1"/>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CQ810" i="94" s="1"/>
  <c r="L843" i="94" s="1"/>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LB783" i="94"/>
  <c r="EY789" i="94"/>
  <c r="O873" i="94"/>
  <c r="A873" i="94"/>
  <c r="J945" i="94"/>
  <c r="J963" i="94"/>
  <c r="MM808" i="94"/>
  <c r="K945" i="94"/>
  <c r="K963" i="94"/>
  <c r="I968" i="94"/>
  <c r="H972" i="94"/>
  <c r="L954" i="94"/>
  <c r="M954" i="94"/>
  <c r="I959" i="94"/>
  <c r="K968" i="94"/>
  <c r="F981" i="94"/>
  <c r="O872" i="94"/>
  <c r="H945" i="94"/>
  <c r="P945" i="94"/>
  <c r="L941" i="94"/>
  <c r="G954" i="94"/>
  <c r="O954" i="94"/>
  <c r="H968" i="94"/>
  <c r="G972" i="94"/>
  <c r="K998" i="94"/>
  <c r="P980"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F811" i="94"/>
  <c r="E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92" i="94"/>
  <c r="A805" i="94"/>
  <c r="A807" i="94"/>
  <c r="A777" i="94"/>
  <c r="A782" i="94"/>
  <c r="A787" i="94"/>
  <c r="A798" i="94"/>
  <c r="A785" i="94"/>
  <c r="A790" i="94"/>
  <c r="A795" i="94"/>
  <c r="A803" i="94"/>
  <c r="A775" i="94"/>
  <c r="A793" i="94"/>
  <c r="A801" i="94"/>
  <c r="A808" i="94"/>
  <c r="A780" i="94"/>
  <c r="BM780" i="94"/>
  <c r="BU780" i="94"/>
  <c r="CC780" i="94"/>
  <c r="CK780" i="94"/>
  <c r="CS780" i="94"/>
  <c r="DA780" i="94"/>
  <c r="DI780" i="94"/>
  <c r="DQ780" i="94"/>
  <c r="DY780" i="94"/>
  <c r="EO780" i="94"/>
  <c r="EW780" i="94"/>
  <c r="FE780" i="94"/>
  <c r="FE810" i="94" s="1"/>
  <c r="M911" i="94" s="1"/>
  <c r="FM780" i="94"/>
  <c r="FU780" i="94"/>
  <c r="FU810" i="94" s="1"/>
  <c r="N915" i="94" s="1"/>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L810" i="94" s="1"/>
  <c r="K864" i="94" s="1"/>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Q810" i="94" s="1"/>
  <c r="N908" i="94" s="1"/>
  <c r="EY780" i="94"/>
  <c r="FG780" i="94"/>
  <c r="FG810" i="94" s="1"/>
  <c r="J912" i="94" s="1"/>
  <c r="FO780" i="94"/>
  <c r="GM780" i="94"/>
  <c r="GU780" i="94"/>
  <c r="HC780" i="94"/>
  <c r="HK780" i="94"/>
  <c r="HS780" i="94"/>
  <c r="LK780" i="94"/>
  <c r="LT780" i="94"/>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A810" i="94" s="1"/>
  <c r="N910" i="94" s="1"/>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L810" i="94" s="1"/>
  <c r="N907" i="94" s="1"/>
  <c r="ET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I810" i="94" s="1"/>
  <c r="N845" i="94" s="1"/>
  <c r="CQ780" i="94"/>
  <c r="CY780" i="94"/>
  <c r="DG780" i="94"/>
  <c r="DO780" i="94"/>
  <c r="DW780" i="94"/>
  <c r="EM780" i="94"/>
  <c r="EU780" i="94"/>
  <c r="FC780" i="94"/>
  <c r="FK780" i="94"/>
  <c r="FS780" i="94"/>
  <c r="GI780" i="94"/>
  <c r="GQ780" i="94"/>
  <c r="GY780" i="94"/>
  <c r="HG780" i="94"/>
  <c r="HO780" i="94"/>
  <c r="HW780" i="94"/>
  <c r="LG780" i="94"/>
  <c r="LO780" i="94"/>
  <c r="LO810" i="94" s="1"/>
  <c r="LZ780" i="94"/>
  <c r="BT788" i="94"/>
  <c r="FL788" i="94"/>
  <c r="HP788" i="94"/>
  <c r="LP788" i="94"/>
  <c r="CC796" i="94"/>
  <c r="FU796" i="94"/>
  <c r="DT804" i="94"/>
  <c r="ER804" i="94"/>
  <c r="GV804" i="94"/>
  <c r="I732" i="94"/>
  <c r="V528" i="94"/>
  <c r="V522" i="94"/>
  <c r="V478" i="94"/>
  <c r="V563" i="94"/>
  <c r="V571" i="94"/>
  <c r="V462" i="94"/>
  <c r="U574" i="94"/>
  <c r="F513" i="94"/>
  <c r="U521" i="94"/>
  <c r="S509" i="94"/>
  <c r="P509" i="94"/>
  <c r="M509" i="94"/>
  <c r="M577" i="94"/>
  <c r="M594" i="94"/>
  <c r="M596" i="94"/>
  <c r="M598" i="94"/>
  <c r="A507" i="94"/>
  <c r="U508" i="94"/>
  <c r="A574" i="94"/>
  <c r="A555" i="94"/>
  <c r="A549" i="94"/>
  <c r="A548" i="94"/>
  <c r="U535"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P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L408" i="94" s="1"/>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E1028" i="94"/>
  <c r="K895" i="94"/>
  <c r="K852" i="94"/>
  <c r="P577" i="94"/>
  <c r="P594" i="94"/>
  <c r="P596" i="94"/>
  <c r="P598" i="94"/>
  <c r="DK810" i="94"/>
  <c r="L857" i="94" s="1"/>
  <c r="GB810" i="94"/>
  <c r="K917" i="94" s="1"/>
  <c r="GA810" i="94"/>
  <c r="J917" i="94" s="1"/>
  <c r="LQ810" i="94"/>
  <c r="EZ810" i="94"/>
  <c r="M910" i="94" s="1"/>
  <c r="ES810" i="94"/>
  <c r="K909" i="94" s="1"/>
  <c r="ER810" i="94"/>
  <c r="J909" i="94" s="1"/>
  <c r="EV810" i="94"/>
  <c r="N909" i="94" s="1"/>
  <c r="FT810" i="94"/>
  <c r="M915" i="94" s="1"/>
  <c r="HR810" i="94"/>
  <c r="M870" i="94" s="1"/>
  <c r="GH810" i="94"/>
  <c r="L863" i="94" s="1"/>
  <c r="EX810" i="94"/>
  <c r="K910" i="94" s="1"/>
  <c r="LJ810" i="94"/>
  <c r="FF810" i="94"/>
  <c r="N911" i="94" s="1"/>
  <c r="KO810" i="94"/>
  <c r="M882" i="94" s="1"/>
  <c r="M901" i="94" s="1"/>
  <c r="FH810" i="94"/>
  <c r="K912" i="94" s="1"/>
  <c r="GX810" i="94"/>
  <c r="M866" i="94" s="1"/>
  <c r="HM810" i="94"/>
  <c r="M869" i="94" s="1"/>
  <c r="EU810" i="94"/>
  <c r="M909" i="94" s="1"/>
  <c r="LK810" i="94"/>
  <c r="ET810" i="94"/>
  <c r="L909" i="94" s="1"/>
  <c r="HG810" i="94"/>
  <c r="DU810" i="94"/>
  <c r="L855" i="94" s="1"/>
  <c r="DM810" i="94"/>
  <c r="N857" i="94" s="1"/>
  <c r="EN810" i="94"/>
  <c r="K908" i="94" s="1"/>
  <c r="CE810" i="94"/>
  <c r="J845" i="94" s="1"/>
  <c r="FD810" i="94"/>
  <c r="L911" i="94" s="1"/>
  <c r="LM810" i="94"/>
  <c r="LN810" i="94"/>
  <c r="DW810" i="94"/>
  <c r="N855" i="94" s="1"/>
  <c r="LH810" i="94"/>
  <c r="DY810" i="94"/>
  <c r="K854" i="94" s="1"/>
  <c r="LZ810" i="94"/>
  <c r="FS810" i="94"/>
  <c r="L915" i="94" s="1"/>
  <c r="FM810" i="94"/>
  <c r="K913" i="94" s="1"/>
  <c r="FJ810" i="94"/>
  <c r="M912" i="94" s="1"/>
  <c r="CU810" i="94"/>
  <c r="K860" i="94" s="1"/>
  <c r="EJ810" i="94"/>
  <c r="L907" i="94" s="1"/>
  <c r="HP810" i="94"/>
  <c r="K870" i="94" s="1"/>
  <c r="CW810" i="94"/>
  <c r="M860" i="94" s="1"/>
  <c r="V577" i="94"/>
  <c r="F34" i="94"/>
  <c r="A24" i="94" s="1"/>
  <c r="P201" i="94"/>
  <c r="P113" i="94"/>
  <c r="H113" i="94"/>
  <c r="P111" i="94"/>
  <c r="H111" i="94"/>
  <c r="P110" i="94"/>
  <c r="H110" i="94"/>
  <c r="N111" i="94"/>
  <c r="H99" i="94"/>
  <c r="L61" i="94"/>
  <c r="A5" i="94"/>
  <c r="A2" i="94"/>
  <c r="F1028"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20" i="75"/>
  <c r="I782" i="94" s="1"/>
  <c r="K782" i="94" s="1"/>
  <c r="L782" i="94" s="1"/>
  <c r="I19" i="75"/>
  <c r="I781" i="94" s="1"/>
  <c r="K781" i="94" s="1"/>
  <c r="L781" i="94" s="1"/>
  <c r="I18" i="75"/>
  <c r="I780" i="94" s="1"/>
  <c r="K780" i="94" s="1"/>
  <c r="L780" i="94" s="1"/>
  <c r="I779" i="94"/>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F19" i="78"/>
  <c r="H1028" i="94"/>
  <c r="F98" i="72"/>
  <c r="H88" i="72"/>
  <c r="K49" i="72"/>
  <c r="H167" i="73"/>
  <c r="I167" i="73"/>
  <c r="L167" i="73"/>
  <c r="K167" i="73"/>
  <c r="F167" i="73"/>
  <c r="I1028" i="94"/>
  <c r="N241" i="73"/>
  <c r="J1028" i="94"/>
  <c r="P243" i="75"/>
  <c r="P1005" i="94"/>
  <c r="R133" i="75"/>
  <c r="R90" i="75"/>
  <c r="K1028" i="94"/>
  <c r="R1" i="73"/>
  <c r="C8" i="74"/>
  <c r="B1060" i="94"/>
  <c r="Q53" i="72"/>
  <c r="Q52" i="72"/>
  <c r="L52" i="72"/>
  <c r="C1060" i="94"/>
  <c r="B1070" i="94"/>
  <c r="C1070" i="94"/>
  <c r="D1060" i="94"/>
  <c r="D1070" i="94"/>
  <c r="E1060" i="94"/>
  <c r="B3" i="76"/>
  <c r="C3" i="74"/>
  <c r="B6" i="72"/>
  <c r="K5" i="75"/>
  <c r="D5" i="78"/>
  <c r="L3" i="68"/>
  <c r="O3" i="67"/>
  <c r="E1070" i="94"/>
  <c r="F1060" i="94"/>
  <c r="Q12" i="72"/>
  <c r="P369" i="72"/>
  <c r="F1070" i="94"/>
  <c r="G1060" i="94"/>
  <c r="E18" i="72"/>
  <c r="P107" i="72"/>
  <c r="M448" i="72"/>
  <c r="G1070" i="94"/>
  <c r="H1060" i="94"/>
  <c r="P330" i="72"/>
  <c r="P336" i="72"/>
  <c r="I1060" i="94"/>
  <c r="H1070" i="94"/>
  <c r="P334" i="72"/>
  <c r="P329" i="72"/>
  <c r="J1060" i="94"/>
  <c r="I1070" i="94"/>
  <c r="Q336" i="72"/>
  <c r="K1060" i="94"/>
  <c r="J1070" i="94"/>
  <c r="A3" i="94"/>
  <c r="J279" i="72"/>
  <c r="P288" i="72"/>
  <c r="Q281" i="72"/>
  <c r="P205" i="72"/>
  <c r="B1092" i="94"/>
  <c r="K1070" i="94"/>
  <c r="L168" i="72"/>
  <c r="L167" i="72"/>
  <c r="L166" i="72"/>
  <c r="C1092" i="94"/>
  <c r="B1102" i="94"/>
  <c r="P51"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c r="E1092" i="94"/>
  <c r="F49" i="75"/>
  <c r="E1102" i="94"/>
  <c r="F1092" i="94"/>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c r="H1092" i="94"/>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H1102" i="94"/>
  <c r="I1092" i="94"/>
  <c r="J1092" i="94"/>
  <c r="I1102" i="94"/>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B48" i="75" s="1"/>
  <c r="M97" i="75" s="1"/>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O48" i="75" s="1"/>
  <c r="K94" i="75" s="1"/>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HJ48" i="75" s="1"/>
  <c r="J107" i="75" s="1"/>
  <c r="GY17" i="75"/>
  <c r="GX17" i="75"/>
  <c r="GW17" i="75"/>
  <c r="GV17" i="75"/>
  <c r="GV48" i="75" s="1"/>
  <c r="K104" i="75" s="1"/>
  <c r="GU17" i="75"/>
  <c r="GJ17" i="75"/>
  <c r="GJ48" i="75" s="1"/>
  <c r="N101" i="75" s="1"/>
  <c r="GI17" i="75"/>
  <c r="GH17" i="75"/>
  <c r="GH48" i="75" s="1"/>
  <c r="L101" i="75" s="1"/>
  <c r="GG17" i="75"/>
  <c r="GF17" i="75"/>
  <c r="GF48" i="75" s="1"/>
  <c r="J101" i="75" s="1"/>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1092" i="94"/>
  <c r="J1102" i="94"/>
  <c r="K234" i="72"/>
  <c r="B1122" i="94"/>
  <c r="K1102" i="94"/>
  <c r="P298" i="72"/>
  <c r="B1132" i="94"/>
  <c r="C1122" i="94"/>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6" i="93"/>
  <c r="J1006" i="93"/>
  <c r="I1006" i="93"/>
  <c r="H1006" i="93"/>
  <c r="G1006" i="93"/>
  <c r="F1006" i="93"/>
  <c r="E1006" i="93"/>
  <c r="D1006" i="93"/>
  <c r="C1006" i="93"/>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I976" i="93"/>
  <c r="H976" i="93"/>
  <c r="G976" i="93"/>
  <c r="F976" i="93"/>
  <c r="E976" i="93"/>
  <c r="D976" i="93"/>
  <c r="C976" i="93"/>
  <c r="C992" i="93" s="1"/>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F945" i="93" s="1"/>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BV780" i="93" s="1"/>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BS774" i="93" s="1"/>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C780" i="93"/>
  <c r="C779" i="93"/>
  <c r="C778" i="93"/>
  <c r="C777" i="93"/>
  <c r="C776" i="93"/>
  <c r="C775" i="93"/>
  <c r="C774" i="93"/>
  <c r="C773" i="93"/>
  <c r="EZ773" i="93"/>
  <c r="C772" i="93"/>
  <c r="EX772" i="93"/>
  <c r="C771" i="93"/>
  <c r="FA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c r="D1022" i="93"/>
  <c r="I1051" i="93"/>
  <c r="E1079" i="93"/>
  <c r="E992" i="93"/>
  <c r="D992" i="93"/>
  <c r="C1022" i="93"/>
  <c r="B1051" i="93"/>
  <c r="K1022" i="93"/>
  <c r="H1051" i="93"/>
  <c r="D1079" i="93"/>
  <c r="F992" i="93"/>
  <c r="E1022" i="93"/>
  <c r="J1051" i="93"/>
  <c r="F1079" i="93"/>
  <c r="G992" i="93"/>
  <c r="F1022" i="93"/>
  <c r="C1051" i="93"/>
  <c r="K1051" i="93"/>
  <c r="H992" i="93"/>
  <c r="G1022" i="93"/>
  <c r="D1051" i="93"/>
  <c r="I992" i="93"/>
  <c r="H1022" i="93"/>
  <c r="E1051" i="93"/>
  <c r="J992" i="93"/>
  <c r="I1022" i="93"/>
  <c r="F1051" i="93"/>
  <c r="B1079" i="93"/>
  <c r="J1022" i="93"/>
  <c r="G1051" i="93"/>
  <c r="C1079" i="93"/>
  <c r="EY781" i="93"/>
  <c r="IH779" i="93"/>
  <c r="O1477" i="93"/>
  <c r="N1477" i="93"/>
  <c r="A1097" i="93"/>
  <c r="H1097" i="93"/>
  <c r="FZ767" i="93"/>
  <c r="J912" i="93"/>
  <c r="GX775" i="93"/>
  <c r="HF770" i="93"/>
  <c r="BY772" i="93"/>
  <c r="CZ804" i="93"/>
  <c r="BU796" i="93"/>
  <c r="EZ796"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HH778" i="93"/>
  <c r="JM770" i="93"/>
  <c r="FZ770" i="93"/>
  <c r="HY786" i="93"/>
  <c r="IA770" i="93"/>
  <c r="CX803" i="93"/>
  <c r="BU773" i="93"/>
  <c r="EX788" i="93"/>
  <c r="EX797" i="93"/>
  <c r="AO782"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HS790" i="93"/>
  <c r="HK770" i="93"/>
  <c r="FP774" i="93"/>
  <c r="FB786" i="93"/>
  <c r="IH799" i="93"/>
  <c r="ID775" i="93"/>
  <c r="JK771" i="93"/>
  <c r="CT781" i="93"/>
  <c r="IV769" i="93"/>
  <c r="DX777" i="93"/>
  <c r="DQ793" i="93"/>
  <c r="HY771" i="93"/>
  <c r="IA779" i="93"/>
  <c r="FE770" i="93"/>
  <c r="HR774" i="93"/>
  <c r="FO770" i="93"/>
  <c r="HQ770" i="93"/>
  <c r="FV774" i="93"/>
  <c r="IE777" i="93"/>
  <c r="GQ774" i="93"/>
  <c r="I903" i="93"/>
  <c r="AA769" i="93"/>
  <c r="FL778" i="93"/>
  <c r="FW790" i="93"/>
  <c r="AP786" i="93"/>
  <c r="CI770" i="93"/>
  <c r="J903" i="93"/>
  <c r="FM769" i="93"/>
  <c r="GJ769" i="93"/>
  <c r="GP770" i="93"/>
  <c r="AM770" i="93"/>
  <c r="GU770" i="93"/>
  <c r="HG774" i="93"/>
  <c r="GK770" i="93"/>
  <c r="EY770"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DB780" i="93"/>
  <c r="BV788" i="93"/>
  <c r="DB788" i="93"/>
  <c r="BV796" i="93"/>
  <c r="DC796" i="93"/>
  <c r="HI768" i="93"/>
  <c r="JM772" i="93"/>
  <c r="CT804" i="93"/>
  <c r="BX790" i="93"/>
  <c r="ES770" i="93"/>
  <c r="HS772" i="93"/>
  <c r="J889" i="93"/>
  <c r="N894" i="93"/>
  <c r="L894" i="93"/>
  <c r="J898" i="93"/>
  <c r="H898" i="93"/>
  <c r="P898" i="93"/>
  <c r="N903" i="93"/>
  <c r="I912" i="93"/>
  <c r="EH771" i="93"/>
  <c r="JB771" i="93"/>
  <c r="DA772" i="93"/>
  <c r="FA772" i="93"/>
  <c r="FZ773" i="93"/>
  <c r="GW773" i="93"/>
  <c r="HY773" i="93"/>
  <c r="CO775" i="93"/>
  <c r="AR777" i="93"/>
  <c r="BV777" i="93"/>
  <c r="CX777" i="93"/>
  <c r="FT777" i="93"/>
  <c r="HH777" i="93"/>
  <c r="EW780" i="93"/>
  <c r="BX788" i="93"/>
  <c r="DL788" i="93"/>
  <c r="BX796" i="93"/>
  <c r="EX796" i="93"/>
  <c r="EU796" i="93"/>
  <c r="EG788"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N780" i="93"/>
  <c r="EZ780" i="93"/>
  <c r="JQ788" i="93"/>
  <c r="JD788" i="93"/>
  <c r="JN788" i="93"/>
  <c r="JC788" i="93"/>
  <c r="JM788" i="93"/>
  <c r="JL788" i="93"/>
  <c r="JK788" i="93"/>
  <c r="JI788" i="93"/>
  <c r="JF788" i="93"/>
  <c r="JG788" i="93"/>
  <c r="CX772" i="93"/>
  <c r="CW772" i="93"/>
  <c r="CU772" i="93"/>
  <c r="AZ772" i="93"/>
  <c r="CT772" i="93"/>
  <c r="BP772" i="93"/>
  <c r="BI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A780" i="93"/>
  <c r="FU780" i="93"/>
  <c r="HP780" i="93"/>
  <c r="GJ780" i="93"/>
  <c r="FD780" i="93"/>
  <c r="GY780" i="93"/>
  <c r="FS780" i="93"/>
  <c r="HN780" i="93"/>
  <c r="GH780" i="93"/>
  <c r="FB780" i="93"/>
  <c r="HE780" i="93"/>
  <c r="FY780" i="93"/>
  <c r="HC780" i="93"/>
  <c r="HB780" i="93"/>
  <c r="GV780" i="93"/>
  <c r="GU780" i="93"/>
  <c r="GT780" i="93"/>
  <c r="IA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X779" i="93"/>
  <c r="CX779" i="93"/>
  <c r="CW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ES779" i="93"/>
  <c r="EQ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JG776" i="93"/>
  <c r="EY776" i="93"/>
  <c r="DA776" i="93"/>
  <c r="EZ776" i="93"/>
  <c r="FH776" i="93"/>
  <c r="GN776" i="93"/>
  <c r="HT776" i="93"/>
  <c r="JH776" i="93"/>
  <c r="AH776" i="93"/>
  <c r="DB776" i="93"/>
  <c r="FA776" i="93"/>
  <c r="GG776" i="93"/>
  <c r="HM776" i="93"/>
  <c r="JI776" i="93"/>
  <c r="BC776" i="93"/>
  <c r="DC776" i="93"/>
  <c r="FJ776" i="93"/>
  <c r="GP776" i="93"/>
  <c r="HV776" i="93"/>
  <c r="JJ776" i="93"/>
  <c r="CV776" i="93"/>
  <c r="GA776" i="93"/>
  <c r="HG776" i="93"/>
  <c r="JK776" i="93"/>
  <c r="BV776" i="93"/>
  <c r="EG776" i="93"/>
  <c r="GB776" i="93"/>
  <c r="GR776" i="93"/>
  <c r="HH776" i="93"/>
  <c r="HX776" i="93"/>
  <c r="JL776" i="93"/>
  <c r="CX776" i="93"/>
  <c r="EW776" i="93"/>
  <c r="FM776" i="93"/>
  <c r="GC776" i="93"/>
  <c r="GS776" i="93"/>
  <c r="HI776" i="93"/>
  <c r="HY776" i="93"/>
  <c r="JM776" i="93"/>
  <c r="BX776" i="93"/>
  <c r="EX776" i="93"/>
  <c r="FN776" i="93"/>
  <c r="GD776" i="93"/>
  <c r="GT776" i="93"/>
  <c r="HJ776" i="93"/>
  <c r="HZ776" i="93"/>
  <c r="JL771" i="93"/>
  <c r="JH779" i="93"/>
  <c r="JP779" i="93"/>
  <c r="JE771" i="93"/>
  <c r="JM771" i="93"/>
  <c r="JF772" i="93"/>
  <c r="JN772" i="93"/>
  <c r="JI779" i="93"/>
  <c r="JQ779" i="93"/>
  <c r="JM780" i="93"/>
  <c r="JN771" i="93"/>
  <c r="JG771" i="93"/>
  <c r="JO771" i="93"/>
  <c r="JH772" i="93"/>
  <c r="JP772" i="93"/>
  <c r="JC779" i="93"/>
  <c r="JK779" i="93"/>
  <c r="JG780" i="93"/>
  <c r="JD771" i="93"/>
  <c r="JF771" i="93"/>
  <c r="JH771" i="93"/>
  <c r="JP771" i="93"/>
  <c r="JI772" i="93"/>
  <c r="JQ772" i="93"/>
  <c r="JD779" i="93"/>
  <c r="JL779" i="93"/>
  <c r="JH780" i="93"/>
  <c r="JJ779" i="93"/>
  <c r="JI771" i="93"/>
  <c r="JQ771" i="93"/>
  <c r="JJ772" i="93"/>
  <c r="JE779" i="93"/>
  <c r="JM779" i="93"/>
  <c r="JI780" i="93"/>
  <c r="JC772" i="93"/>
  <c r="JF779" i="93"/>
  <c r="AT788" i="93"/>
  <c r="IH788" i="93"/>
  <c r="EB772" i="93"/>
  <c r="IZ772" i="93"/>
  <c r="CI797" i="93"/>
  <c r="ER772" i="93"/>
  <c r="CH803" i="93"/>
  <c r="IH803" i="93"/>
  <c r="CC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GU782" i="93"/>
  <c r="G885" i="93"/>
  <c r="L889" i="93"/>
  <c r="P903" i="93"/>
  <c r="L907" i="93"/>
  <c r="J907" i="93"/>
  <c r="CU767" i="93"/>
  <c r="CU775" i="93"/>
  <c r="CW783" i="93"/>
  <c r="CX791" i="93"/>
  <c r="CX799" i="93"/>
  <c r="M907" i="93"/>
  <c r="K923" i="93"/>
  <c r="P924" i="93"/>
  <c r="CU792" i="93"/>
  <c r="CW800" i="93"/>
  <c r="DB770" i="93"/>
  <c r="IM786" i="93"/>
  <c r="AB794" i="93"/>
  <c r="JP804" i="93"/>
  <c r="IP790" i="93"/>
  <c r="G889" i="93"/>
  <c r="O889" i="93"/>
  <c r="K903" i="93"/>
  <c r="HV770" i="93"/>
  <c r="FP802" i="93"/>
  <c r="H889" i="93"/>
  <c r="P889" i="93"/>
  <c r="L903" i="93"/>
  <c r="H907" i="93"/>
  <c r="P907" i="93"/>
  <c r="N907" i="93"/>
  <c r="K916" i="93"/>
  <c r="O1583" i="93"/>
  <c r="P1567" i="93"/>
  <c r="F1569" i="93"/>
  <c r="P1564" i="93"/>
  <c r="O1569" i="93"/>
  <c r="P1566" i="93"/>
  <c r="J1569" i="93"/>
  <c r="P1565" i="93"/>
  <c r="D969" i="93"/>
  <c r="C975" i="93"/>
  <c r="C977" i="93"/>
  <c r="G912" i="93"/>
  <c r="HC786" i="93"/>
  <c r="FM786" i="93"/>
  <c r="HN786" i="93"/>
  <c r="FW786" i="93"/>
  <c r="GM790" i="93"/>
  <c r="HC790" i="93"/>
  <c r="GC794" i="93"/>
  <c r="HI794" i="93"/>
  <c r="GC798" i="93"/>
  <c r="HT798" i="93"/>
  <c r="FJ770" i="93"/>
  <c r="GE770" i="93"/>
  <c r="HA770" i="93"/>
  <c r="FK774" i="93"/>
  <c r="HB774" i="93"/>
  <c r="FD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IK774" i="93"/>
  <c r="Z778" i="93"/>
  <c r="ET778" i="93"/>
  <c r="EL786" i="93"/>
  <c r="CZ790" i="93"/>
  <c r="AK798" i="93"/>
  <c r="BV770" i="93"/>
  <c r="ED770" i="93"/>
  <c r="IO770" i="93"/>
  <c r="DY774" i="93"/>
  <c r="AE770" i="93"/>
  <c r="CC770" i="93"/>
  <c r="DI770" i="93"/>
  <c r="EL770" i="93"/>
  <c r="IU770" i="93"/>
  <c r="CF774" i="93"/>
  <c r="EI774" i="93"/>
  <c r="BN778" i="93"/>
  <c r="EA778"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C778" i="93"/>
  <c r="BY786" i="93"/>
  <c r="Y770" i="93"/>
  <c r="AB774" i="93"/>
  <c r="CM778" i="93"/>
  <c r="CP786" i="93"/>
  <c r="CR794" i="93"/>
  <c r="BO770"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L774" i="93"/>
  <c r="JD774" i="93"/>
  <c r="IP774" i="93"/>
  <c r="IC774" i="93"/>
  <c r="HU774" i="93"/>
  <c r="HM774" i="93"/>
  <c r="HE774" i="93"/>
  <c r="GW774" i="93"/>
  <c r="GO774" i="93"/>
  <c r="GG774" i="93"/>
  <c r="FY774" i="93"/>
  <c r="FQ774" i="93"/>
  <c r="FI774" i="93"/>
  <c r="FA774" i="93"/>
  <c r="EO774" i="93"/>
  <c r="EA774" i="93"/>
  <c r="DP774" i="93"/>
  <c r="DE774" i="93"/>
  <c r="CN774" i="93"/>
  <c r="CC774" i="93"/>
  <c r="BT774" i="93"/>
  <c r="AY774" i="93"/>
  <c r="AN774" i="93"/>
  <c r="AC774" i="93"/>
  <c r="IX778" i="93"/>
  <c r="HU778" i="93"/>
  <c r="GO778" i="93"/>
  <c r="FE778" i="93"/>
  <c r="JM778" i="93"/>
  <c r="JI778" i="93"/>
  <c r="JE778" i="93"/>
  <c r="IY778" i="93"/>
  <c r="IK778" i="93"/>
  <c r="HV778" i="93"/>
  <c r="HN778" i="93"/>
  <c r="HF778" i="93"/>
  <c r="GX778" i="93"/>
  <c r="GP778" i="93"/>
  <c r="GH778" i="93"/>
  <c r="FZ778" i="93"/>
  <c r="FR778" i="93"/>
  <c r="FJ778" i="93"/>
  <c r="FB778" i="93"/>
  <c r="EX778" i="93"/>
  <c r="EI778" i="93"/>
  <c r="DV778" i="93"/>
  <c r="DG778" i="93"/>
  <c r="CW778" i="93"/>
  <c r="CK778" i="93"/>
  <c r="BX778" i="93"/>
  <c r="BK778" i="93"/>
  <c r="AX778" i="93"/>
  <c r="AI778" i="93"/>
  <c r="JL778" i="93"/>
  <c r="JH778" i="93"/>
  <c r="JD778" i="93"/>
  <c r="IP778" i="93"/>
  <c r="II778" i="93"/>
  <c r="HY778" i="93"/>
  <c r="HM778" i="93"/>
  <c r="HA778" i="93"/>
  <c r="GS778" i="93"/>
  <c r="GG778" i="93"/>
  <c r="GC778" i="93"/>
  <c r="FY778" i="93"/>
  <c r="FQ778" i="93"/>
  <c r="FM778" i="93"/>
  <c r="FI778" i="93"/>
  <c r="FA778" i="93"/>
  <c r="EW778" i="93"/>
  <c r="JP782" i="93"/>
  <c r="JL782" i="93"/>
  <c r="JH782" i="93"/>
  <c r="JD782" i="93"/>
  <c r="IQ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JJ782" i="93"/>
  <c r="HX782" i="93"/>
  <c r="HN782" i="93"/>
  <c r="GX782" i="93"/>
  <c r="GB782" i="93"/>
  <c r="FG782" i="93"/>
  <c r="EC782" i="93"/>
  <c r="DB782" i="93"/>
  <c r="BY782" i="93"/>
  <c r="JQ782" i="93"/>
  <c r="JK782" i="93"/>
  <c r="JF782" i="93"/>
  <c r="IO782" i="93"/>
  <c r="HZ782" i="93"/>
  <c r="HT782" i="93"/>
  <c r="HO782" i="93"/>
  <c r="HJ782" i="93"/>
  <c r="HD782" i="93"/>
  <c r="GY782" i="93"/>
  <c r="GT782" i="93"/>
  <c r="GN782" i="93"/>
  <c r="GI782" i="93"/>
  <c r="GD782" i="93"/>
  <c r="FX782" i="93"/>
  <c r="FS782" i="93"/>
  <c r="FN782" i="93"/>
  <c r="FH782" i="93"/>
  <c r="FC782" i="93"/>
  <c r="EX782" i="93"/>
  <c r="EN782" i="93"/>
  <c r="DX782" i="93"/>
  <c r="DI782" i="93"/>
  <c r="DC782" i="93"/>
  <c r="CY782" i="93"/>
  <c r="CU782" i="93"/>
  <c r="CO782" i="93"/>
  <c r="CA782" i="93"/>
  <c r="BV782" i="93"/>
  <c r="BP782" i="93"/>
  <c r="BA782" i="93"/>
  <c r="AM782" i="93"/>
  <c r="Y782" i="93"/>
  <c r="JO782" i="93"/>
  <c r="JE782" i="93"/>
  <c r="IN782" i="93"/>
  <c r="HS782" i="93"/>
  <c r="HH782" i="93"/>
  <c r="HC782" i="93"/>
  <c r="GR782" i="93"/>
  <c r="GM782" i="93"/>
  <c r="GH782" i="93"/>
  <c r="FW782" i="93"/>
  <c r="FR782" i="93"/>
  <c r="FL782" i="93"/>
  <c r="FB782" i="93"/>
  <c r="EU782" i="93"/>
  <c r="DW782" i="93"/>
  <c r="DH782" i="93"/>
  <c r="CX782" i="93"/>
  <c r="CT782" i="93"/>
  <c r="CF782" i="93"/>
  <c r="BU782" i="93"/>
  <c r="BM782" i="93"/>
  <c r="AZ782" i="93"/>
  <c r="AE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K774" i="93"/>
  <c r="CA774" i="93"/>
  <c r="DM774" i="93"/>
  <c r="EL774" i="93"/>
  <c r="FG774" i="93"/>
  <c r="FW774" i="93"/>
  <c r="GM774" i="93"/>
  <c r="HC774" i="93"/>
  <c r="ID774" i="93"/>
  <c r="JE774" i="93"/>
  <c r="AM778" i="93"/>
  <c r="AU778" i="93"/>
  <c r="BO778" i="93"/>
  <c r="BW778" i="93"/>
  <c r="CO778" i="93"/>
  <c r="CV778" i="93"/>
  <c r="DK778" i="93"/>
  <c r="DS778" i="93"/>
  <c r="EM778" i="93"/>
  <c r="FG778" i="93"/>
  <c r="FO778" i="93"/>
  <c r="FW778" i="93"/>
  <c r="GM778" i="93"/>
  <c r="GU778" i="93"/>
  <c r="HK778" i="93"/>
  <c r="HS778" i="93"/>
  <c r="IM778" i="93"/>
  <c r="JA778" i="93"/>
  <c r="AB782" i="93"/>
  <c r="BE782" i="93"/>
  <c r="DA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BP774" i="93"/>
  <c r="CJ774" i="93"/>
  <c r="CV774" i="93"/>
  <c r="DO774" i="93"/>
  <c r="EM774" i="93"/>
  <c r="FC774" i="93"/>
  <c r="FN774" i="93"/>
  <c r="GD774" i="93"/>
  <c r="GN774" i="93"/>
  <c r="GY774" i="93"/>
  <c r="HJ774" i="93"/>
  <c r="HZ774" i="93"/>
  <c r="IO774" i="93"/>
  <c r="JF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O774" i="93"/>
  <c r="AV774" i="93"/>
  <c r="BK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W782" i="93"/>
  <c r="BX782" i="93"/>
  <c r="CW782" i="93"/>
  <c r="DT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ES782" i="93"/>
  <c r="GA782" i="93"/>
  <c r="HG782" i="93"/>
  <c r="CE786" i="93"/>
  <c r="FF786" i="93"/>
  <c r="JI786" i="93"/>
  <c r="BY790" i="93"/>
  <c r="FH790" i="93"/>
  <c r="HD790" i="93"/>
  <c r="IT790" i="93"/>
  <c r="HR794" i="93"/>
  <c r="BG798" i="93"/>
  <c r="GM798" i="93"/>
  <c r="HE802" i="93"/>
  <c r="AX770" i="93"/>
  <c r="CE770" i="93"/>
  <c r="DM770" i="93"/>
  <c r="FG770" i="93"/>
  <c r="ID770" i="93"/>
  <c r="Y774" i="93"/>
  <c r="AU774" i="93"/>
  <c r="CB774" i="93"/>
  <c r="DB774" i="93"/>
  <c r="DB805" i="93" s="1"/>
  <c r="M875" i="93" s="1"/>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BK782" i="93"/>
  <c r="BW782" i="93"/>
  <c r="CJ782" i="93"/>
  <c r="CV782" i="93"/>
  <c r="DD782" i="93"/>
  <c r="EG782" i="93"/>
  <c r="EY782" i="93"/>
  <c r="FJ782" i="93"/>
  <c r="FT782" i="93"/>
  <c r="GE782" i="93"/>
  <c r="GP782" i="93"/>
  <c r="GZ782" i="93"/>
  <c r="HK782" i="93"/>
  <c r="HV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H805" i="93" s="1"/>
  <c r="AL774" i="93"/>
  <c r="AP774" i="93"/>
  <c r="AT774" i="93"/>
  <c r="BB774" i="93"/>
  <c r="BJ774" i="93"/>
  <c r="BR774" i="93"/>
  <c r="BZ774" i="93"/>
  <c r="CD774" i="93"/>
  <c r="CH774" i="93"/>
  <c r="CL774" i="93"/>
  <c r="CP774" i="93"/>
  <c r="CP805" i="93" s="1"/>
  <c r="K873" i="93" s="1"/>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D977" i="93"/>
  <c r="D975" i="93"/>
  <c r="D971" i="93"/>
  <c r="E969" i="93"/>
  <c r="D970" i="93"/>
  <c r="FA805" i="93"/>
  <c r="BZ805" i="93"/>
  <c r="J870" i="93" s="1"/>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C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49" i="93"/>
  <c r="Q549" i="93"/>
  <c r="P554" i="93"/>
  <c r="N553" i="93"/>
  <c r="M553" i="93"/>
  <c r="N552" i="93"/>
  <c r="M552" i="93"/>
  <c r="N551" i="93"/>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G541" i="93" s="1"/>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J519" i="93" s="1"/>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C512" i="93"/>
  <c r="A512" i="93" s="1"/>
  <c r="H512" i="93"/>
  <c r="T499" i="93"/>
  <c r="S499" i="93"/>
  <c r="T498" i="93"/>
  <c r="S498" i="93"/>
  <c r="T497" i="93"/>
  <c r="S497" i="93"/>
  <c r="T496" i="93"/>
  <c r="S496" i="93"/>
  <c r="T495" i="93"/>
  <c r="S495" i="93"/>
  <c r="T494" i="93"/>
  <c r="S494" i="93"/>
  <c r="T493" i="93"/>
  <c r="S493" i="93"/>
  <c r="T492" i="93"/>
  <c r="S492" i="93"/>
  <c r="T491" i="93"/>
  <c r="S500" i="93" s="1"/>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G547" i="93" s="1"/>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J463" i="93" s="1"/>
  <c r="G462" i="93"/>
  <c r="H462" i="93"/>
  <c r="M458" i="93"/>
  <c r="N458" i="93"/>
  <c r="T458" i="93"/>
  <c r="S458" i="93"/>
  <c r="T457" i="93"/>
  <c r="S457" i="93"/>
  <c r="T456" i="93"/>
  <c r="S456" i="93"/>
  <c r="T455" i="93"/>
  <c r="S455" i="93"/>
  <c r="S459" i="93" s="1"/>
  <c r="G456" i="93"/>
  <c r="G459" i="93" s="1"/>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G474" i="93" s="1"/>
  <c r="H465" i="93"/>
  <c r="G465" i="93"/>
  <c r="N461" i="93"/>
  <c r="M461" i="93"/>
  <c r="M463" i="93"/>
  <c r="H461" i="93"/>
  <c r="G461" i="93"/>
  <c r="F461" i="93" s="1"/>
  <c r="N457" i="93"/>
  <c r="M457" i="93"/>
  <c r="F450" i="93"/>
  <c r="E450" i="93"/>
  <c r="D450" i="93"/>
  <c r="C450" i="93"/>
  <c r="U450" i="93"/>
  <c r="H455" i="93"/>
  <c r="G455" i="93"/>
  <c r="H444" i="93"/>
  <c r="G444" i="93"/>
  <c r="G453" i="93" s="1"/>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U561" i="93"/>
  <c r="M566" i="93"/>
  <c r="J500" i="93"/>
  <c r="M459" i="93"/>
  <c r="P519" i="93"/>
  <c r="U540" i="93"/>
  <c r="J604" i="93"/>
  <c r="S562" i="93"/>
  <c r="S453" i="93"/>
  <c r="S513" i="93"/>
  <c r="D474" i="93"/>
  <c r="L393" i="93"/>
  <c r="K730" i="93"/>
  <c r="J746" i="93"/>
  <c r="A452" i="93"/>
  <c r="U451" i="93"/>
  <c r="J469" i="93"/>
  <c r="P474" i="93"/>
  <c r="U526" i="93"/>
  <c r="A546" i="93"/>
  <c r="M513" i="93"/>
  <c r="G463" i="93"/>
  <c r="E473" i="93" s="1"/>
  <c r="A561" i="93"/>
  <c r="U565" i="93"/>
  <c r="M453" i="93"/>
  <c r="A450" i="93"/>
  <c r="J474" i="93"/>
  <c r="G500" i="93"/>
  <c r="S527" i="93"/>
  <c r="S541" i="93"/>
  <c r="L730" i="93"/>
  <c r="S463" i="93"/>
  <c r="J513" i="93"/>
  <c r="S519" i="93"/>
  <c r="P562" i="93"/>
  <c r="P582" i="93"/>
  <c r="P586" i="93"/>
  <c r="M730" i="93"/>
  <c r="L746" i="93"/>
  <c r="S474" i="93"/>
  <c r="M562" i="93"/>
  <c r="G566" i="93"/>
  <c r="S566" i="93"/>
  <c r="M746" i="93"/>
  <c r="K746" i="93"/>
  <c r="M469" i="93"/>
  <c r="P469" i="93"/>
  <c r="S469" i="93"/>
  <c r="U452" i="93"/>
  <c r="M500" i="93"/>
  <c r="P500" i="93"/>
  <c r="S547" i="93"/>
  <c r="G554" i="93"/>
  <c r="J582" i="93"/>
  <c r="J586" i="93"/>
  <c r="V568" i="93"/>
  <c r="J453" i="93"/>
  <c r="M474" i="93"/>
  <c r="U512" i="93"/>
  <c r="P513" i="93"/>
  <c r="I730" i="93"/>
  <c r="M519" i="93"/>
  <c r="J566" i="93"/>
  <c r="P566" i="93"/>
  <c r="J730" i="93"/>
  <c r="I746" i="93"/>
  <c r="E977" i="93"/>
  <c r="E975" i="93"/>
  <c r="E971" i="93"/>
  <c r="E970" i="93"/>
  <c r="F969" i="93"/>
  <c r="D972" i="93"/>
  <c r="D978" i="93"/>
  <c r="G562" i="93"/>
  <c r="S554" i="93"/>
  <c r="M554" i="93"/>
  <c r="J554" i="93"/>
  <c r="U539" i="93"/>
  <c r="A540" i="93"/>
  <c r="G527" i="93"/>
  <c r="G519" i="93"/>
  <c r="U499" i="93"/>
  <c r="A539" i="93"/>
  <c r="A526" i="93"/>
  <c r="A499" i="93"/>
  <c r="A498" i="93"/>
  <c r="G46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L354" i="93" s="1"/>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c r="P585" i="93"/>
  <c r="P587" i="93"/>
  <c r="P589" i="93"/>
  <c r="E472" i="93"/>
  <c r="M568" i="93"/>
  <c r="M585" i="93"/>
  <c r="M587" i="93"/>
  <c r="M589" i="93"/>
  <c r="E972" i="93"/>
  <c r="E978" i="93"/>
  <c r="F971" i="93"/>
  <c r="G969" i="93"/>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472"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1" i="93"/>
  <c r="F470" i="93" s="1"/>
  <c r="F473" i="93"/>
  <c r="F553" i="93"/>
  <c r="F552" i="93"/>
  <c r="F551" i="93"/>
  <c r="F549" i="93"/>
  <c r="H83" i="93"/>
  <c r="G970" i="93"/>
  <c r="H969" i="93"/>
  <c r="G971" i="93"/>
  <c r="G977" i="93"/>
  <c r="G975" i="93"/>
  <c r="F972" i="93"/>
  <c r="F978" i="93"/>
  <c r="P182" i="93"/>
  <c r="L49" i="93"/>
  <c r="A206" i="85"/>
  <c r="A11" i="83"/>
  <c r="I9" i="92"/>
  <c r="G11" i="91"/>
  <c r="H977" i="93"/>
  <c r="H975" i="93"/>
  <c r="H971" i="93"/>
  <c r="I969" i="93"/>
  <c r="H970" i="93"/>
  <c r="G972" i="93"/>
  <c r="G978" i="93"/>
  <c r="F197" i="90"/>
  <c r="D101" i="90"/>
  <c r="E163" i="90"/>
  <c r="C16" i="90"/>
  <c r="A206" i="90"/>
  <c r="A200" i="90"/>
  <c r="C5" i="90"/>
  <c r="C8" i="84"/>
  <c r="E8" i="84"/>
  <c r="H2" i="91"/>
  <c r="I977" i="93"/>
  <c r="I975" i="93"/>
  <c r="I971" i="93"/>
  <c r="I970" i="93"/>
  <c r="J969" i="93"/>
  <c r="H972" i="93"/>
  <c r="H978" i="93"/>
  <c r="A2" i="90"/>
  <c r="E9" i="89"/>
  <c r="H7" i="92" s="1"/>
  <c r="E50" i="89"/>
  <c r="G49" i="89"/>
  <c r="E49" i="89"/>
  <c r="C21" i="90" s="1"/>
  <c r="F30" i="89"/>
  <c r="D62" i="90"/>
  <c r="D56" i="92" s="1"/>
  <c r="E24" i="89"/>
  <c r="E23" i="89"/>
  <c r="E21" i="89"/>
  <c r="E17" i="89"/>
  <c r="C31" i="90" s="1"/>
  <c r="E16" i="89"/>
  <c r="C30" i="90"/>
  <c r="F48" i="92" s="1"/>
  <c r="E13" i="89"/>
  <c r="E11" i="89"/>
  <c r="C25" i="90"/>
  <c r="E47" i="89"/>
  <c r="E22" i="89"/>
  <c r="E20" i="89"/>
  <c r="E19" i="89"/>
  <c r="C137" i="90" s="1"/>
  <c r="E12" i="89"/>
  <c r="C23" i="90"/>
  <c r="E10" i="89"/>
  <c r="C15" i="90"/>
  <c r="E8" i="89"/>
  <c r="C19" i="90" s="1"/>
  <c r="C142" i="90" s="1"/>
  <c r="E7" i="89"/>
  <c r="C18" i="90"/>
  <c r="C141" i="90" s="1"/>
  <c r="I972" i="93"/>
  <c r="I978" i="93"/>
  <c r="J977" i="93"/>
  <c r="J975" i="93"/>
  <c r="J970" i="93"/>
  <c r="J971" i="93"/>
  <c r="K969" i="93"/>
  <c r="K7" i="88"/>
  <c r="B999" i="93"/>
  <c r="K970" i="93"/>
  <c r="K977" i="93"/>
  <c r="K975" i="93"/>
  <c r="K971" i="93"/>
  <c r="J972" i="93"/>
  <c r="J978" i="93"/>
  <c r="A2" i="88"/>
  <c r="K972" i="93"/>
  <c r="K978" i="93"/>
  <c r="B1007" i="93"/>
  <c r="B1005" i="93"/>
  <c r="B1001" i="93"/>
  <c r="C999" i="93"/>
  <c r="B1000" i="93"/>
  <c r="B1" i="87"/>
  <c r="D54" i="86"/>
  <c r="E54" i="86"/>
  <c r="F54" i="86"/>
  <c r="G54" i="86"/>
  <c r="H54" i="86"/>
  <c r="C1000" i="93"/>
  <c r="C1005" i="93"/>
  <c r="D999" i="93"/>
  <c r="C1007" i="93"/>
  <c r="C1001" i="93"/>
  <c r="B1002" i="93"/>
  <c r="B1008" i="93"/>
  <c r="C1" i="86"/>
  <c r="H49" i="86"/>
  <c r="E6" i="86"/>
  <c r="K5" i="86" s="1"/>
  <c r="E5" i="86"/>
  <c r="C56" i="86" s="1"/>
  <c r="E4" i="86"/>
  <c r="G49" i="86"/>
  <c r="F49" i="86"/>
  <c r="E49" i="86"/>
  <c r="D49" i="86"/>
  <c r="O61" i="85"/>
  <c r="F75" i="89"/>
  <c r="E183" i="90" s="1"/>
  <c r="F73" i="89"/>
  <c r="F71" i="89"/>
  <c r="E166" i="90" s="1"/>
  <c r="K24" i="88"/>
  <c r="Q61" i="85"/>
  <c r="N61" i="85"/>
  <c r="L61" i="85"/>
  <c r="F103" i="92"/>
  <c r="E96" i="90"/>
  <c r="E92" i="90"/>
  <c r="F39" i="89"/>
  <c r="D79" i="90"/>
  <c r="H4" i="86"/>
  <c r="E171" i="90"/>
  <c r="E170" i="90"/>
  <c r="E999" i="93"/>
  <c r="D1000" i="93"/>
  <c r="D1007" i="93"/>
  <c r="D1005" i="93"/>
  <c r="D1001" i="93"/>
  <c r="C1002" i="93"/>
  <c r="C1008" i="93"/>
  <c r="D1002" i="93"/>
  <c r="D1008" i="93"/>
  <c r="E1007" i="93"/>
  <c r="E1005" i="93"/>
  <c r="E1001" i="93"/>
  <c r="F999" i="93"/>
  <c r="E1000" i="93"/>
  <c r="H1" i="91"/>
  <c r="C28" i="90"/>
  <c r="G5" i="92" s="1"/>
  <c r="E28" i="89"/>
  <c r="E15" i="89"/>
  <c r="A1" i="89"/>
  <c r="O6" i="86"/>
  <c r="F13" i="85"/>
  <c r="F12" i="85"/>
  <c r="A2" i="83"/>
  <c r="P1840" i="93"/>
  <c r="O1840" i="93"/>
  <c r="E1002" i="93"/>
  <c r="E1008" i="93"/>
  <c r="F1007" i="93"/>
  <c r="F1005" i="93"/>
  <c r="F1001" i="93"/>
  <c r="F1000" i="93"/>
  <c r="G999" i="93"/>
  <c r="C30" i="84"/>
  <c r="C32" i="84"/>
  <c r="B32" i="84"/>
  <c r="C31" i="84"/>
  <c r="C34" i="84" s="1"/>
  <c r="C36" i="84" s="1"/>
  <c r="B31" i="84"/>
  <c r="C25" i="84"/>
  <c r="D16" i="83" s="1"/>
  <c r="B25" i="84"/>
  <c r="M11" i="84"/>
  <c r="G130" i="90"/>
  <c r="E16" i="84"/>
  <c r="F19" i="85" s="1"/>
  <c r="C16" i="84"/>
  <c r="A2" i="84"/>
  <c r="C14" i="84"/>
  <c r="F17" i="85"/>
  <c r="E11" i="84"/>
  <c r="E57" i="90"/>
  <c r="C11" i="84"/>
  <c r="C57" i="90"/>
  <c r="H12" i="84"/>
  <c r="C12" i="84"/>
  <c r="K11" i="84"/>
  <c r="D130" i="90"/>
  <c r="H11" i="84"/>
  <c r="C130" i="90" s="1"/>
  <c r="K10" i="84"/>
  <c r="C146" i="90" s="1"/>
  <c r="H10" i="84"/>
  <c r="C144" i="90"/>
  <c r="C10" i="84"/>
  <c r="C55" i="90" s="1"/>
  <c r="H9" i="84"/>
  <c r="D14" i="84"/>
  <c r="K36" i="88"/>
  <c r="F15" i="85"/>
  <c r="G1000" i="93"/>
  <c r="G1001" i="93"/>
  <c r="G1007" i="93"/>
  <c r="H999" i="93"/>
  <c r="G1005" i="93"/>
  <c r="F1002" i="93"/>
  <c r="F1008" i="93"/>
  <c r="C8" i="90"/>
  <c r="B5" i="92" s="1"/>
  <c r="E65" i="89"/>
  <c r="E5" i="89"/>
  <c r="G6" i="74"/>
  <c r="I999" i="93"/>
  <c r="H1000" i="93"/>
  <c r="H1001" i="93"/>
  <c r="H1005" i="93"/>
  <c r="H1007" i="93"/>
  <c r="G1002" i="93"/>
  <c r="G1008" i="93"/>
  <c r="O12" i="86"/>
  <c r="F56" i="86"/>
  <c r="H1002" i="93"/>
  <c r="H1008" i="93"/>
  <c r="I1007" i="93"/>
  <c r="I1005" i="93"/>
  <c r="I1001" i="93"/>
  <c r="J999" i="93"/>
  <c r="I1000" i="93"/>
  <c r="O22" i="86"/>
  <c r="D56" i="86"/>
  <c r="G56" i="86"/>
  <c r="H56" i="86"/>
  <c r="E56" i="86"/>
  <c r="C16" i="86"/>
  <c r="H16" i="86"/>
  <c r="F101" i="92"/>
  <c r="F95" i="92"/>
  <c r="I65" i="92"/>
  <c r="E184" i="90"/>
  <c r="E81" i="90"/>
  <c r="C139" i="90"/>
  <c r="D39" i="88"/>
  <c r="J1007" i="93"/>
  <c r="J1005" i="93"/>
  <c r="J1001" i="93"/>
  <c r="K999" i="93"/>
  <c r="J1000" i="93"/>
  <c r="I1002" i="93"/>
  <c r="I1008" i="93"/>
  <c r="F84" i="92"/>
  <c r="C29" i="84"/>
  <c r="K26" i="84" s="1"/>
  <c r="K33" i="84"/>
  <c r="K1007" i="93"/>
  <c r="B1029" i="93"/>
  <c r="K1000" i="93"/>
  <c r="K1005" i="93"/>
  <c r="K1001" i="93"/>
  <c r="J1002" i="93"/>
  <c r="J1008" i="93"/>
  <c r="K29" i="84"/>
  <c r="A47" i="84"/>
  <c r="K1002" i="93"/>
  <c r="K1008" i="93"/>
  <c r="C1029" i="93"/>
  <c r="B1030" i="93"/>
  <c r="B1035" i="93"/>
  <c r="B1037" i="93"/>
  <c r="B1031" i="93"/>
  <c r="B1032" i="93"/>
  <c r="B1038" i="93"/>
  <c r="C1037" i="93"/>
  <c r="C1035" i="93"/>
  <c r="C1031" i="93"/>
  <c r="D1029" i="93"/>
  <c r="C1030" i="93"/>
  <c r="C1032" i="93"/>
  <c r="C1038" i="93"/>
  <c r="D1037" i="93"/>
  <c r="D1035" i="93"/>
  <c r="D1031" i="93"/>
  <c r="E1029" i="93"/>
  <c r="D1030" i="93"/>
  <c r="B18" i="82"/>
  <c r="B38" i="82"/>
  <c r="B24" i="82"/>
  <c r="B48" i="82"/>
  <c r="C48" i="82"/>
  <c r="D48" i="82"/>
  <c r="D1032" i="93"/>
  <c r="D1038" i="93"/>
  <c r="E1030" i="93"/>
  <c r="E1037" i="93"/>
  <c r="E1035" i="93"/>
  <c r="E1031" i="93"/>
  <c r="F1029" i="93"/>
  <c r="E48" i="82"/>
  <c r="F48" i="82"/>
  <c r="G1029" i="93"/>
  <c r="F1030" i="93"/>
  <c r="F1031" i="93"/>
  <c r="F1037" i="93"/>
  <c r="F1035" i="93"/>
  <c r="E1032" i="93"/>
  <c r="E1038" i="93"/>
  <c r="G48" i="82"/>
  <c r="F1032" i="93"/>
  <c r="F1038" i="93"/>
  <c r="G1037" i="93"/>
  <c r="G1035" i="93"/>
  <c r="G1031" i="93"/>
  <c r="H1029" i="93"/>
  <c r="G1030" i="93"/>
  <c r="H48" i="82"/>
  <c r="G1032" i="93"/>
  <c r="G1038" i="93"/>
  <c r="H1037" i="93"/>
  <c r="H1035" i="93"/>
  <c r="H1031" i="93"/>
  <c r="H1030" i="93"/>
  <c r="I1029" i="93"/>
  <c r="I48" i="82"/>
  <c r="I1030" i="93"/>
  <c r="J1029" i="93"/>
  <c r="I1031" i="93"/>
  <c r="I1037" i="93"/>
  <c r="I1035" i="93"/>
  <c r="H1032" i="93"/>
  <c r="H1038" i="93"/>
  <c r="J48" i="82"/>
  <c r="K1029" i="93"/>
  <c r="J1030" i="93"/>
  <c r="J1035" i="93"/>
  <c r="J1031" i="93"/>
  <c r="J1037" i="93"/>
  <c r="I1032" i="93"/>
  <c r="I1038" i="93"/>
  <c r="K48" i="82"/>
  <c r="J1032" i="93"/>
  <c r="J1038" i="93"/>
  <c r="K1037" i="93"/>
  <c r="K1035" i="93"/>
  <c r="K1031" i="93"/>
  <c r="B1057" i="93"/>
  <c r="K1030" i="93"/>
  <c r="B68" i="82"/>
  <c r="K1032" i="93"/>
  <c r="K1038" i="93"/>
  <c r="B1058" i="93"/>
  <c r="C1057" i="93"/>
  <c r="B1063" i="93"/>
  <c r="B1059" i="93"/>
  <c r="B1065" i="93"/>
  <c r="C68" i="82"/>
  <c r="C1065" i="93"/>
  <c r="C1058" i="93"/>
  <c r="D1057" i="93"/>
  <c r="C1063" i="93"/>
  <c r="C1059" i="93"/>
  <c r="B1060" i="93"/>
  <c r="B1066" i="93"/>
  <c r="D68" i="82"/>
  <c r="D1065" i="93"/>
  <c r="D1058" i="93"/>
  <c r="E1057" i="93"/>
  <c r="D1063" i="93"/>
  <c r="D1059" i="93"/>
  <c r="C1060" i="93"/>
  <c r="C1066" i="93"/>
  <c r="E68" i="82"/>
  <c r="E1063" i="93"/>
  <c r="E1059" i="93"/>
  <c r="E1065" i="93"/>
  <c r="E1058" i="93"/>
  <c r="F1057" i="93"/>
  <c r="D1060" i="93"/>
  <c r="D1066" i="93"/>
  <c r="F68" i="82"/>
  <c r="E1060" i="93"/>
  <c r="E1066" i="93"/>
  <c r="F1058" i="93"/>
  <c r="F1063" i="93"/>
  <c r="F1059" i="93"/>
  <c r="F1065" i="93"/>
  <c r="G68" i="82"/>
  <c r="F1060" i="93"/>
  <c r="F1066"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c r="G351" i="72"/>
  <c r="G1884" i="93"/>
  <c r="O343" i="72"/>
  <c r="K321" i="72"/>
  <c r="E1589" i="93"/>
  <c r="E1592" i="93"/>
  <c r="O1900" i="93"/>
  <c r="O1761" i="93"/>
  <c r="J180" i="72"/>
  <c r="J1734" i="93"/>
  <c r="J181" i="72"/>
  <c r="J1735" i="93"/>
  <c r="I1735" i="93"/>
  <c r="I1734" i="93"/>
  <c r="P1761" i="93"/>
  <c r="P171" i="72"/>
  <c r="P1725" i="93"/>
  <c r="O1725" i="93"/>
  <c r="E1587" i="93"/>
  <c r="P1648" i="93"/>
  <c r="E1585" i="93"/>
  <c r="O1648" i="93"/>
  <c r="P61" i="72"/>
  <c r="E11" i="72"/>
  <c r="E1584" i="93"/>
  <c r="O1611" i="93"/>
  <c r="M286" i="72"/>
  <c r="M1833" i="93"/>
  <c r="P1611" i="93"/>
  <c r="L286" i="72"/>
  <c r="L1833" i="93"/>
  <c r="B96" i="78"/>
  <c r="F384" i="73"/>
  <c r="J384" i="73" s="1"/>
  <c r="F1472" i="93"/>
  <c r="J1472" i="93" s="1"/>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c r="I804" i="93"/>
  <c r="K804" i="93" s="1"/>
  <c r="L804" i="93" s="1"/>
  <c r="I802" i="93"/>
  <c r="K802" i="93" s="1"/>
  <c r="L802" i="93" s="1"/>
  <c r="I800" i="93"/>
  <c r="K800" i="93" s="1"/>
  <c r="L800" i="93" s="1"/>
  <c r="I798" i="93"/>
  <c r="K798" i="93" s="1"/>
  <c r="L798" i="93" s="1"/>
  <c r="I796" i="93"/>
  <c r="K796" i="93" s="1"/>
  <c r="L796" i="93" s="1"/>
  <c r="I794" i="93"/>
  <c r="K794" i="93" s="1"/>
  <c r="L794" i="93" s="1"/>
  <c r="I792" i="93"/>
  <c r="K792" i="93" s="1"/>
  <c r="L792" i="93" s="1"/>
  <c r="I790" i="93"/>
  <c r="K790" i="93" s="1"/>
  <c r="L790" i="93" s="1"/>
  <c r="I788" i="93"/>
  <c r="K788" i="93" s="1"/>
  <c r="L788" i="93" s="1"/>
  <c r="I786" i="93"/>
  <c r="K786" i="93" s="1"/>
  <c r="L786" i="93" s="1"/>
  <c r="I784" i="93"/>
  <c r="K784" i="93" s="1"/>
  <c r="L784" i="93" s="1"/>
  <c r="I782" i="93"/>
  <c r="K782" i="93" s="1"/>
  <c r="L782" i="93" s="1"/>
  <c r="K232" i="72"/>
  <c r="K1784" i="93"/>
  <c r="O1665" i="93"/>
  <c r="L232" i="72"/>
  <c r="L1784" i="93"/>
  <c r="P1665" i="93"/>
  <c r="H90" i="66"/>
  <c r="H88" i="66"/>
  <c r="H87" i="66"/>
  <c r="N88" i="66" s="1"/>
  <c r="F115" i="74"/>
  <c r="F1130" i="94" s="1"/>
  <c r="E115" i="74"/>
  <c r="E1130" i="94" s="1"/>
  <c r="D115" i="74"/>
  <c r="D1130" i="94" s="1"/>
  <c r="C115" i="74"/>
  <c r="C1130" i="94" s="1"/>
  <c r="B115" i="74"/>
  <c r="B1130" i="94" s="1"/>
  <c r="K85" i="74"/>
  <c r="K1100" i="94" s="1"/>
  <c r="J85" i="74"/>
  <c r="J1100" i="94" s="1"/>
  <c r="I85" i="74"/>
  <c r="I1100" i="94" s="1"/>
  <c r="H85" i="74"/>
  <c r="H1100" i="94" s="1"/>
  <c r="G85" i="74"/>
  <c r="G1100" i="94" s="1"/>
  <c r="F85" i="74"/>
  <c r="F1100" i="94" s="1"/>
  <c r="E85" i="74"/>
  <c r="E1100" i="94" s="1"/>
  <c r="D85" i="74"/>
  <c r="D1100" i="94" s="1"/>
  <c r="C85" i="74"/>
  <c r="C1100" i="94" s="1"/>
  <c r="B85" i="74"/>
  <c r="B1100" i="94" s="1"/>
  <c r="K53" i="74"/>
  <c r="K1068" i="94" s="1"/>
  <c r="J53" i="74"/>
  <c r="J1068" i="94" s="1"/>
  <c r="I53" i="74"/>
  <c r="I1068" i="94" s="1"/>
  <c r="H53" i="74"/>
  <c r="H1068" i="94" s="1"/>
  <c r="G53" i="74"/>
  <c r="G1068" i="94" s="1"/>
  <c r="F53" i="74"/>
  <c r="F1068" i="94" s="1"/>
  <c r="E53" i="74"/>
  <c r="E1068" i="94" s="1"/>
  <c r="D53" i="74"/>
  <c r="D1068" i="94" s="1"/>
  <c r="C53" i="74"/>
  <c r="C1068" i="94" s="1"/>
  <c r="B53" i="74"/>
  <c r="B1068" i="94" s="1"/>
  <c r="K21" i="74"/>
  <c r="K1036" i="94" s="1"/>
  <c r="J21" i="74"/>
  <c r="J1036" i="94" s="1"/>
  <c r="I21" i="74"/>
  <c r="I1036" i="94" s="1"/>
  <c r="H21" i="74"/>
  <c r="H1036" i="94" s="1"/>
  <c r="G21" i="74"/>
  <c r="G1036" i="94" s="1"/>
  <c r="F21" i="74"/>
  <c r="F1036" i="94" s="1"/>
  <c r="E21" i="74"/>
  <c r="E1036" i="94" s="1"/>
  <c r="D21" i="74"/>
  <c r="D1036" i="94" s="1"/>
  <c r="C21" i="74"/>
  <c r="C1036" i="94" s="1"/>
  <c r="B21" i="74"/>
  <c r="P927" i="93" s="1"/>
  <c r="K47" i="75"/>
  <c r="L47" i="75" s="1"/>
  <c r="K44" i="75"/>
  <c r="L44" i="75" s="1"/>
  <c r="K40" i="75"/>
  <c r="L40" i="75" s="1"/>
  <c r="K36" i="75"/>
  <c r="L36" i="75" s="1"/>
  <c r="K32" i="75"/>
  <c r="L32" i="75" s="1"/>
  <c r="K28" i="75"/>
  <c r="L28"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46" i="75"/>
  <c r="R45" i="75"/>
  <c r="R807" i="94" s="1"/>
  <c r="R44" i="75"/>
  <c r="R43" i="75"/>
  <c r="R42" i="75"/>
  <c r="R804" i="94" s="1"/>
  <c r="R41" i="75"/>
  <c r="R803" i="94" s="1"/>
  <c r="R40" i="75"/>
  <c r="R802" i="94" s="1"/>
  <c r="R39" i="75"/>
  <c r="R801" i="94" s="1"/>
  <c r="R38" i="75"/>
  <c r="R800" i="94" s="1"/>
  <c r="R37" i="75"/>
  <c r="R36" i="75"/>
  <c r="R798" i="94" s="1"/>
  <c r="R35" i="75"/>
  <c r="R797" i="94" s="1"/>
  <c r="R34" i="75"/>
  <c r="R33" i="75"/>
  <c r="R32" i="75"/>
  <c r="R31" i="75"/>
  <c r="R30" i="75"/>
  <c r="R29" i="75"/>
  <c r="R791" i="94" s="1"/>
  <c r="R28" i="75"/>
  <c r="R27" i="75"/>
  <c r="R26" i="75"/>
  <c r="R788" i="94" s="1"/>
  <c r="R25" i="75"/>
  <c r="R787" i="94" s="1"/>
  <c r="R24" i="75"/>
  <c r="R786" i="94" s="1"/>
  <c r="R23" i="75"/>
  <c r="R785" i="94" s="1"/>
  <c r="R18" i="75"/>
  <c r="R17" i="75"/>
  <c r="R16" i="75"/>
  <c r="R15" i="75"/>
  <c r="R14" i="75"/>
  <c r="R776" i="94" s="1"/>
  <c r="R11" i="75"/>
  <c r="R773" i="94"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P450" i="72"/>
  <c r="M6" i="72"/>
  <c r="P440" i="72"/>
  <c r="P1987" i="93"/>
  <c r="O1987" i="93"/>
  <c r="L1987" i="93"/>
  <c r="H178" i="72"/>
  <c r="K178" i="72"/>
  <c r="M168" i="72"/>
  <c r="T168" i="72"/>
  <c r="M167" i="72"/>
  <c r="T167" i="72"/>
  <c r="M166" i="72"/>
  <c r="T166" i="72"/>
  <c r="R420" i="72"/>
  <c r="P420" i="72"/>
  <c r="P1968" i="93"/>
  <c r="E20" i="72"/>
  <c r="P1951" i="93"/>
  <c r="S386" i="72"/>
  <c r="P1900" i="93"/>
  <c r="P1870" i="93"/>
  <c r="U300" i="72"/>
  <c r="U299" i="72"/>
  <c r="L222" i="72"/>
  <c r="L1776" i="93" s="1"/>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N11" i="74"/>
  <c r="N3" i="74"/>
  <c r="F239" i="75"/>
  <c r="C59" i="84" s="1"/>
  <c r="K236" i="75"/>
  <c r="C60" i="84" s="1"/>
  <c r="F228" i="75"/>
  <c r="K226" i="75"/>
  <c r="F219" i="75"/>
  <c r="P218" i="75"/>
  <c r="C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N48" i="75" s="1"/>
  <c r="K127" i="75" s="1"/>
  <c r="JM18" i="75"/>
  <c r="JG18" i="75"/>
  <c r="JF18" i="75"/>
  <c r="JE18" i="75"/>
  <c r="JD18" i="75"/>
  <c r="JC18" i="75"/>
  <c r="IW18" i="75"/>
  <c r="IV18" i="75"/>
  <c r="IU18" i="75"/>
  <c r="IT18" i="75"/>
  <c r="IS18" i="75"/>
  <c r="IM18" i="75"/>
  <c r="IL18" i="75"/>
  <c r="IK18" i="75"/>
  <c r="IJ18" i="75"/>
  <c r="II18" i="75"/>
  <c r="IC18" i="75"/>
  <c r="IB18" i="75"/>
  <c r="IB48" i="75" s="1"/>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R48" i="75" s="1"/>
  <c r="MQ17" i="75"/>
  <c r="MP17" i="75"/>
  <c r="MP48" i="75" s="1"/>
  <c r="MO17" i="75"/>
  <c r="MN17" i="75"/>
  <c r="MN48" i="75" s="1"/>
  <c r="MM17" i="75"/>
  <c r="ML17" i="75"/>
  <c r="MK17" i="75"/>
  <c r="MJ17" i="75"/>
  <c r="MJ48" i="75" s="1"/>
  <c r="MI17" i="75"/>
  <c r="MH17" i="75"/>
  <c r="MH48" i="75" s="1"/>
  <c r="MG17" i="75"/>
  <c r="MF17" i="75"/>
  <c r="ME17" i="75"/>
  <c r="LE17" i="75"/>
  <c r="LD17" i="75"/>
  <c r="LC17" i="75"/>
  <c r="LB17" i="75"/>
  <c r="LA17" i="75"/>
  <c r="LA48" i="75" s="1"/>
  <c r="J123" i="75" s="1"/>
  <c r="KU17" i="75"/>
  <c r="KT17" i="75"/>
  <c r="KS17" i="75"/>
  <c r="KR17" i="75"/>
  <c r="KR48" i="75" s="1"/>
  <c r="K121" i="75" s="1"/>
  <c r="K140" i="75" s="1"/>
  <c r="K1214" i="94" s="1"/>
  <c r="M1214" i="94" s="1"/>
  <c r="KQ17" i="75"/>
  <c r="KK17" i="75"/>
  <c r="KJ17" i="75"/>
  <c r="KI17" i="75"/>
  <c r="KI48" i="75" s="1"/>
  <c r="L119" i="75" s="1"/>
  <c r="KH17" i="75"/>
  <c r="KG17" i="75"/>
  <c r="KA17" i="75"/>
  <c r="JZ17" i="75"/>
  <c r="JY17" i="75"/>
  <c r="JX17" i="75"/>
  <c r="JW17" i="75"/>
  <c r="JQ17" i="75"/>
  <c r="JP17" i="75"/>
  <c r="JO17" i="75"/>
  <c r="JN17" i="75"/>
  <c r="JM17" i="75"/>
  <c r="JM48" i="75" s="1"/>
  <c r="J127" i="75" s="1"/>
  <c r="JG17" i="75"/>
  <c r="JF17" i="75"/>
  <c r="JE17" i="75"/>
  <c r="JD17" i="75"/>
  <c r="JD48" i="75" s="1"/>
  <c r="K129" i="75" s="1"/>
  <c r="JC17" i="75"/>
  <c r="IW17" i="75"/>
  <c r="IW48" i="75" s="1"/>
  <c r="N131" i="75" s="1"/>
  <c r="IV17" i="75"/>
  <c r="IU17" i="75"/>
  <c r="IT17" i="75"/>
  <c r="IS17" i="75"/>
  <c r="IM17" i="75"/>
  <c r="IL17" i="75"/>
  <c r="IK17" i="75"/>
  <c r="IJ17" i="75"/>
  <c r="IJ48" i="75" s="1"/>
  <c r="K125" i="75" s="1"/>
  <c r="II17" i="75"/>
  <c r="IC17" i="75"/>
  <c r="IB17" i="75"/>
  <c r="IA17" i="75"/>
  <c r="IA48" i="75" s="1"/>
  <c r="HZ17" i="75"/>
  <c r="HY17" i="75"/>
  <c r="HY48" i="75" s="1"/>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A10" i="75"/>
  <c r="M39" i="76"/>
  <c r="L39" i="76"/>
  <c r="K39" i="76"/>
  <c r="J39" i="76"/>
  <c r="I39" i="76"/>
  <c r="M22" i="76"/>
  <c r="L22" i="76"/>
  <c r="K22" i="76"/>
  <c r="J22" i="76"/>
  <c r="I22" i="76"/>
  <c r="J166" i="78"/>
  <c r="W161" i="78"/>
  <c r="W148" i="78"/>
  <c r="V146" i="78"/>
  <c r="P146" i="78"/>
  <c r="P150" i="78"/>
  <c r="J146" i="78"/>
  <c r="J150" i="78"/>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L31" i="68"/>
  <c r="S17" i="68"/>
  <c r="S3" i="68"/>
  <c r="L152" i="67"/>
  <c r="P178" i="66"/>
  <c r="H76" i="66"/>
  <c r="H13" i="84" s="1"/>
  <c r="L38" i="66"/>
  <c r="Q767" i="93"/>
  <c r="Q772" i="94"/>
  <c r="R10" i="75"/>
  <c r="R772" i="94"/>
  <c r="N66" i="93"/>
  <c r="N77" i="94"/>
  <c r="U166" i="72"/>
  <c r="P316" i="72"/>
  <c r="P1857" i="93" s="1"/>
  <c r="R771" i="93"/>
  <c r="R795" i="93"/>
  <c r="R780" i="93"/>
  <c r="R786" i="93"/>
  <c r="R781" i="93"/>
  <c r="R797" i="93"/>
  <c r="R798" i="93"/>
  <c r="R783" i="93"/>
  <c r="R799" i="93"/>
  <c r="R802" i="93"/>
  <c r="R793" i="93"/>
  <c r="C119" i="74"/>
  <c r="N400" i="93"/>
  <c r="D122" i="74"/>
  <c r="N403" i="93"/>
  <c r="R13" i="75"/>
  <c r="R775" i="94" s="1"/>
  <c r="Q770" i="93"/>
  <c r="G55" i="84"/>
  <c r="E55" i="84"/>
  <c r="I55" i="84"/>
  <c r="K55" i="84"/>
  <c r="C58" i="84"/>
  <c r="K58" i="84" s="1"/>
  <c r="B53" i="82"/>
  <c r="B984" i="93"/>
  <c r="T1727" i="93"/>
  <c r="T1729" i="93"/>
  <c r="A364" i="93"/>
  <c r="A623" i="93"/>
  <c r="O1974" i="93"/>
  <c r="P66" i="93"/>
  <c r="F115" i="78"/>
  <c r="N401" i="93"/>
  <c r="J60" i="74"/>
  <c r="N402" i="93"/>
  <c r="R12" i="75"/>
  <c r="R774" i="94"/>
  <c r="Q769" i="93"/>
  <c r="I89" i="74"/>
  <c r="O1870" i="93"/>
  <c r="G101" i="90"/>
  <c r="E1595" i="93"/>
  <c r="O1968" i="93"/>
  <c r="A839" i="93"/>
  <c r="J50" i="93"/>
  <c r="H8" i="84"/>
  <c r="F14" i="85" s="1"/>
  <c r="A3" i="83" s="1"/>
  <c r="F92" i="74"/>
  <c r="E57" i="74"/>
  <c r="K58" i="74"/>
  <c r="H57" i="74"/>
  <c r="F58" i="74"/>
  <c r="F66" i="74" s="1"/>
  <c r="F1081" i="94" s="1"/>
  <c r="D59" i="74"/>
  <c r="D89" i="74"/>
  <c r="J90" i="74"/>
  <c r="J1040" i="93" s="1"/>
  <c r="J92" i="74"/>
  <c r="D120" i="74"/>
  <c r="D127" i="74" s="1"/>
  <c r="D1142" i="94" s="1"/>
  <c r="C120" i="74"/>
  <c r="C1068" i="93" s="1"/>
  <c r="I57" i="74"/>
  <c r="G58" i="74"/>
  <c r="G1010" i="93" s="1"/>
  <c r="B60" i="74"/>
  <c r="E89" i="74"/>
  <c r="K90" i="74"/>
  <c r="D119" i="74"/>
  <c r="E122" i="74"/>
  <c r="D57" i="74"/>
  <c r="B58" i="74"/>
  <c r="B66" i="74" s="1"/>
  <c r="B1081" i="94" s="1"/>
  <c r="F60" i="74"/>
  <c r="H89" i="74"/>
  <c r="F90" i="74"/>
  <c r="F97" i="74" s="1"/>
  <c r="F1112" i="94" s="1"/>
  <c r="B92" i="74"/>
  <c r="E119" i="74"/>
  <c r="P92" i="72"/>
  <c r="P1638" i="93" s="1"/>
  <c r="N54" i="66"/>
  <c r="F116" i="78"/>
  <c r="F113" i="78"/>
  <c r="F117" i="78"/>
  <c r="Q55" i="73"/>
  <c r="P55" i="73"/>
  <c r="L440" i="72"/>
  <c r="A1" i="66"/>
  <c r="M307" i="73"/>
  <c r="M1397" i="93" s="1"/>
  <c r="L1397" i="93" s="1"/>
  <c r="A111" i="75"/>
  <c r="O426" i="72"/>
  <c r="P54" i="66"/>
  <c r="B44" i="78"/>
  <c r="H18" i="84" s="1"/>
  <c r="A1" i="77"/>
  <c r="D38" i="78"/>
  <c r="P26" i="72"/>
  <c r="P86" i="72"/>
  <c r="P1634" i="93" s="1"/>
  <c r="M299" i="72"/>
  <c r="JX48" i="75"/>
  <c r="K117" i="75" s="1"/>
  <c r="LT48" i="75"/>
  <c r="CZ48" i="75"/>
  <c r="K97" i="75" s="1"/>
  <c r="DI48" i="75"/>
  <c r="J95" i="75" s="1"/>
  <c r="DQ48" i="75"/>
  <c r="M94" i="75" s="1"/>
  <c r="GI48" i="75"/>
  <c r="M101" i="75" s="1"/>
  <c r="GU48" i="75"/>
  <c r="J104" i="75" s="1"/>
  <c r="GY48" i="75"/>
  <c r="N104" i="75" s="1"/>
  <c r="HK48" i="75"/>
  <c r="K107" i="75" s="1"/>
  <c r="LO48" i="75"/>
  <c r="DA48" i="75"/>
  <c r="L97" i="75" s="1"/>
  <c r="V132" i="78"/>
  <c r="M132" i="78"/>
  <c r="M149" i="78"/>
  <c r="M151" i="78"/>
  <c r="M153" i="78"/>
  <c r="E37" i="78"/>
  <c r="P132" i="78"/>
  <c r="P149" i="78"/>
  <c r="E121" i="74"/>
  <c r="E1069" i="93" s="1"/>
  <c r="E1076" i="93" s="1"/>
  <c r="K91" i="74"/>
  <c r="G91" i="74"/>
  <c r="G98" i="74" s="1"/>
  <c r="G1113" i="94" s="1"/>
  <c r="C91" i="74"/>
  <c r="K59" i="74"/>
  <c r="G59" i="74"/>
  <c r="C59" i="74"/>
  <c r="C1011" i="93" s="1"/>
  <c r="C1019" i="93" s="1"/>
  <c r="C121" i="74"/>
  <c r="E91" i="74"/>
  <c r="E1041" i="93" s="1"/>
  <c r="I59" i="74"/>
  <c r="D121" i="74"/>
  <c r="J91" i="74"/>
  <c r="F91" i="74"/>
  <c r="B91" i="74"/>
  <c r="J59" i="74"/>
  <c r="J1011" i="93" s="1"/>
  <c r="F59" i="74"/>
  <c r="B59" i="74"/>
  <c r="B1011" i="93" s="1"/>
  <c r="I91" i="74"/>
  <c r="E59" i="74"/>
  <c r="F121" i="74"/>
  <c r="B121" i="74"/>
  <c r="B1069" i="93" s="1"/>
  <c r="B1076" i="93" s="1"/>
  <c r="H91" i="74"/>
  <c r="D91" i="74"/>
  <c r="D1041" i="93" s="1"/>
  <c r="D1048" i="93" s="1"/>
  <c r="H59" i="74"/>
  <c r="C60" i="74"/>
  <c r="K60" i="74"/>
  <c r="G92" i="74"/>
  <c r="K92" i="74"/>
  <c r="B57" i="74"/>
  <c r="F57" i="74"/>
  <c r="J57" i="74"/>
  <c r="D58" i="74"/>
  <c r="D1010" i="93" s="1"/>
  <c r="D60" i="74"/>
  <c r="H60" i="74"/>
  <c r="B89" i="74"/>
  <c r="F89" i="74"/>
  <c r="J89" i="74"/>
  <c r="H90" i="74"/>
  <c r="H97" i="74" s="1"/>
  <c r="H1112" i="94" s="1"/>
  <c r="D92" i="74"/>
  <c r="H92" i="74"/>
  <c r="B119" i="74"/>
  <c r="F119" i="74"/>
  <c r="C122" i="74"/>
  <c r="G60" i="74"/>
  <c r="C92" i="74"/>
  <c r="B122" i="74"/>
  <c r="F122" i="74"/>
  <c r="C57" i="74"/>
  <c r="G57" i="74"/>
  <c r="K57" i="74"/>
  <c r="E58" i="74"/>
  <c r="E1010" i="93" s="1"/>
  <c r="E1018" i="93" s="1"/>
  <c r="E60" i="74"/>
  <c r="I60" i="74"/>
  <c r="C89" i="74"/>
  <c r="G89" i="74"/>
  <c r="K89" i="74"/>
  <c r="I90" i="74"/>
  <c r="E92" i="74"/>
  <c r="I92" i="74"/>
  <c r="A1" i="73"/>
  <c r="A1" i="67"/>
  <c r="I3" i="76"/>
  <c r="A1" i="76"/>
  <c r="O1638" i="93"/>
  <c r="P320" i="72"/>
  <c r="P1861" i="93"/>
  <c r="O1634" i="93"/>
  <c r="DJ48" i="75"/>
  <c r="K95" i="75" s="1"/>
  <c r="GW48" i="75"/>
  <c r="L104" i="75" s="1"/>
  <c r="LM48" i="75"/>
  <c r="DK48" i="75"/>
  <c r="L95" i="75" s="1"/>
  <c r="GG48" i="75"/>
  <c r="K101" i="75" s="1"/>
  <c r="HM48" i="75"/>
  <c r="M107" i="75" s="1"/>
  <c r="LE48" i="75"/>
  <c r="N123" i="75" s="1"/>
  <c r="LI48" i="75"/>
  <c r="LU48" i="75"/>
  <c r="CY48" i="75"/>
  <c r="J97" i="75" s="1"/>
  <c r="DC48" i="75"/>
  <c r="N97" i="75" s="1"/>
  <c r="DL48" i="75"/>
  <c r="M95" i="75" s="1"/>
  <c r="DP48" i="75"/>
  <c r="L94" i="75" s="1"/>
  <c r="FZ48" i="75"/>
  <c r="DR48" i="75"/>
  <c r="N94" i="75" s="1"/>
  <c r="KJ48" i="75"/>
  <c r="M119" i="75" s="1"/>
  <c r="LH48" i="75"/>
  <c r="LL48" i="75"/>
  <c r="LP48" i="75"/>
  <c r="LX48" i="75"/>
  <c r="MB48" i="75"/>
  <c r="GX48" i="75"/>
  <c r="M104" i="75" s="1"/>
  <c r="HN48" i="75"/>
  <c r="N107" i="75" s="1"/>
  <c r="LF48" i="75"/>
  <c r="LJ48" i="75"/>
  <c r="LN48" i="75"/>
  <c r="LR48" i="75"/>
  <c r="LV48" i="75"/>
  <c r="LZ48" i="75"/>
  <c r="MD48" i="75"/>
  <c r="P151" i="78"/>
  <c r="P153" i="78"/>
  <c r="F37" i="78"/>
  <c r="R767" i="93"/>
  <c r="R117" i="74"/>
  <c r="S117" i="74"/>
  <c r="R87" i="74"/>
  <c r="S87" i="74"/>
  <c r="R55" i="74"/>
  <c r="S55" i="74"/>
  <c r="R23" i="74"/>
  <c r="S23" i="74"/>
  <c r="D982" i="93"/>
  <c r="D990" i="93"/>
  <c r="B982" i="93"/>
  <c r="B990" i="93"/>
  <c r="B996" i="93"/>
  <c r="G1042" i="93"/>
  <c r="G1049" i="93"/>
  <c r="I982" i="93"/>
  <c r="I990" i="93"/>
  <c r="D1070" i="93"/>
  <c r="D1077" i="93"/>
  <c r="I1042" i="93"/>
  <c r="I1049" i="93"/>
  <c r="E1012" i="93"/>
  <c r="E1020" i="93"/>
  <c r="G1012" i="93"/>
  <c r="G1020" i="93"/>
  <c r="C1070" i="93"/>
  <c r="C1077" i="93"/>
  <c r="H1042" i="93"/>
  <c r="H1049" i="93"/>
  <c r="D1012" i="93"/>
  <c r="D1020" i="93"/>
  <c r="C982" i="93"/>
  <c r="C990" i="93"/>
  <c r="K1012" i="93"/>
  <c r="K1020" i="93"/>
  <c r="I1012" i="93"/>
  <c r="I1020" i="93"/>
  <c r="G982" i="93"/>
  <c r="G990" i="93"/>
  <c r="E1042" i="93"/>
  <c r="E1049" i="93"/>
  <c r="F1070" i="93"/>
  <c r="F1077" i="93"/>
  <c r="J982" i="93"/>
  <c r="J990" i="93"/>
  <c r="D1042" i="93"/>
  <c r="D1049" i="93"/>
  <c r="C1012" i="93"/>
  <c r="C1020" i="93"/>
  <c r="C1042" i="93"/>
  <c r="C1049" i="93"/>
  <c r="H1012" i="93"/>
  <c r="H1020" i="93"/>
  <c r="H982" i="93"/>
  <c r="H990" i="93"/>
  <c r="B1070" i="93"/>
  <c r="B1077" i="93"/>
  <c r="F982" i="93"/>
  <c r="F990" i="93"/>
  <c r="K982" i="93"/>
  <c r="K990" i="93"/>
  <c r="K1042" i="93"/>
  <c r="K1049" i="93"/>
  <c r="D129" i="74"/>
  <c r="D1144" i="94" s="1"/>
  <c r="J1012" i="93"/>
  <c r="J1020" i="93"/>
  <c r="H1041" i="93"/>
  <c r="I1041" i="93"/>
  <c r="I1048" i="93" s="1"/>
  <c r="F1011" i="93"/>
  <c r="J1041" i="93"/>
  <c r="J1048" i="93" s="1"/>
  <c r="I1011" i="93"/>
  <c r="K1011" i="93"/>
  <c r="K1019" i="93" s="1"/>
  <c r="D1069" i="93"/>
  <c r="D1076" i="93" s="1"/>
  <c r="C1041" i="93"/>
  <c r="H1011" i="93"/>
  <c r="F1069" i="93"/>
  <c r="F1076" i="93" s="1"/>
  <c r="B1041" i="93"/>
  <c r="B1048" i="93" s="1"/>
  <c r="C1069" i="93"/>
  <c r="G1041" i="93"/>
  <c r="G1048" i="93" s="1"/>
  <c r="F1041" i="93"/>
  <c r="G1011" i="93"/>
  <c r="K1041" i="93"/>
  <c r="K1048" i="93" s="1"/>
  <c r="I1040" i="93"/>
  <c r="I1047" i="93" s="1"/>
  <c r="H1040" i="93"/>
  <c r="G1039" i="93"/>
  <c r="G1046" i="93"/>
  <c r="I1039" i="93"/>
  <c r="I1046" i="93"/>
  <c r="F1067" i="93"/>
  <c r="F1074" i="93"/>
  <c r="C1067" i="93"/>
  <c r="C1074" i="93" s="1"/>
  <c r="K1039" i="93"/>
  <c r="K1046" i="93" s="1"/>
  <c r="J1039" i="93"/>
  <c r="J1046" i="93" s="1"/>
  <c r="P71" i="72"/>
  <c r="P1621" i="93"/>
  <c r="O1826" i="93"/>
  <c r="P22" i="72"/>
  <c r="J68" i="74"/>
  <c r="J1083" i="94" s="1"/>
  <c r="I36" i="74"/>
  <c r="I1051" i="94" s="1"/>
  <c r="I777" i="93"/>
  <c r="K777" i="93" s="1"/>
  <c r="L777" i="93" s="1"/>
  <c r="I772" i="93"/>
  <c r="K772" i="93" s="1"/>
  <c r="L772" i="93" s="1"/>
  <c r="I767" i="93"/>
  <c r="K767" i="93" s="1"/>
  <c r="L767" i="93" s="1"/>
  <c r="I780" i="93"/>
  <c r="K780" i="93" s="1"/>
  <c r="L780" i="93" s="1"/>
  <c r="I770" i="93"/>
  <c r="K770" i="93" s="1"/>
  <c r="L770" i="93" s="1"/>
  <c r="I775" i="93"/>
  <c r="K775" i="93" s="1"/>
  <c r="L775" i="93" s="1"/>
  <c r="I768" i="93"/>
  <c r="K768" i="93" s="1"/>
  <c r="L768" i="93" s="1"/>
  <c r="I776" i="93"/>
  <c r="K776" i="93" s="1"/>
  <c r="L776" i="93" s="1"/>
  <c r="I774" i="93"/>
  <c r="K774" i="93" s="1"/>
  <c r="L774" i="93" s="1"/>
  <c r="R770" i="93"/>
  <c r="R769" i="93"/>
  <c r="C1009" i="93"/>
  <c r="E19" i="87"/>
  <c r="F1039" i="93"/>
  <c r="E32" i="87"/>
  <c r="B1009" i="93"/>
  <c r="E18" i="87"/>
  <c r="F68" i="74"/>
  <c r="F1083" i="94" s="1"/>
  <c r="F1012" i="93"/>
  <c r="F1020" i="93"/>
  <c r="I1009" i="93"/>
  <c r="E25" i="87"/>
  <c r="C1039" i="93"/>
  <c r="E29" i="87"/>
  <c r="B1039" i="93"/>
  <c r="E28" i="87"/>
  <c r="E129" i="74"/>
  <c r="E1144" i="94" s="1"/>
  <c r="E1070" i="93"/>
  <c r="E1077" i="93"/>
  <c r="K1010" i="93"/>
  <c r="B1067" i="93"/>
  <c r="B1010" i="93"/>
  <c r="B1018" i="93" s="1"/>
  <c r="D1067" i="93"/>
  <c r="D1039" i="93"/>
  <c r="E30" i="87"/>
  <c r="D1009" i="93"/>
  <c r="E20" i="87"/>
  <c r="K1040" i="93"/>
  <c r="D1011" i="93"/>
  <c r="E1009" i="93"/>
  <c r="E21" i="87"/>
  <c r="E1067" i="93"/>
  <c r="E36" i="74"/>
  <c r="E1051" i="94" s="1"/>
  <c r="E982" i="93"/>
  <c r="E990" i="93"/>
  <c r="F1010" i="93"/>
  <c r="F1021" i="93" s="1"/>
  <c r="B99" i="74"/>
  <c r="B1114" i="94" s="1"/>
  <c r="B1042" i="93"/>
  <c r="B1049" i="93"/>
  <c r="E1039" i="93"/>
  <c r="E31" i="87"/>
  <c r="H1009" i="93"/>
  <c r="E24" i="87"/>
  <c r="F99" i="74"/>
  <c r="F1114" i="94" s="1"/>
  <c r="F1042" i="93"/>
  <c r="F1049" i="93"/>
  <c r="K1009" i="93"/>
  <c r="E27" i="87"/>
  <c r="J1009" i="93"/>
  <c r="E26" i="87"/>
  <c r="F1040" i="93"/>
  <c r="B68" i="74"/>
  <c r="B1083" i="94" s="1"/>
  <c r="B1012" i="93"/>
  <c r="B1020" i="93"/>
  <c r="D1068" i="93"/>
  <c r="D1075" i="93" s="1"/>
  <c r="I58" i="84"/>
  <c r="E58" i="84"/>
  <c r="G1009" i="93"/>
  <c r="E23" i="87"/>
  <c r="F1009" i="93"/>
  <c r="E22" i="87"/>
  <c r="H1039" i="93"/>
  <c r="J99" i="74"/>
  <c r="J1114" i="94" s="1"/>
  <c r="J1042" i="93"/>
  <c r="J1049" i="93"/>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T211" i="72"/>
  <c r="L307" i="73"/>
  <c r="P306" i="72"/>
  <c r="P1848" i="93" s="1"/>
  <c r="D1019" i="93"/>
  <c r="F1018" i="93"/>
  <c r="C1076" i="93"/>
  <c r="K1018" i="93"/>
  <c r="I1019" i="93"/>
  <c r="F1047" i="93"/>
  <c r="F1048" i="93"/>
  <c r="H1047" i="93"/>
  <c r="F1019" i="93"/>
  <c r="K1047" i="93"/>
  <c r="H1019" i="93"/>
  <c r="H1048" i="93"/>
  <c r="G1019" i="93"/>
  <c r="C1048" i="93"/>
  <c r="R22" i="75"/>
  <c r="R784" i="94" s="1"/>
  <c r="R20" i="75"/>
  <c r="R777" i="93" s="1"/>
  <c r="R19" i="75"/>
  <c r="R781" i="94" s="1"/>
  <c r="Q58" i="73"/>
  <c r="C996" i="93"/>
  <c r="P1562" i="93"/>
  <c r="F1046" i="93"/>
  <c r="J1017" i="93"/>
  <c r="D1074" i="93"/>
  <c r="C1046" i="93"/>
  <c r="C1017" i="93"/>
  <c r="E1046" i="93"/>
  <c r="E1074" i="93"/>
  <c r="H1050" i="93"/>
  <c r="H1046" i="93"/>
  <c r="K1017" i="93"/>
  <c r="E1017" i="93"/>
  <c r="D1017" i="93"/>
  <c r="B1046" i="93"/>
  <c r="I1017" i="93"/>
  <c r="H1017" i="93"/>
  <c r="B1074" i="93"/>
  <c r="B1017" i="93"/>
  <c r="F1017" i="93"/>
  <c r="G1017" i="93"/>
  <c r="D1046" i="93"/>
  <c r="R779" i="93"/>
  <c r="R776" i="93"/>
  <c r="R782" i="94"/>
  <c r="D996" i="93"/>
  <c r="E996" i="93"/>
  <c r="F996" i="93"/>
  <c r="O1951" i="93"/>
  <c r="G996" i="93"/>
  <c r="H996" i="93"/>
  <c r="K1602" i="93"/>
  <c r="L1603" i="93"/>
  <c r="P1603" i="93"/>
  <c r="L1602" i="93"/>
  <c r="K1603" i="93"/>
  <c r="O1603" i="93"/>
  <c r="B45" i="74"/>
  <c r="B55" i="74"/>
  <c r="I996" i="93"/>
  <c r="P1709" i="93"/>
  <c r="P153" i="72"/>
  <c r="L235" i="72"/>
  <c r="O1602" i="93"/>
  <c r="O1601" i="93"/>
  <c r="P1602" i="93"/>
  <c r="P1601" i="93"/>
  <c r="C45" i="74"/>
  <c r="C55" i="74"/>
  <c r="K35" i="74"/>
  <c r="K1050" i="94" s="1"/>
  <c r="J996" i="93"/>
  <c r="P1707" i="93"/>
  <c r="O1959" i="93"/>
  <c r="E1586" i="93"/>
  <c r="P1959" i="93"/>
  <c r="P1950" i="93"/>
  <c r="D45" i="74"/>
  <c r="D55" i="74"/>
  <c r="D65" i="82"/>
  <c r="B67" i="74"/>
  <c r="B1082" i="94" s="1"/>
  <c r="O1950" i="93"/>
  <c r="E1594" i="93"/>
  <c r="E45" i="74"/>
  <c r="E55" i="74"/>
  <c r="C67" i="74"/>
  <c r="C1082" i="94" s="1"/>
  <c r="K996" i="93"/>
  <c r="B1026" i="93"/>
  <c r="F45" i="74"/>
  <c r="F55" i="74"/>
  <c r="F65" i="82"/>
  <c r="D67" i="74"/>
  <c r="D1082" i="94" s="1"/>
  <c r="C1026" i="93"/>
  <c r="G45" i="74"/>
  <c r="G55" i="74"/>
  <c r="G65" i="82"/>
  <c r="E67" i="74"/>
  <c r="E1082" i="94" s="1"/>
  <c r="D1026" i="93"/>
  <c r="H45" i="74"/>
  <c r="H55" i="74"/>
  <c r="F67" i="74"/>
  <c r="F1082" i="94" s="1"/>
  <c r="E1026" i="93"/>
  <c r="I45" i="74"/>
  <c r="I55" i="74"/>
  <c r="G66" i="74"/>
  <c r="G1081" i="94" s="1"/>
  <c r="G67" i="74"/>
  <c r="G1082" i="94" s="1"/>
  <c r="F1026" i="93"/>
  <c r="J45" i="74"/>
  <c r="J55" i="74"/>
  <c r="H67" i="74"/>
  <c r="H1082" i="94" s="1"/>
  <c r="G1026" i="93"/>
  <c r="K45" i="74"/>
  <c r="K55" i="74"/>
  <c r="I67" i="74"/>
  <c r="I1082" i="94" s="1"/>
  <c r="H1026" i="93"/>
  <c r="B59" i="82"/>
  <c r="B77" i="74"/>
  <c r="B87" i="74"/>
  <c r="J67" i="74"/>
  <c r="J1082" i="94" s="1"/>
  <c r="I1026" i="93"/>
  <c r="C77" i="74"/>
  <c r="C87" i="74"/>
  <c r="K66" i="74"/>
  <c r="K1081" i="94" s="1"/>
  <c r="K67" i="74"/>
  <c r="K1082" i="94" s="1"/>
  <c r="J1026" i="93"/>
  <c r="D77" i="74"/>
  <c r="D87" i="74"/>
  <c r="B98" i="74"/>
  <c r="B1113" i="94" s="1"/>
  <c r="K1026" i="93"/>
  <c r="F408" i="93"/>
  <c r="E77" i="74"/>
  <c r="E87" i="74"/>
  <c r="C98" i="74"/>
  <c r="C1113" i="94" s="1"/>
  <c r="B1055" i="93"/>
  <c r="F77" i="74"/>
  <c r="F87" i="74"/>
  <c r="D98" i="74"/>
  <c r="D1113" i="94" s="1"/>
  <c r="C1055" i="93"/>
  <c r="G77" i="74"/>
  <c r="G87" i="74"/>
  <c r="D1055" i="93"/>
  <c r="H77" i="74"/>
  <c r="H87" i="74"/>
  <c r="F98" i="74"/>
  <c r="F1113" i="94" s="1"/>
  <c r="E1055" i="93"/>
  <c r="I77" i="74"/>
  <c r="I87" i="74"/>
  <c r="F1055" i="93"/>
  <c r="J77" i="74"/>
  <c r="J87" i="74"/>
  <c r="H98" i="74"/>
  <c r="H1113" i="94" s="1"/>
  <c r="G1055" i="93"/>
  <c r="K77" i="74"/>
  <c r="K87" i="74"/>
  <c r="I97" i="74"/>
  <c r="I1112" i="94" s="1"/>
  <c r="I98" i="74"/>
  <c r="I1113" i="94" s="1"/>
  <c r="H1055" i="93"/>
  <c r="B107" i="74"/>
  <c r="B117" i="74"/>
  <c r="J97" i="74"/>
  <c r="J1112" i="94" s="1"/>
  <c r="J98" i="74"/>
  <c r="J1113" i="94" s="1"/>
  <c r="I1055" i="93"/>
  <c r="C107" i="74"/>
  <c r="C117" i="74"/>
  <c r="K97" i="74"/>
  <c r="K1112" i="94" s="1"/>
  <c r="K98" i="74"/>
  <c r="K1113" i="94" s="1"/>
  <c r="J1055" i="93"/>
  <c r="D107" i="74"/>
  <c r="D117" i="74"/>
  <c r="K1055" i="93"/>
  <c r="E107" i="74"/>
  <c r="E117" i="74"/>
  <c r="C128" i="74"/>
  <c r="C1143" i="94" s="1"/>
  <c r="B1083" i="93"/>
  <c r="F107" i="74"/>
  <c r="F117" i="74"/>
  <c r="D128" i="74"/>
  <c r="D1143" i="94" s="1"/>
  <c r="C1083" i="93"/>
  <c r="D1083" i="93"/>
  <c r="F128" i="74"/>
  <c r="F1143" i="94" s="1"/>
  <c r="E1083" i="93"/>
  <c r="F1083"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307" i="72"/>
  <c r="E1591" i="93"/>
  <c r="C133" i="90"/>
  <c r="L59" i="85" s="1"/>
  <c r="B32" i="82"/>
  <c r="B35" i="82" s="1"/>
  <c r="B36" i="82" s="1"/>
  <c r="I405" i="93"/>
  <c r="J164" i="78"/>
  <c r="C63" i="74"/>
  <c r="G34" i="86" s="1"/>
  <c r="J600" i="93"/>
  <c r="N405" i="93"/>
  <c r="A9" i="83"/>
  <c r="G36" i="86" l="1"/>
  <c r="F36" i="86"/>
  <c r="I16" i="86"/>
  <c r="E36" i="86"/>
  <c r="H1027" i="93"/>
  <c r="H1325" i="94"/>
  <c r="K1325" i="94"/>
  <c r="F1325" i="94"/>
  <c r="I1325" i="94"/>
  <c r="J1027" i="93"/>
  <c r="I435" i="94"/>
  <c r="I421" i="93"/>
  <c r="C53" i="82"/>
  <c r="C1045" i="94"/>
  <c r="C984" i="93"/>
  <c r="K61" i="84"/>
  <c r="G61" i="84"/>
  <c r="E61" i="84"/>
  <c r="I61" i="84"/>
  <c r="G60" i="84"/>
  <c r="K60" i="84"/>
  <c r="I60" i="84"/>
  <c r="E60" i="84"/>
  <c r="I59" i="84"/>
  <c r="E59" i="84"/>
  <c r="C62" i="84"/>
  <c r="G59" i="84"/>
  <c r="K59" i="84"/>
  <c r="G58" i="84"/>
  <c r="JN776" i="93"/>
  <c r="IA776" i="93"/>
  <c r="IA805" i="93" s="1"/>
  <c r="L851" i="93" s="1"/>
  <c r="FO776" i="93"/>
  <c r="FW776" i="93"/>
  <c r="GM776" i="93"/>
  <c r="HC776" i="93"/>
  <c r="HC805" i="93" s="1"/>
  <c r="M846" i="93" s="1"/>
  <c r="HK776" i="93"/>
  <c r="HS776" i="93"/>
  <c r="HS805" i="93" s="1"/>
  <c r="N849" i="93" s="1"/>
  <c r="N866" i="93" s="1"/>
  <c r="FP776" i="93"/>
  <c r="GF776" i="93"/>
  <c r="GV776" i="93"/>
  <c r="HL776" i="93"/>
  <c r="IB776" i="93"/>
  <c r="JP776" i="93"/>
  <c r="FI776" i="93"/>
  <c r="FY776" i="93"/>
  <c r="GO776" i="93"/>
  <c r="HE776" i="93"/>
  <c r="HU776" i="93"/>
  <c r="FB776" i="93"/>
  <c r="FB805" i="93" s="1"/>
  <c r="J852" i="93" s="1"/>
  <c r="FR776" i="93"/>
  <c r="GH776" i="93"/>
  <c r="GX776" i="93"/>
  <c r="HN776" i="93"/>
  <c r="FC776" i="93"/>
  <c r="FS776" i="93"/>
  <c r="FS805" i="93" s="1"/>
  <c r="L859" i="93" s="1"/>
  <c r="GI776" i="93"/>
  <c r="GY776" i="93"/>
  <c r="HO776" i="93"/>
  <c r="JC776" i="93"/>
  <c r="JC805" i="93" s="1"/>
  <c r="FD776" i="93"/>
  <c r="FT776" i="93"/>
  <c r="GE776" i="93"/>
  <c r="GU776" i="93"/>
  <c r="GU805" i="93" s="1"/>
  <c r="J845" i="93" s="1"/>
  <c r="FG776" i="93"/>
  <c r="FX776" i="93"/>
  <c r="HD776" i="93"/>
  <c r="FQ776" i="93"/>
  <c r="GW776" i="93"/>
  <c r="IC776" i="93"/>
  <c r="JQ776" i="93"/>
  <c r="FZ776" i="93"/>
  <c r="FZ805" i="93" s="1"/>
  <c r="N856" i="93" s="1"/>
  <c r="HF776" i="93"/>
  <c r="HF805" i="93" s="1"/>
  <c r="K847" i="93" s="1"/>
  <c r="K868" i="93" s="1"/>
  <c r="FK776" i="93"/>
  <c r="GQ776" i="93"/>
  <c r="HW776" i="93"/>
  <c r="FL776" i="93"/>
  <c r="GJ776" i="93"/>
  <c r="GZ776" i="93"/>
  <c r="HP776" i="93"/>
  <c r="JD776" i="93"/>
  <c r="FE776" i="93"/>
  <c r="FU776" i="93"/>
  <c r="GK776" i="93"/>
  <c r="HA776" i="93"/>
  <c r="HQ776" i="93"/>
  <c r="JE776" i="93"/>
  <c r="JE805" i="93" s="1"/>
  <c r="FF776" i="93"/>
  <c r="FV776" i="93"/>
  <c r="GL776" i="93"/>
  <c r="HB776" i="93"/>
  <c r="HR776" i="93"/>
  <c r="JF776" i="93"/>
  <c r="GB778" i="93"/>
  <c r="HX778" i="93"/>
  <c r="GR778" i="93"/>
  <c r="GR805" i="93" s="1"/>
  <c r="L844" i="93" s="1"/>
  <c r="GZ778" i="93"/>
  <c r="FT778" i="93"/>
  <c r="HP778" i="93"/>
  <c r="GJ778" i="93"/>
  <c r="HE778" i="93"/>
  <c r="FU778" i="93"/>
  <c r="JQ778" i="93"/>
  <c r="HZ778" i="93"/>
  <c r="HR778" i="93"/>
  <c r="HJ778" i="93"/>
  <c r="HB778" i="93"/>
  <c r="GT778" i="93"/>
  <c r="GL778" i="93"/>
  <c r="GD778" i="93"/>
  <c r="FV778" i="93"/>
  <c r="FN778" i="93"/>
  <c r="FF778" i="93"/>
  <c r="JP778" i="93"/>
  <c r="IC778" i="93"/>
  <c r="HQ778" i="93"/>
  <c r="HI778" i="93"/>
  <c r="GW778" i="93"/>
  <c r="GK778" i="93"/>
  <c r="GL780" i="93"/>
  <c r="JF780" i="93"/>
  <c r="JC780" i="93"/>
  <c r="HY780" i="93"/>
  <c r="HI780" i="93"/>
  <c r="GS780" i="93"/>
  <c r="GC780" i="93"/>
  <c r="FM780" i="93"/>
  <c r="HX780" i="93"/>
  <c r="HH780" i="93"/>
  <c r="HH805" i="93" s="1"/>
  <c r="M847" i="93" s="1"/>
  <c r="GR780" i="93"/>
  <c r="GB780" i="93"/>
  <c r="FL780" i="93"/>
  <c r="HW780" i="93"/>
  <c r="HG780" i="93"/>
  <c r="GQ780" i="93"/>
  <c r="GA780" i="93"/>
  <c r="GA805" i="93" s="1"/>
  <c r="J857" i="93" s="1"/>
  <c r="FK780" i="93"/>
  <c r="HV780" i="93"/>
  <c r="HF780" i="93"/>
  <c r="GP780" i="93"/>
  <c r="FZ780" i="93"/>
  <c r="FJ780" i="93"/>
  <c r="FJ805" i="93" s="1"/>
  <c r="M853" i="93" s="1"/>
  <c r="IC780" i="93"/>
  <c r="HM780" i="93"/>
  <c r="HM805" i="93" s="1"/>
  <c r="M848" i="93" s="1"/>
  <c r="M865" i="93" s="1"/>
  <c r="GW780" i="93"/>
  <c r="GG780" i="93"/>
  <c r="GG805" i="93" s="1"/>
  <c r="K854" i="93" s="1"/>
  <c r="FQ780" i="93"/>
  <c r="HZ780" i="93"/>
  <c r="GF780" i="93"/>
  <c r="HT780" i="93"/>
  <c r="GE780" i="93"/>
  <c r="HS780" i="93"/>
  <c r="GD780" i="93"/>
  <c r="HR780" i="93"/>
  <c r="FX780" i="93"/>
  <c r="HL780" i="93"/>
  <c r="FW780" i="93"/>
  <c r="FV780" i="93"/>
  <c r="FP780" i="93"/>
  <c r="FO780" i="93"/>
  <c r="HJ780" i="93"/>
  <c r="JD780" i="93"/>
  <c r="HQ780" i="93"/>
  <c r="GK780" i="93"/>
  <c r="FE780" i="93"/>
  <c r="GZ780" i="93"/>
  <c r="FT780" i="93"/>
  <c r="HO780" i="93"/>
  <c r="GI780" i="93"/>
  <c r="FC780" i="93"/>
  <c r="GX780" i="93"/>
  <c r="FR780" i="93"/>
  <c r="HU780" i="93"/>
  <c r="GO780" i="93"/>
  <c r="FI780" i="93"/>
  <c r="FN780" i="93"/>
  <c r="FH780" i="93"/>
  <c r="FG780" i="93"/>
  <c r="FF780" i="93"/>
  <c r="IB780" i="93"/>
  <c r="HK780" i="93"/>
  <c r="JE780" i="93"/>
  <c r="JO780" i="93"/>
  <c r="JP780" i="93"/>
  <c r="JQ780" i="93"/>
  <c r="FO782" i="93"/>
  <c r="GJ782" i="93"/>
  <c r="HF782" i="93"/>
  <c r="HP782" i="93"/>
  <c r="FZ782" i="93"/>
  <c r="IA782" i="93"/>
  <c r="GZ805" i="93"/>
  <c r="J846" i="93" s="1"/>
  <c r="GD805" i="93"/>
  <c r="M857" i="93" s="1"/>
  <c r="FG805" i="93"/>
  <c r="J853" i="93" s="1"/>
  <c r="HE805" i="93"/>
  <c r="J847" i="93" s="1"/>
  <c r="IF810" i="94"/>
  <c r="L886" i="94" s="1"/>
  <c r="KL810" i="94"/>
  <c r="J882" i="94" s="1"/>
  <c r="J901" i="94" s="1"/>
  <c r="KI810" i="94"/>
  <c r="L881" i="94" s="1"/>
  <c r="KX810" i="94"/>
  <c r="L884" i="94" s="1"/>
  <c r="JF810" i="94"/>
  <c r="M891" i="94" s="1"/>
  <c r="IU48" i="75"/>
  <c r="L131" i="75" s="1"/>
  <c r="KM779" i="94"/>
  <c r="IS48" i="75"/>
  <c r="J131" i="75" s="1"/>
  <c r="KK48" i="75"/>
  <c r="N119" i="75" s="1"/>
  <c r="JB805" i="93"/>
  <c r="HN810" i="94"/>
  <c r="N869" i="94" s="1"/>
  <c r="GW810" i="94"/>
  <c r="L866" i="94" s="1"/>
  <c r="GZ810" i="94"/>
  <c r="J867" i="94" s="1"/>
  <c r="HS810" i="94"/>
  <c r="N870" i="94" s="1"/>
  <c r="GY810" i="94"/>
  <c r="N866" i="94" s="1"/>
  <c r="MM48" i="75"/>
  <c r="GT48" i="75"/>
  <c r="MG48" i="75"/>
  <c r="ML48" i="75"/>
  <c r="HE810" i="94"/>
  <c r="MC810" i="94"/>
  <c r="GM810" i="94"/>
  <c r="L864" i="94" s="1"/>
  <c r="GS810" i="94"/>
  <c r="K56" i="73"/>
  <c r="JI810" i="94"/>
  <c r="K888" i="94" s="1"/>
  <c r="MO810" i="94"/>
  <c r="HZ805" i="93"/>
  <c r="K851" i="93" s="1"/>
  <c r="ML810" i="94"/>
  <c r="ME810" i="94"/>
  <c r="MG810" i="94"/>
  <c r="IV810" i="94"/>
  <c r="M893" i="94" s="1"/>
  <c r="JC810" i="94"/>
  <c r="J891" i="94" s="1"/>
  <c r="JR810" i="94"/>
  <c r="J878" i="94" s="1"/>
  <c r="JH810" i="94"/>
  <c r="J888" i="94" s="1"/>
  <c r="IC779" i="94"/>
  <c r="MR779" i="94"/>
  <c r="MR810" i="94" s="1"/>
  <c r="KU779" i="94"/>
  <c r="KU810" i="94" s="1"/>
  <c r="N883" i="94" s="1"/>
  <c r="N902" i="94" s="1"/>
  <c r="KE779" i="94"/>
  <c r="KE810" i="94" s="1"/>
  <c r="M880" i="94" s="1"/>
  <c r="JO779" i="94"/>
  <c r="JO810" i="94" s="1"/>
  <c r="L889" i="94" s="1"/>
  <c r="IY779" i="94"/>
  <c r="IY810" i="94" s="1"/>
  <c r="K890" i="94" s="1"/>
  <c r="II779" i="94"/>
  <c r="II810" i="94" s="1"/>
  <c r="J887" i="94" s="1"/>
  <c r="IB779" i="94"/>
  <c r="IB810" i="94" s="1"/>
  <c r="HZ779" i="94"/>
  <c r="HZ810" i="94" s="1"/>
  <c r="IG779" i="94"/>
  <c r="IG810" i="94" s="1"/>
  <c r="M886" i="94" s="1"/>
  <c r="IW779" i="94"/>
  <c r="IW810" i="94" s="1"/>
  <c r="N893" i="94" s="1"/>
  <c r="JM779" i="94"/>
  <c r="JM810" i="94" s="1"/>
  <c r="J889" i="94" s="1"/>
  <c r="KC779" i="94"/>
  <c r="KC810" i="94" s="1"/>
  <c r="K880" i="94" s="1"/>
  <c r="KS779" i="94"/>
  <c r="KS810" i="94" s="1"/>
  <c r="L883" i="94" s="1"/>
  <c r="L902" i="94" s="1"/>
  <c r="MP779" i="94"/>
  <c r="IH779" i="94"/>
  <c r="IH810" i="94" s="1"/>
  <c r="N886" i="94" s="1"/>
  <c r="IX779" i="94"/>
  <c r="IX810" i="94" s="1"/>
  <c r="J890" i="94" s="1"/>
  <c r="JN779" i="94"/>
  <c r="JN810" i="94" s="1"/>
  <c r="K889" i="94" s="1"/>
  <c r="KD779" i="94"/>
  <c r="KD810" i="94" s="1"/>
  <c r="L880" i="94" s="1"/>
  <c r="L903" i="94" s="1"/>
  <c r="KT779" i="94"/>
  <c r="KT810" i="94" s="1"/>
  <c r="M883" i="94" s="1"/>
  <c r="M902" i="94" s="1"/>
  <c r="MQ779" i="94"/>
  <c r="MQ810" i="94" s="1"/>
  <c r="IJ779" i="94"/>
  <c r="IJ810" i="94" s="1"/>
  <c r="K887" i="94" s="1"/>
  <c r="IZ779" i="94"/>
  <c r="JP779" i="94"/>
  <c r="KF779" i="94"/>
  <c r="KV779" i="94"/>
  <c r="KV810" i="94" s="1"/>
  <c r="J884" i="94" s="1"/>
  <c r="MS779" i="94"/>
  <c r="MS810" i="94" s="1"/>
  <c r="IK779" i="94"/>
  <c r="JA779" i="94"/>
  <c r="JQ779" i="94"/>
  <c r="KG779" i="94"/>
  <c r="KG810" i="94" s="1"/>
  <c r="J881" i="94" s="1"/>
  <c r="KW779" i="94"/>
  <c r="KW810" i="94" s="1"/>
  <c r="K884" i="94" s="1"/>
  <c r="ID779" i="94"/>
  <c r="ID810" i="94" s="1"/>
  <c r="J886" i="94" s="1"/>
  <c r="IT779" i="94"/>
  <c r="IT810" i="94" s="1"/>
  <c r="K893" i="94" s="1"/>
  <c r="JJ779" i="94"/>
  <c r="JJ810" i="94" s="1"/>
  <c r="L888" i="94" s="1"/>
  <c r="JZ779" i="94"/>
  <c r="KP779" i="94"/>
  <c r="IE779" i="94"/>
  <c r="IE810" i="94" s="1"/>
  <c r="K886" i="94" s="1"/>
  <c r="IU779" i="94"/>
  <c r="IU810" i="94" s="1"/>
  <c r="L893" i="94" s="1"/>
  <c r="JK779" i="94"/>
  <c r="KA779" i="94"/>
  <c r="KQ779" i="94"/>
  <c r="KQ810" i="94" s="1"/>
  <c r="J883" i="94" s="1"/>
  <c r="IN779" i="94"/>
  <c r="IN810" i="94" s="1"/>
  <c r="J892" i="94" s="1"/>
  <c r="JD779" i="94"/>
  <c r="JT779" i="94"/>
  <c r="JT810" i="94" s="1"/>
  <c r="L878" i="94" s="1"/>
  <c r="L899" i="94" s="1"/>
  <c r="KJ779" i="94"/>
  <c r="KZ779" i="94"/>
  <c r="KZ810" i="94" s="1"/>
  <c r="N884" i="94" s="1"/>
  <c r="MN779" i="94"/>
  <c r="MM779" i="94"/>
  <c r="MI779" i="94"/>
  <c r="MI810" i="94" s="1"/>
  <c r="MH779" i="94"/>
  <c r="MH810" i="94" s="1"/>
  <c r="MJ779" i="94"/>
  <c r="MJ810" i="94" s="1"/>
  <c r="MK779" i="94"/>
  <c r="A779" i="94"/>
  <c r="KY779" i="94"/>
  <c r="KY810" i="94" s="1"/>
  <c r="M884" i="94" s="1"/>
  <c r="JS779" i="94"/>
  <c r="IM779" i="94"/>
  <c r="IM810" i="94" s="1"/>
  <c r="N887" i="94" s="1"/>
  <c r="KH779" i="94"/>
  <c r="KH810" i="94" s="1"/>
  <c r="K881" i="94" s="1"/>
  <c r="JB779" i="94"/>
  <c r="LE779" i="94"/>
  <c r="LE810" i="94" s="1"/>
  <c r="N885" i="94" s="1"/>
  <c r="JY779" i="94"/>
  <c r="JY810" i="94" s="1"/>
  <c r="L879" i="94" s="1"/>
  <c r="IS779" i="94"/>
  <c r="LD779" i="94"/>
  <c r="LD810" i="94" s="1"/>
  <c r="M885" i="94" s="1"/>
  <c r="JX779" i="94"/>
  <c r="JX810" i="94" s="1"/>
  <c r="K879" i="94" s="1"/>
  <c r="IR779" i="94"/>
  <c r="IR810" i="94" s="1"/>
  <c r="N892" i="94" s="1"/>
  <c r="LB779" i="94"/>
  <c r="JV779" i="94"/>
  <c r="JV810" i="94" s="1"/>
  <c r="N878" i="94" s="1"/>
  <c r="IP779" i="94"/>
  <c r="IP810" i="94" s="1"/>
  <c r="L892" i="94" s="1"/>
  <c r="LA779" i="94"/>
  <c r="LA810" i="94" s="1"/>
  <c r="J885" i="94" s="1"/>
  <c r="JU779" i="94"/>
  <c r="JU810" i="94" s="1"/>
  <c r="M878" i="94" s="1"/>
  <c r="IO779" i="94"/>
  <c r="IO810" i="94" s="1"/>
  <c r="K892" i="94" s="1"/>
  <c r="IA779" i="94"/>
  <c r="IQ779" i="94"/>
  <c r="IQ810" i="94" s="1"/>
  <c r="M892" i="94" s="1"/>
  <c r="JW779" i="94"/>
  <c r="JW810" i="94" s="1"/>
  <c r="J879" i="94" s="1"/>
  <c r="LC779" i="94"/>
  <c r="LC810" i="94" s="1"/>
  <c r="L885" i="94" s="1"/>
  <c r="L904" i="94" s="1"/>
  <c r="JL810" i="94"/>
  <c r="N888" i="94" s="1"/>
  <c r="KJ810" i="94"/>
  <c r="M881" i="94" s="1"/>
  <c r="JB810" i="94"/>
  <c r="N890" i="94" s="1"/>
  <c r="KK810" i="94"/>
  <c r="N881" i="94" s="1"/>
  <c r="MP810" i="94"/>
  <c r="P999" i="94" s="1"/>
  <c r="KM810" i="94"/>
  <c r="K882" i="94" s="1"/>
  <c r="KN810" i="94"/>
  <c r="L882" i="94" s="1"/>
  <c r="L901" i="94" s="1"/>
  <c r="JA810" i="94"/>
  <c r="M890" i="94" s="1"/>
  <c r="M897" i="94" s="1"/>
  <c r="FV48" i="75"/>
  <c r="FX48" i="75"/>
  <c r="GB48" i="75"/>
  <c r="K155" i="75" s="1"/>
  <c r="GD48" i="75"/>
  <c r="M155" i="75" s="1"/>
  <c r="GK48" i="75"/>
  <c r="J102" i="75" s="1"/>
  <c r="GM48" i="75"/>
  <c r="L102" i="75" s="1"/>
  <c r="GQ48" i="75"/>
  <c r="GS48" i="75"/>
  <c r="GZ48" i="75"/>
  <c r="J105" i="75" s="1"/>
  <c r="HB48" i="75"/>
  <c r="L105" i="75" s="1"/>
  <c r="HF48" i="75"/>
  <c r="HH48" i="75"/>
  <c r="HO48" i="75"/>
  <c r="J108" i="75" s="1"/>
  <c r="HQ48" i="75"/>
  <c r="L108" i="75" s="1"/>
  <c r="HS48" i="75"/>
  <c r="N108" i="75" s="1"/>
  <c r="HU48" i="75"/>
  <c r="Z805" i="93"/>
  <c r="M813" i="93" s="1"/>
  <c r="CW780" i="93"/>
  <c r="CT780" i="93"/>
  <c r="EL780" i="93"/>
  <c r="BW780" i="93"/>
  <c r="BY780" i="93"/>
  <c r="EV805" i="93"/>
  <c r="BY776" i="93"/>
  <c r="CZ776" i="93"/>
  <c r="CS776" i="93"/>
  <c r="CT776" i="93"/>
  <c r="CU776" i="93"/>
  <c r="IH776" i="93"/>
  <c r="IH805" i="93" s="1"/>
  <c r="BU776" i="93"/>
  <c r="DK776" i="93"/>
  <c r="CW776" i="93"/>
  <c r="BW776" i="93"/>
  <c r="BW805" i="93" s="1"/>
  <c r="L818" i="93" s="1"/>
  <c r="CY776" i="93"/>
  <c r="BV778" i="93"/>
  <c r="IH778" i="93"/>
  <c r="CZ778" i="93"/>
  <c r="DR778" i="93"/>
  <c r="DI778" i="93"/>
  <c r="IU778" i="93"/>
  <c r="CU778" i="93"/>
  <c r="AK778" i="93"/>
  <c r="AT778" i="93"/>
  <c r="IS778" i="93"/>
  <c r="ID778" i="93"/>
  <c r="ID805" i="93" s="1"/>
  <c r="EQ778" i="93"/>
  <c r="EQ805" i="93" s="1"/>
  <c r="N836" i="93" s="1"/>
  <c r="EC778" i="93"/>
  <c r="DN778" i="93"/>
  <c r="DA778" i="93"/>
  <c r="CS778" i="93"/>
  <c r="CD778" i="93"/>
  <c r="CD805" i="93" s="1"/>
  <c r="N870" i="93" s="1"/>
  <c r="BS778" i="93"/>
  <c r="BE778" i="93"/>
  <c r="AP778" i="93"/>
  <c r="AC778" i="93"/>
  <c r="DA780" i="93"/>
  <c r="DC780" i="93"/>
  <c r="BU780" i="93"/>
  <c r="CX780" i="93"/>
  <c r="CX805" i="93" s="1"/>
  <c r="BX780" i="93"/>
  <c r="CY780" i="93"/>
  <c r="CV780" i="93"/>
  <c r="CU780" i="93"/>
  <c r="IM780" i="93"/>
  <c r="AM780" i="93"/>
  <c r="CZ782" i="93"/>
  <c r="CB782" i="93"/>
  <c r="CQ782" i="93"/>
  <c r="ER782" i="93"/>
  <c r="ER805" i="93" s="1"/>
  <c r="BQ810" i="94"/>
  <c r="K848" i="94" s="1"/>
  <c r="CC810" i="94"/>
  <c r="M846" i="94" s="1"/>
  <c r="CO810" i="94"/>
  <c r="J843" i="94" s="1"/>
  <c r="CS810" i="94"/>
  <c r="N843" i="94" s="1"/>
  <c r="DI810" i="94"/>
  <c r="J857" i="94" s="1"/>
  <c r="FZ810" i="94"/>
  <c r="BA785" i="94"/>
  <c r="BA783" i="94"/>
  <c r="BA781" i="94"/>
  <c r="AV780" i="94"/>
  <c r="AQ785" i="94"/>
  <c r="AQ783" i="94"/>
  <c r="AQ781" i="94"/>
  <c r="AG787" i="94"/>
  <c r="AB780" i="94"/>
  <c r="W786" i="94"/>
  <c r="W784" i="94"/>
  <c r="W782" i="94"/>
  <c r="GF810" i="94"/>
  <c r="J863" i="94" s="1"/>
  <c r="HV810" i="94"/>
  <c r="BO810" i="94"/>
  <c r="N849" i="94" s="1"/>
  <c r="DC810" i="94"/>
  <c r="N859" i="94" s="1"/>
  <c r="EA810" i="94"/>
  <c r="M854" i="94" s="1"/>
  <c r="W787" i="94"/>
  <c r="W785" i="94"/>
  <c r="W783" i="94"/>
  <c r="W781" i="94"/>
  <c r="IR805" i="93"/>
  <c r="EF805" i="93"/>
  <c r="W779" i="94"/>
  <c r="GA48" i="75"/>
  <c r="J155" i="75" s="1"/>
  <c r="A810" i="94"/>
  <c r="A767" i="94" s="1"/>
  <c r="R21" i="75"/>
  <c r="Q778" i="93"/>
  <c r="BN774" i="93"/>
  <c r="BF774" i="93"/>
  <c r="AX774" i="93"/>
  <c r="AR774" i="93"/>
  <c r="BQ774" i="93"/>
  <c r="BC774" i="93"/>
  <c r="BA774" i="93"/>
  <c r="CU774" i="93"/>
  <c r="CU805" i="93" s="1"/>
  <c r="BG774" i="93"/>
  <c r="BI774" i="93"/>
  <c r="CW774" i="93"/>
  <c r="CW805" i="93" s="1"/>
  <c r="BL779" i="94"/>
  <c r="BL810" i="94" s="1"/>
  <c r="K849" i="94" s="1"/>
  <c r="BN779" i="94"/>
  <c r="BP779" i="94"/>
  <c r="BR779" i="94"/>
  <c r="BR810" i="94" s="1"/>
  <c r="L848" i="94" s="1"/>
  <c r="BT779" i="94"/>
  <c r="BT810" i="94" s="1"/>
  <c r="N848" i="94" s="1"/>
  <c r="BV779" i="94"/>
  <c r="BX779" i="94"/>
  <c r="BZ779" i="94"/>
  <c r="BZ810" i="94" s="1"/>
  <c r="J846" i="94" s="1"/>
  <c r="CB779" i="94"/>
  <c r="CB810" i="94" s="1"/>
  <c r="L846" i="94" s="1"/>
  <c r="CD779" i="94"/>
  <c r="CD810" i="94" s="1"/>
  <c r="N846" i="94" s="1"/>
  <c r="CF779" i="94"/>
  <c r="CH779" i="94"/>
  <c r="CH810" i="94" s="1"/>
  <c r="M845" i="94" s="1"/>
  <c r="CJ779" i="94"/>
  <c r="CL779" i="94"/>
  <c r="CN779" i="94"/>
  <c r="CP779" i="94"/>
  <c r="CR779" i="94"/>
  <c r="CR810" i="94" s="1"/>
  <c r="M843" i="94" s="1"/>
  <c r="CT779" i="94"/>
  <c r="CT810" i="94" s="1"/>
  <c r="J860" i="94" s="1"/>
  <c r="CV779" i="94"/>
  <c r="CX779" i="94"/>
  <c r="CZ779" i="94"/>
  <c r="CZ810" i="94" s="1"/>
  <c r="K859" i="94" s="1"/>
  <c r="DB779" i="94"/>
  <c r="DB810" i="94" s="1"/>
  <c r="M859" i="94" s="1"/>
  <c r="DD779" i="94"/>
  <c r="DD810" i="94" s="1"/>
  <c r="J858" i="94" s="1"/>
  <c r="DF779" i="94"/>
  <c r="DH779" i="94"/>
  <c r="DJ779" i="94"/>
  <c r="DL779" i="94"/>
  <c r="DN779" i="94"/>
  <c r="DP779" i="94"/>
  <c r="DP810" i="94" s="1"/>
  <c r="L856" i="94" s="1"/>
  <c r="DR779" i="94"/>
  <c r="DR810" i="94" s="1"/>
  <c r="N856" i="94" s="1"/>
  <c r="DT779" i="94"/>
  <c r="DV779" i="94"/>
  <c r="DV810" i="94" s="1"/>
  <c r="M855" i="94" s="1"/>
  <c r="DX779" i="94"/>
  <c r="DX810" i="94" s="1"/>
  <c r="J854" i="94" s="1"/>
  <c r="DZ779" i="94"/>
  <c r="DZ810" i="94" s="1"/>
  <c r="L854" i="94" s="1"/>
  <c r="EB779" i="94"/>
  <c r="EB810" i="94" s="1"/>
  <c r="N854" i="94" s="1"/>
  <c r="FW779" i="94"/>
  <c r="FW810" i="94" s="1"/>
  <c r="DU48" i="75"/>
  <c r="L93" i="75" s="1"/>
  <c r="CA805" i="93"/>
  <c r="K870" i="93" s="1"/>
  <c r="DE805" i="93"/>
  <c r="K829" i="93" s="1"/>
  <c r="DH810" i="94"/>
  <c r="N858" i="94" s="1"/>
  <c r="FY810" i="94"/>
  <c r="JQ810" i="94"/>
  <c r="N889" i="94" s="1"/>
  <c r="CX810" i="94"/>
  <c r="N860" i="94" s="1"/>
  <c r="CA810" i="94"/>
  <c r="K846" i="94" s="1"/>
  <c r="O846" i="94" s="1"/>
  <c r="FI810" i="94"/>
  <c r="L912" i="94" s="1"/>
  <c r="LW810" i="94"/>
  <c r="CK810" i="94"/>
  <c r="K844" i="94" s="1"/>
  <c r="BM810" i="94"/>
  <c r="L849" i="94" s="1"/>
  <c r="DE810" i="94"/>
  <c r="K858" i="94" s="1"/>
  <c r="BN810" i="94"/>
  <c r="M849" i="94" s="1"/>
  <c r="DF810" i="94"/>
  <c r="L858" i="94" s="1"/>
  <c r="EO810" i="94"/>
  <c r="L908" i="94" s="1"/>
  <c r="FK810" i="94"/>
  <c r="N912" i="94" s="1"/>
  <c r="CP810" i="94"/>
  <c r="K843" i="94" s="1"/>
  <c r="LF810" i="94"/>
  <c r="BK810" i="94"/>
  <c r="J849" i="94" s="1"/>
  <c r="O849" i="94" s="1"/>
  <c r="DA810" i="94"/>
  <c r="L859" i="94" s="1"/>
  <c r="BW810" i="94"/>
  <c r="L847" i="94" s="1"/>
  <c r="DS810" i="94"/>
  <c r="J855" i="94" s="1"/>
  <c r="EY810" i="94"/>
  <c r="L910" i="94" s="1"/>
  <c r="BP810" i="94"/>
  <c r="J848" i="94" s="1"/>
  <c r="CF810" i="94"/>
  <c r="K845" i="94" s="1"/>
  <c r="CV810" i="94"/>
  <c r="L860" i="94" s="1"/>
  <c r="DL810" i="94"/>
  <c r="M857" i="94" s="1"/>
  <c r="EW810" i="94"/>
  <c r="J910" i="94" s="1"/>
  <c r="DI805" i="93"/>
  <c r="J830" i="93" s="1"/>
  <c r="AW805" i="93"/>
  <c r="K822" i="93" s="1"/>
  <c r="BP805" i="93"/>
  <c r="J825" i="93" s="1"/>
  <c r="CX48" i="75"/>
  <c r="N98" i="75" s="1"/>
  <c r="FR48" i="75"/>
  <c r="K153" i="75" s="1"/>
  <c r="FT48" i="75"/>
  <c r="M153" i="75" s="1"/>
  <c r="GO48" i="75"/>
  <c r="N102" i="75" s="1"/>
  <c r="HD48" i="75"/>
  <c r="N105" i="75" s="1"/>
  <c r="HW48" i="75"/>
  <c r="IC48" i="75"/>
  <c r="IL48" i="75"/>
  <c r="M125" i="75" s="1"/>
  <c r="JF48" i="75"/>
  <c r="M129" i="75" s="1"/>
  <c r="JO48" i="75"/>
  <c r="L127" i="75" s="1"/>
  <c r="JQ48" i="75"/>
  <c r="N127" i="75" s="1"/>
  <c r="JZ48" i="75"/>
  <c r="M117" i="75" s="1"/>
  <c r="KG48" i="75"/>
  <c r="J119" i="75" s="1"/>
  <c r="J142" i="75" s="1"/>
  <c r="KT48" i="75"/>
  <c r="M121" i="75" s="1"/>
  <c r="M140" i="75" s="1"/>
  <c r="K1216" i="94" s="1"/>
  <c r="LC48" i="75"/>
  <c r="L123" i="75" s="1"/>
  <c r="L142" i="75" s="1"/>
  <c r="MF48" i="75"/>
  <c r="EN805" i="93"/>
  <c r="K836" i="93" s="1"/>
  <c r="CU48" i="75"/>
  <c r="K98" i="75" s="1"/>
  <c r="LG48" i="75"/>
  <c r="LK48" i="75"/>
  <c r="LQ48" i="75"/>
  <c r="LS48" i="75"/>
  <c r="LW48" i="75"/>
  <c r="LY48" i="75"/>
  <c r="MA48" i="75"/>
  <c r="MC48" i="75"/>
  <c r="FW48" i="75"/>
  <c r="GC48" i="75"/>
  <c r="L155" i="75" s="1"/>
  <c r="GE48" i="75"/>
  <c r="N155" i="75" s="1"/>
  <c r="HC48" i="75"/>
  <c r="M105" i="75" s="1"/>
  <c r="HE48" i="75"/>
  <c r="J106" i="75" s="1"/>
  <c r="HR48" i="75"/>
  <c r="M108" i="75" s="1"/>
  <c r="HX48" i="75"/>
  <c r="II48" i="75"/>
  <c r="J125" i="75" s="1"/>
  <c r="IM48" i="75"/>
  <c r="N125" i="75" s="1"/>
  <c r="IT48" i="75"/>
  <c r="K131" i="75" s="1"/>
  <c r="JC48" i="75"/>
  <c r="J129" i="75" s="1"/>
  <c r="JG48" i="75"/>
  <c r="N129" i="75" s="1"/>
  <c r="JP48" i="75"/>
  <c r="M127" i="75" s="1"/>
  <c r="JW48" i="75"/>
  <c r="J117" i="75" s="1"/>
  <c r="KH48" i="75"/>
  <c r="K119" i="75" s="1"/>
  <c r="KU48" i="75"/>
  <c r="N121" i="75" s="1"/>
  <c r="N140" i="75" s="1"/>
  <c r="K1217" i="94" s="1"/>
  <c r="N1217" i="94" s="1"/>
  <c r="MI48" i="75"/>
  <c r="MO48" i="75"/>
  <c r="MQ48" i="75"/>
  <c r="MS48" i="75"/>
  <c r="FU48" i="75"/>
  <c r="N153" i="75" s="1"/>
  <c r="FY48" i="75"/>
  <c r="HZ48" i="75"/>
  <c r="IK48" i="75"/>
  <c r="L125" i="75" s="1"/>
  <c r="IV48" i="75"/>
  <c r="M131" i="75" s="1"/>
  <c r="JE48" i="75"/>
  <c r="L129" i="75" s="1"/>
  <c r="JY48" i="75"/>
  <c r="L117" i="75" s="1"/>
  <c r="KA48" i="75"/>
  <c r="N117" i="75" s="1"/>
  <c r="KQ48" i="75"/>
  <c r="J121" i="75" s="1"/>
  <c r="J140" i="75" s="1"/>
  <c r="KS48" i="75"/>
  <c r="L121" i="75" s="1"/>
  <c r="L140" i="75" s="1"/>
  <c r="K1215" i="94" s="1"/>
  <c r="LB48" i="75"/>
  <c r="K123" i="75" s="1"/>
  <c r="LD48" i="75"/>
  <c r="M123" i="75" s="1"/>
  <c r="M142" i="75" s="1"/>
  <c r="ME48" i="75"/>
  <c r="MK48" i="75"/>
  <c r="O236" i="75" s="1"/>
  <c r="A805" i="93"/>
  <c r="A762" i="93" s="1"/>
  <c r="EA805" i="93"/>
  <c r="M833" i="93" s="1"/>
  <c r="HV805" i="93"/>
  <c r="L850" i="93" s="1"/>
  <c r="GP805" i="93"/>
  <c r="J844" i="93" s="1"/>
  <c r="CV805" i="93"/>
  <c r="FQ805" i="93"/>
  <c r="J859" i="93" s="1"/>
  <c r="J862" i="93" s="1"/>
  <c r="GW805" i="93"/>
  <c r="L845" i="93" s="1"/>
  <c r="FV805" i="93"/>
  <c r="J856" i="93" s="1"/>
  <c r="HJ805" i="93"/>
  <c r="J848" i="93" s="1"/>
  <c r="J865" i="93" s="1"/>
  <c r="JO805" i="93"/>
  <c r="HO810" i="94"/>
  <c r="J870" i="94" s="1"/>
  <c r="BA787" i="94"/>
  <c r="BA810" i="94" s="1"/>
  <c r="J824" i="94" s="1"/>
  <c r="AV787" i="94"/>
  <c r="AQ787" i="94"/>
  <c r="AL787" i="94"/>
  <c r="DP805" i="93"/>
  <c r="JM805" i="93"/>
  <c r="GN805" i="93"/>
  <c r="M855" i="93" s="1"/>
  <c r="GM805" i="93"/>
  <c r="L855" i="93" s="1"/>
  <c r="HK805" i="93"/>
  <c r="K848" i="93" s="1"/>
  <c r="K865" i="93" s="1"/>
  <c r="FD805" i="93"/>
  <c r="L852" i="93" s="1"/>
  <c r="GJ805" i="93"/>
  <c r="N854" i="93" s="1"/>
  <c r="HP805" i="93"/>
  <c r="K849" i="93" s="1"/>
  <c r="K866" i="93" s="1"/>
  <c r="DR805" i="93"/>
  <c r="AP805" i="93"/>
  <c r="N816" i="93" s="1"/>
  <c r="HO805" i="93"/>
  <c r="J849" i="93" s="1"/>
  <c r="J866" i="93" s="1"/>
  <c r="FR805" i="93"/>
  <c r="K859" i="93" s="1"/>
  <c r="FT805" i="93"/>
  <c r="M859" i="93" s="1"/>
  <c r="M862" i="93" s="1"/>
  <c r="FN805" i="93"/>
  <c r="L858" i="93" s="1"/>
  <c r="JI805" i="93"/>
  <c r="JG805" i="93"/>
  <c r="AB785" i="94"/>
  <c r="GP810" i="94"/>
  <c r="HB810" i="94"/>
  <c r="L867" i="94" s="1"/>
  <c r="L868" i="94" s="1"/>
  <c r="HX810" i="94"/>
  <c r="GN810" i="94"/>
  <c r="M864" i="94" s="1"/>
  <c r="IL805" i="93"/>
  <c r="EU805" i="93"/>
  <c r="ED805" i="93"/>
  <c r="IK805" i="93"/>
  <c r="HX805" i="93"/>
  <c r="N850" i="93" s="1"/>
  <c r="HL48" i="75"/>
  <c r="L107" i="75" s="1"/>
  <c r="DM48" i="75"/>
  <c r="N95" i="75" s="1"/>
  <c r="O95" i="75" s="1"/>
  <c r="DN48" i="75"/>
  <c r="J94" i="75" s="1"/>
  <c r="LB810" i="94"/>
  <c r="K885" i="94" s="1"/>
  <c r="KR810" i="94"/>
  <c r="K883" i="94" s="1"/>
  <c r="K902" i="94" s="1"/>
  <c r="JS810" i="94"/>
  <c r="K878" i="94" s="1"/>
  <c r="K899" i="94" s="1"/>
  <c r="KP810" i="94"/>
  <c r="N882" i="94" s="1"/>
  <c r="N901" i="94" s="1"/>
  <c r="MF810" i="94"/>
  <c r="IS810" i="94"/>
  <c r="J893" i="94" s="1"/>
  <c r="J898" i="94" s="1"/>
  <c r="JE810" i="94"/>
  <c r="L891" i="94" s="1"/>
  <c r="KA810" i="94"/>
  <c r="N879" i="94" s="1"/>
  <c r="IL810" i="94"/>
  <c r="M887" i="94" s="1"/>
  <c r="M898" i="94" s="1"/>
  <c r="KB810" i="94"/>
  <c r="J880" i="94" s="1"/>
  <c r="JP810" i="94"/>
  <c r="M889" i="94" s="1"/>
  <c r="KF810" i="94"/>
  <c r="N880" i="94" s="1"/>
  <c r="KB48" i="75"/>
  <c r="J118" i="75" s="1"/>
  <c r="JH48" i="75"/>
  <c r="J126" i="75" s="1"/>
  <c r="IG48" i="75"/>
  <c r="M124" i="75" s="1"/>
  <c r="AL784" i="94"/>
  <c r="AG784" i="94"/>
  <c r="J899" i="94"/>
  <c r="I778" i="93"/>
  <c r="K778" i="93" s="1"/>
  <c r="L778" i="93" s="1"/>
  <c r="BT805" i="93"/>
  <c r="N825" i="93" s="1"/>
  <c r="EB48" i="75"/>
  <c r="N92" i="75" s="1"/>
  <c r="GE805" i="93"/>
  <c r="N857" i="93" s="1"/>
  <c r="EY805" i="93"/>
  <c r="DC805" i="93"/>
  <c r="N875" i="93" s="1"/>
  <c r="JF805" i="93"/>
  <c r="GY805" i="93"/>
  <c r="N845" i="93" s="1"/>
  <c r="FC805" i="93"/>
  <c r="K852" i="93" s="1"/>
  <c r="FW805" i="93"/>
  <c r="K856" i="93" s="1"/>
  <c r="FI805" i="93"/>
  <c r="L853" i="93" s="1"/>
  <c r="FY805" i="93"/>
  <c r="M856" i="93" s="1"/>
  <c r="GO805" i="93"/>
  <c r="N855" i="93" s="1"/>
  <c r="HU805" i="93"/>
  <c r="K850" i="93" s="1"/>
  <c r="JL805" i="93"/>
  <c r="FK805" i="93"/>
  <c r="N853" i="93" s="1"/>
  <c r="MK810" i="94"/>
  <c r="MM810" i="94"/>
  <c r="GR810" i="94"/>
  <c r="MN810" i="94"/>
  <c r="JR48" i="75"/>
  <c r="J116" i="75" s="1"/>
  <c r="CN805" i="93"/>
  <c r="IK810" i="94"/>
  <c r="L887" i="94" s="1"/>
  <c r="CV48" i="75"/>
  <c r="L98" i="75" s="1"/>
  <c r="DD48" i="75"/>
  <c r="J96" i="75" s="1"/>
  <c r="DH48" i="75"/>
  <c r="N96" i="75" s="1"/>
  <c r="DX48" i="75"/>
  <c r="J92" i="75" s="1"/>
  <c r="JV48" i="75"/>
  <c r="N116" i="75" s="1"/>
  <c r="IO48" i="75"/>
  <c r="K130" i="75" s="1"/>
  <c r="AB782" i="94"/>
  <c r="AQ48" i="75"/>
  <c r="J60" i="75" s="1"/>
  <c r="K1152" i="93"/>
  <c r="M1152" i="93" s="1"/>
  <c r="IM805" i="93"/>
  <c r="CO805" i="93"/>
  <c r="J873" i="93" s="1"/>
  <c r="KP48" i="75"/>
  <c r="N120" i="75" s="1"/>
  <c r="N139" i="75" s="1"/>
  <c r="KO48" i="75"/>
  <c r="M120" i="75" s="1"/>
  <c r="M139" i="75" s="1"/>
  <c r="F1216" i="94" s="1"/>
  <c r="KN48" i="75"/>
  <c r="L120" i="75" s="1"/>
  <c r="L139" i="75" s="1"/>
  <c r="F1215" i="94" s="1"/>
  <c r="KM48" i="75"/>
  <c r="K120" i="75" s="1"/>
  <c r="K139" i="75" s="1"/>
  <c r="KL48" i="75"/>
  <c r="J120" i="75" s="1"/>
  <c r="J139" i="75" s="1"/>
  <c r="JL48" i="75"/>
  <c r="N126" i="75" s="1"/>
  <c r="IP48" i="75"/>
  <c r="L130" i="75" s="1"/>
  <c r="IZ48" i="75"/>
  <c r="L128" i="75" s="1"/>
  <c r="IF48" i="75"/>
  <c r="L124" i="75" s="1"/>
  <c r="AG781" i="94"/>
  <c r="AB781" i="94"/>
  <c r="K1150" i="93"/>
  <c r="N1150" i="93" s="1"/>
  <c r="N1214" i="94"/>
  <c r="AQ810" i="94"/>
  <c r="J822" i="94" s="1"/>
  <c r="AL810" i="94"/>
  <c r="J821" i="94" s="1"/>
  <c r="BA48" i="75"/>
  <c r="J62" i="75" s="1"/>
  <c r="AV48" i="75"/>
  <c r="J61" i="75" s="1"/>
  <c r="BK805" i="93"/>
  <c r="J826" i="93" s="1"/>
  <c r="IW805" i="93"/>
  <c r="EK805" i="93"/>
  <c r="M835" i="93" s="1"/>
  <c r="DZ805" i="93"/>
  <c r="L833" i="93" s="1"/>
  <c r="CB805" i="93"/>
  <c r="L870" i="93" s="1"/>
  <c r="CJ805" i="93"/>
  <c r="BA805" i="93"/>
  <c r="J821" i="93" s="1"/>
  <c r="EO805" i="93"/>
  <c r="L836" i="93" s="1"/>
  <c r="IP805" i="93"/>
  <c r="AB805" i="93"/>
  <c r="J814" i="93" s="1"/>
  <c r="HG805" i="93"/>
  <c r="L847" i="93" s="1"/>
  <c r="HR805" i="93"/>
  <c r="M849" i="93" s="1"/>
  <c r="M866" i="93" s="1"/>
  <c r="FP805" i="93"/>
  <c r="N858" i="93" s="1"/>
  <c r="HL805" i="93"/>
  <c r="L848" i="93" s="1"/>
  <c r="L865" i="93" s="1"/>
  <c r="K904" i="94"/>
  <c r="GG810" i="94"/>
  <c r="K863" i="94" s="1"/>
  <c r="GI810" i="94"/>
  <c r="M863" i="94" s="1"/>
  <c r="HQ810" i="94"/>
  <c r="L870" i="94" s="1"/>
  <c r="O870" i="94" s="1"/>
  <c r="LX810" i="94"/>
  <c r="LS810" i="94"/>
  <c r="HC810" i="94"/>
  <c r="M867" i="94" s="1"/>
  <c r="M868" i="94" s="1"/>
  <c r="LT810" i="94"/>
  <c r="GV810" i="94"/>
  <c r="K866" i="94" s="1"/>
  <c r="HW810" i="94"/>
  <c r="M871" i="94" s="1"/>
  <c r="HL810" i="94"/>
  <c r="L869" i="94" s="1"/>
  <c r="LR810" i="94"/>
  <c r="LV810" i="94"/>
  <c r="GK810" i="94"/>
  <c r="J864" i="94" s="1"/>
  <c r="MB810" i="94"/>
  <c r="GU810" i="94"/>
  <c r="J866" i="94" s="1"/>
  <c r="J868" i="94" s="1"/>
  <c r="FC810" i="94"/>
  <c r="K911" i="94" s="1"/>
  <c r="EM810" i="94"/>
  <c r="J908" i="94" s="1"/>
  <c r="DO810" i="94"/>
  <c r="K856" i="94" s="1"/>
  <c r="CY810" i="94"/>
  <c r="J859" i="94" s="1"/>
  <c r="O859" i="94" s="1"/>
  <c r="BS810" i="94"/>
  <c r="M848" i="94" s="1"/>
  <c r="FR810" i="94"/>
  <c r="K915" i="94" s="1"/>
  <c r="FB810" i="94"/>
  <c r="J911" i="94" s="1"/>
  <c r="O911" i="94" s="1"/>
  <c r="DN810" i="94"/>
  <c r="J856" i="94" s="1"/>
  <c r="LL810" i="94"/>
  <c r="FQ810" i="94"/>
  <c r="J915" i="94" s="1"/>
  <c r="O915" i="94" s="1"/>
  <c r="EK810" i="94"/>
  <c r="M907" i="94" s="1"/>
  <c r="CG810" i="94"/>
  <c r="L845" i="94" s="1"/>
  <c r="FP810" i="94"/>
  <c r="N913" i="94" s="1"/>
  <c r="DT810" i="94"/>
  <c r="K855" i="94" s="1"/>
  <c r="CN810" i="94"/>
  <c r="N844" i="94" s="1"/>
  <c r="W810" i="94"/>
  <c r="J818" i="94" s="1"/>
  <c r="BX810" i="94"/>
  <c r="M847" i="94" s="1"/>
  <c r="FO810" i="94"/>
  <c r="M913" i="94" s="1"/>
  <c r="EI810" i="94"/>
  <c r="K907" i="94" s="1"/>
  <c r="K914" i="94" s="1"/>
  <c r="CM810" i="94"/>
  <c r="M844" i="94" s="1"/>
  <c r="LI810" i="94"/>
  <c r="FN810" i="94"/>
  <c r="L913" i="94" s="1"/>
  <c r="JD810" i="94"/>
  <c r="K891" i="94" s="1"/>
  <c r="JK810" i="94"/>
  <c r="M888" i="94" s="1"/>
  <c r="M899" i="94" s="1"/>
  <c r="JZ810" i="94"/>
  <c r="M879" i="94" s="1"/>
  <c r="IZ810" i="94"/>
  <c r="L890" i="94" s="1"/>
  <c r="L897" i="94" s="1"/>
  <c r="DQ810" i="94"/>
  <c r="M856" i="94" s="1"/>
  <c r="CJ810" i="94"/>
  <c r="J844" i="94" s="1"/>
  <c r="CL810" i="94"/>
  <c r="L844" i="94" s="1"/>
  <c r="EP810" i="94"/>
  <c r="M908" i="94" s="1"/>
  <c r="BU810" i="94"/>
  <c r="J847" i="94" s="1"/>
  <c r="DJ810" i="94"/>
  <c r="K857" i="94" s="1"/>
  <c r="BV810" i="94"/>
  <c r="K847" i="94" s="1"/>
  <c r="BY810" i="94"/>
  <c r="N847" i="94" s="1"/>
  <c r="DG810" i="94"/>
  <c r="M858" i="94" s="1"/>
  <c r="EH810" i="94"/>
  <c r="J907" i="94" s="1"/>
  <c r="FV810" i="94"/>
  <c r="FX810" i="94"/>
  <c r="GD810" i="94"/>
  <c r="M917" i="94" s="1"/>
  <c r="O917" i="94" s="1"/>
  <c r="HY810" i="94"/>
  <c r="IA810" i="94"/>
  <c r="IC810" i="94"/>
  <c r="JG810" i="94"/>
  <c r="N891" i="94" s="1"/>
  <c r="LG810" i="94"/>
  <c r="KZ48" i="75"/>
  <c r="N122" i="75" s="1"/>
  <c r="KF48" i="75"/>
  <c r="N118" i="75" s="1"/>
  <c r="KY48" i="75"/>
  <c r="M122" i="75" s="1"/>
  <c r="KE48" i="75"/>
  <c r="M118" i="75" s="1"/>
  <c r="KX48" i="75"/>
  <c r="L122" i="75" s="1"/>
  <c r="KD48" i="75"/>
  <c r="L118" i="75" s="1"/>
  <c r="KW48" i="75"/>
  <c r="K122" i="75" s="1"/>
  <c r="KC48" i="75"/>
  <c r="K118" i="75" s="1"/>
  <c r="KV48" i="75"/>
  <c r="J122" i="75" s="1"/>
  <c r="O122" i="75" s="1"/>
  <c r="JK48" i="75"/>
  <c r="M126" i="75" s="1"/>
  <c r="JU48" i="75"/>
  <c r="M116" i="75" s="1"/>
  <c r="JJ48" i="75"/>
  <c r="L126" i="75" s="1"/>
  <c r="JT48" i="75"/>
  <c r="L116" i="75" s="1"/>
  <c r="JI48" i="75"/>
  <c r="K126" i="75" s="1"/>
  <c r="JS48" i="75"/>
  <c r="K116" i="75" s="1"/>
  <c r="IR48" i="75"/>
  <c r="N130" i="75" s="1"/>
  <c r="JB48" i="75"/>
  <c r="N128" i="75" s="1"/>
  <c r="IH48" i="75"/>
  <c r="N124" i="75" s="1"/>
  <c r="IQ48" i="75"/>
  <c r="M130" i="75" s="1"/>
  <c r="JA48" i="75"/>
  <c r="M128" i="75" s="1"/>
  <c r="IY48" i="75"/>
  <c r="K128" i="75" s="1"/>
  <c r="IE48" i="75"/>
  <c r="K124" i="75" s="1"/>
  <c r="IN48" i="75"/>
  <c r="J130" i="75" s="1"/>
  <c r="IX48" i="75"/>
  <c r="J128" i="75" s="1"/>
  <c r="ID48" i="75"/>
  <c r="J124" i="75" s="1"/>
  <c r="EG810" i="94"/>
  <c r="N828" i="94" s="1"/>
  <c r="EF810" i="94"/>
  <c r="M828" i="94" s="1"/>
  <c r="BD810" i="94"/>
  <c r="M824" i="94" s="1"/>
  <c r="AT810" i="94"/>
  <c r="M822" i="94" s="1"/>
  <c r="AJ810" i="94"/>
  <c r="M820" i="94" s="1"/>
  <c r="Z810" i="94"/>
  <c r="M818" i="94" s="1"/>
  <c r="EE810" i="94"/>
  <c r="L828" i="94" s="1"/>
  <c r="Y810" i="94"/>
  <c r="L818" i="94" s="1"/>
  <c r="ED810" i="94"/>
  <c r="K828" i="94" s="1"/>
  <c r="EC810" i="94"/>
  <c r="J828" i="94" s="1"/>
  <c r="AV810" i="94"/>
  <c r="J823" i="94" s="1"/>
  <c r="EG48" i="75"/>
  <c r="N66" i="75" s="1"/>
  <c r="BE48" i="75"/>
  <c r="N62" i="75" s="1"/>
  <c r="AU48" i="75"/>
  <c r="N60" i="75" s="1"/>
  <c r="AK48" i="75"/>
  <c r="N58" i="75" s="1"/>
  <c r="AA48" i="75"/>
  <c r="N56" i="75" s="1"/>
  <c r="EF48" i="75"/>
  <c r="M66" i="75" s="1"/>
  <c r="EE48" i="75"/>
  <c r="L66" i="75" s="1"/>
  <c r="BC48" i="75"/>
  <c r="L62" i="75" s="1"/>
  <c r="AS48" i="75"/>
  <c r="L60" i="75" s="1"/>
  <c r="AI48" i="75"/>
  <c r="L58" i="75" s="1"/>
  <c r="Y48" i="75"/>
  <c r="L56" i="75" s="1"/>
  <c r="ED48" i="75"/>
  <c r="K66" i="75" s="1"/>
  <c r="EC48" i="75"/>
  <c r="J66" i="75" s="1"/>
  <c r="AL48" i="75"/>
  <c r="J59" i="75" s="1"/>
  <c r="AB48" i="75"/>
  <c r="J57" i="75" s="1"/>
  <c r="K901" i="94"/>
  <c r="O901" i="94" s="1"/>
  <c r="O881" i="94"/>
  <c r="P235" i="75"/>
  <c r="CW48" i="75"/>
  <c r="M98" i="75" s="1"/>
  <c r="DE48" i="75"/>
  <c r="K96" i="75" s="1"/>
  <c r="DG48" i="75"/>
  <c r="M96" i="75" s="1"/>
  <c r="GQ810" i="94"/>
  <c r="LU810" i="94"/>
  <c r="P237" i="75"/>
  <c r="K142" i="75"/>
  <c r="K1151" i="93"/>
  <c r="O119" i="75"/>
  <c r="J138" i="75"/>
  <c r="O125" i="75"/>
  <c r="K59" i="73"/>
  <c r="N56" i="73"/>
  <c r="M56" i="73"/>
  <c r="M136" i="75"/>
  <c r="N142" i="75"/>
  <c r="O131" i="75"/>
  <c r="K138" i="75"/>
  <c r="K136" i="75"/>
  <c r="P236" i="75"/>
  <c r="A48" i="75"/>
  <c r="A5" i="75" s="1"/>
  <c r="FQ48" i="75"/>
  <c r="J153" i="75" s="1"/>
  <c r="FS48" i="75"/>
  <c r="L153" i="75" s="1"/>
  <c r="GN48" i="75"/>
  <c r="M102" i="75" s="1"/>
  <c r="M103" i="75" s="1"/>
  <c r="HG48" i="75"/>
  <c r="L106" i="75" s="1"/>
  <c r="L864" i="93"/>
  <c r="Y805" i="93"/>
  <c r="L813" i="93" s="1"/>
  <c r="CT48" i="75"/>
  <c r="J98" i="75" s="1"/>
  <c r="DF48" i="75"/>
  <c r="L96" i="75" s="1"/>
  <c r="AN805" i="93"/>
  <c r="L816" i="93" s="1"/>
  <c r="BB805" i="93"/>
  <c r="K821" i="93" s="1"/>
  <c r="K823" i="93" s="1"/>
  <c r="CL805" i="93"/>
  <c r="DV805" i="93"/>
  <c r="M832" i="93" s="1"/>
  <c r="EL805" i="93"/>
  <c r="N835" i="93" s="1"/>
  <c r="CF805" i="93"/>
  <c r="K871" i="93" s="1"/>
  <c r="K872" i="93" s="1"/>
  <c r="K874" i="93" s="1"/>
  <c r="EB805" i="93"/>
  <c r="N833" i="93" s="1"/>
  <c r="IN805" i="93"/>
  <c r="JA805" i="93"/>
  <c r="EZ774" i="93"/>
  <c r="EZ805" i="93" s="1"/>
  <c r="GL774" i="93"/>
  <c r="GL805" i="93" s="1"/>
  <c r="K855" i="93" s="1"/>
  <c r="CM774" i="93"/>
  <c r="IB774" i="93"/>
  <c r="IB805" i="93" s="1"/>
  <c r="M851" i="93" s="1"/>
  <c r="M868" i="93" s="1"/>
  <c r="GV774" i="93"/>
  <c r="GV805" i="93" s="1"/>
  <c r="K845" i="93" s="1"/>
  <c r="FF774" i="93"/>
  <c r="FF805" i="93" s="1"/>
  <c r="N852" i="93" s="1"/>
  <c r="CY774" i="93"/>
  <c r="CY805" i="93" s="1"/>
  <c r="J875" i="93" s="1"/>
  <c r="JN774" i="93"/>
  <c r="JN805" i="93" s="1"/>
  <c r="AQ774" i="93"/>
  <c r="HW774" i="93"/>
  <c r="HW805" i="93" s="1"/>
  <c r="M850" i="93" s="1"/>
  <c r="ES774" i="93"/>
  <c r="ES805" i="93" s="1"/>
  <c r="GF774" i="93"/>
  <c r="GF805" i="93" s="1"/>
  <c r="J854" i="93" s="1"/>
  <c r="J863" i="93" s="1"/>
  <c r="DL774" i="93"/>
  <c r="DS774" i="93"/>
  <c r="BY774" i="93"/>
  <c r="BY805" i="93" s="1"/>
  <c r="N818" i="93" s="1"/>
  <c r="IT774" i="93"/>
  <c r="IT805" i="93" s="1"/>
  <c r="AJ774" i="93"/>
  <c r="DD774" i="93"/>
  <c r="DD805" i="93" s="1"/>
  <c r="J829" i="93" s="1"/>
  <c r="CT774" i="93"/>
  <c r="CT805" i="93" s="1"/>
  <c r="BE774" i="93"/>
  <c r="BE805" i="93" s="1"/>
  <c r="N821" i="93" s="1"/>
  <c r="JP774" i="93"/>
  <c r="JP805" i="93" s="1"/>
  <c r="JH774" i="93"/>
  <c r="JH805" i="93" s="1"/>
  <c r="IX774" i="93"/>
  <c r="IX805" i="93" s="1"/>
  <c r="II774" i="93"/>
  <c r="HY774" i="93"/>
  <c r="HY805" i="93" s="1"/>
  <c r="J851" i="93" s="1"/>
  <c r="HQ774" i="93"/>
  <c r="HQ805" i="93" s="1"/>
  <c r="L849" i="93" s="1"/>
  <c r="L866" i="93" s="1"/>
  <c r="HI774" i="93"/>
  <c r="HI805" i="93" s="1"/>
  <c r="N847" i="93" s="1"/>
  <c r="HA774" i="93"/>
  <c r="HA805" i="93" s="1"/>
  <c r="K846" i="93" s="1"/>
  <c r="GS774" i="93"/>
  <c r="GS805" i="93" s="1"/>
  <c r="M844" i="93" s="1"/>
  <c r="GK774" i="93"/>
  <c r="GK805" i="93" s="1"/>
  <c r="J855" i="93" s="1"/>
  <c r="GC774" i="93"/>
  <c r="GC805" i="93" s="1"/>
  <c r="L857" i="93" s="1"/>
  <c r="FU774" i="93"/>
  <c r="FU805" i="93" s="1"/>
  <c r="N859" i="93" s="1"/>
  <c r="FM774" i="93"/>
  <c r="FM805" i="93" s="1"/>
  <c r="K858" i="93" s="1"/>
  <c r="FE774" i="93"/>
  <c r="FE805" i="93" s="1"/>
  <c r="M852" i="93" s="1"/>
  <c r="EW774" i="93"/>
  <c r="EW805" i="93" s="1"/>
  <c r="EH774" i="93"/>
  <c r="EH805" i="93" s="1"/>
  <c r="J835" i="93" s="1"/>
  <c r="DU774" i="93"/>
  <c r="DU805" i="93" s="1"/>
  <c r="L832" i="93" s="1"/>
  <c r="DK774" i="93"/>
  <c r="DK805" i="93" s="1"/>
  <c r="L830" i="93" s="1"/>
  <c r="DA774" i="93"/>
  <c r="DA805" i="93" s="1"/>
  <c r="L875" i="93" s="1"/>
  <c r="CS774" i="93"/>
  <c r="CS805" i="93" s="1"/>
  <c r="N873" i="93" s="1"/>
  <c r="CI774" i="93"/>
  <c r="CI805" i="93" s="1"/>
  <c r="N871" i="93" s="1"/>
  <c r="N872" i="93" s="1"/>
  <c r="BX774" i="93"/>
  <c r="BX805" i="93" s="1"/>
  <c r="M818" i="93" s="1"/>
  <c r="BO774" i="93"/>
  <c r="BD774" i="93"/>
  <c r="BD805" i="93" s="1"/>
  <c r="M821" i="93" s="1"/>
  <c r="AS774" i="93"/>
  <c r="AS805" i="93" s="1"/>
  <c r="AI774" i="93"/>
  <c r="X774" i="93"/>
  <c r="X805" i="93" s="1"/>
  <c r="K813" i="93" s="1"/>
  <c r="AE774" i="93"/>
  <c r="AE805" i="93" s="1"/>
  <c r="M814" i="93" s="1"/>
  <c r="M815" i="93" s="1"/>
  <c r="AZ774" i="93"/>
  <c r="AZ805" i="93" s="1"/>
  <c r="N822" i="93" s="1"/>
  <c r="BM774" i="93"/>
  <c r="CG774" i="93"/>
  <c r="CZ774" i="93"/>
  <c r="CZ805" i="93" s="1"/>
  <c r="K875" i="93" s="1"/>
  <c r="DT774" i="93"/>
  <c r="DT805" i="93" s="1"/>
  <c r="K832" i="93" s="1"/>
  <c r="ET774" i="93"/>
  <c r="ET805" i="93" s="1"/>
  <c r="FL774" i="93"/>
  <c r="FL805" i="93" s="1"/>
  <c r="J858" i="93" s="1"/>
  <c r="GH774" i="93"/>
  <c r="GH805" i="93" s="1"/>
  <c r="L854" i="93" s="1"/>
  <c r="GX774" i="93"/>
  <c r="GX805" i="93" s="1"/>
  <c r="M845" i="93" s="1"/>
  <c r="HN774" i="93"/>
  <c r="HN805" i="93" s="1"/>
  <c r="N848" i="93" s="1"/>
  <c r="N865" i="93" s="1"/>
  <c r="IU774" i="93"/>
  <c r="JJ774" i="93"/>
  <c r="JJ805" i="93" s="1"/>
  <c r="AM774" i="93"/>
  <c r="AM805" i="93" s="1"/>
  <c r="K816" i="93" s="1"/>
  <c r="BH774" i="93"/>
  <c r="BV774" i="93"/>
  <c r="BV805" i="93" s="1"/>
  <c r="K818" i="93" s="1"/>
  <c r="CQ774" i="93"/>
  <c r="CQ805" i="93" s="1"/>
  <c r="L873" i="93" s="1"/>
  <c r="DH774" i="93"/>
  <c r="DH805" i="93" s="1"/>
  <c r="N829" i="93" s="1"/>
  <c r="DW774" i="93"/>
  <c r="EX774" i="93"/>
  <c r="EX805" i="93" s="1"/>
  <c r="FH774" i="93"/>
  <c r="FH805" i="93" s="1"/>
  <c r="K853" i="93" s="1"/>
  <c r="FX774" i="93"/>
  <c r="FX805" i="93" s="1"/>
  <c r="L856" i="93" s="1"/>
  <c r="GI774" i="93"/>
  <c r="GI805" i="93" s="1"/>
  <c r="M854" i="93" s="1"/>
  <c r="GT774" i="93"/>
  <c r="GT805" i="93" s="1"/>
  <c r="N844" i="93" s="1"/>
  <c r="HD774" i="93"/>
  <c r="HD805" i="93" s="1"/>
  <c r="N846" i="93" s="1"/>
  <c r="N867" i="93" s="1"/>
  <c r="HT774" i="93"/>
  <c r="HT805" i="93" s="1"/>
  <c r="J850" i="93" s="1"/>
  <c r="IE774" i="93"/>
  <c r="IY774" i="93"/>
  <c r="JK774" i="93"/>
  <c r="JK805" i="93" s="1"/>
  <c r="AG774" i="93"/>
  <c r="AG805" i="93" s="1"/>
  <c r="J900" i="94"/>
  <c r="J904" i="94"/>
  <c r="M903" i="94"/>
  <c r="L900" i="94"/>
  <c r="O909" i="94"/>
  <c r="BM805" i="93"/>
  <c r="L826" i="93" s="1"/>
  <c r="DX805" i="93"/>
  <c r="J833" i="93" s="1"/>
  <c r="IO805" i="93"/>
  <c r="EC805" i="93"/>
  <c r="BC805" i="93"/>
  <c r="L821" i="93" s="1"/>
  <c r="DS48" i="75"/>
  <c r="J93" i="75" s="1"/>
  <c r="DW48" i="75"/>
  <c r="N93" i="75" s="1"/>
  <c r="DY48" i="75"/>
  <c r="K92" i="75" s="1"/>
  <c r="EA48" i="75"/>
  <c r="M92" i="75" s="1"/>
  <c r="DZ48" i="75"/>
  <c r="L92" i="75" s="1"/>
  <c r="HF810" i="94"/>
  <c r="GO810" i="94"/>
  <c r="N864" i="94" s="1"/>
  <c r="O864" i="94" s="1"/>
  <c r="HT810" i="94"/>
  <c r="LY810" i="94"/>
  <c r="MD810" i="94"/>
  <c r="L865" i="94"/>
  <c r="GL48" i="75"/>
  <c r="K102" i="75" s="1"/>
  <c r="K103" i="75" s="1"/>
  <c r="GP48" i="75"/>
  <c r="J103" i="75" s="1"/>
  <c r="GR48" i="75"/>
  <c r="L103" i="75" s="1"/>
  <c r="HA48" i="75"/>
  <c r="K105" i="75" s="1"/>
  <c r="O105" i="75" s="1"/>
  <c r="HI48" i="75"/>
  <c r="HP48" i="75"/>
  <c r="K108" i="75" s="1"/>
  <c r="O108" i="75" s="1"/>
  <c r="HT48" i="75"/>
  <c r="J109" i="75" s="1"/>
  <c r="HV48" i="75"/>
  <c r="II782" i="93"/>
  <c r="DS782" i="93"/>
  <c r="AV782" i="93"/>
  <c r="AV805" i="93" s="1"/>
  <c r="J822" i="93" s="1"/>
  <c r="IU782" i="93"/>
  <c r="IU805" i="93" s="1"/>
  <c r="CR782" i="93"/>
  <c r="CR805" i="93" s="1"/>
  <c r="M873" i="93" s="1"/>
  <c r="EJ782" i="93"/>
  <c r="EJ805" i="93" s="1"/>
  <c r="L835" i="93" s="1"/>
  <c r="DG782" i="93"/>
  <c r="DG805" i="93" s="1"/>
  <c r="M829" i="93" s="1"/>
  <c r="CK782" i="93"/>
  <c r="CK805" i="93" s="1"/>
  <c r="BL782" i="93"/>
  <c r="BL805" i="93" s="1"/>
  <c r="K826" i="93" s="1"/>
  <c r="AJ782" i="93"/>
  <c r="AJ805" i="93" s="1"/>
  <c r="DM782" i="93"/>
  <c r="CE782" i="93"/>
  <c r="CE805" i="93" s="1"/>
  <c r="J871" i="93" s="1"/>
  <c r="J872" i="93" s="1"/>
  <c r="AQ782" i="93"/>
  <c r="AQ805" i="93" s="1"/>
  <c r="W782" i="93"/>
  <c r="AK782" i="93"/>
  <c r="AK805" i="93" s="1"/>
  <c r="BG782" i="93"/>
  <c r="BG805" i="93" s="1"/>
  <c r="CM782" i="93"/>
  <c r="CM805" i="93" s="1"/>
  <c r="DO782" i="93"/>
  <c r="DO805" i="93" s="1"/>
  <c r="EM782" i="93"/>
  <c r="EM805" i="93" s="1"/>
  <c r="J836" i="93" s="1"/>
  <c r="IE782" i="93"/>
  <c r="IV782" i="93"/>
  <c r="IV805" i="93" s="1"/>
  <c r="AF782" i="93"/>
  <c r="AF805" i="93" s="1"/>
  <c r="N814" i="93" s="1"/>
  <c r="AU782" i="93"/>
  <c r="AU805" i="93" s="1"/>
  <c r="BH782" i="93"/>
  <c r="CG782" i="93"/>
  <c r="DQ782" i="93"/>
  <c r="DQ805" i="93" s="1"/>
  <c r="EE782" i="93"/>
  <c r="IF782" i="93"/>
  <c r="IF805" i="93" s="1"/>
  <c r="IZ782" i="93"/>
  <c r="IZ805" i="93" s="1"/>
  <c r="AR782" i="93"/>
  <c r="AR805" i="93" s="1"/>
  <c r="EI782" i="93"/>
  <c r="IJ782" i="93"/>
  <c r="IJ805" i="93" s="1"/>
  <c r="IY782" i="93"/>
  <c r="BQ782" i="93"/>
  <c r="BQ805" i="93" s="1"/>
  <c r="K825" i="93" s="1"/>
  <c r="IS782" i="93"/>
  <c r="IS805" i="93" s="1"/>
  <c r="AA782" i="93"/>
  <c r="AA805" i="93" s="1"/>
  <c r="N813" i="93" s="1"/>
  <c r="DY782" i="93"/>
  <c r="DY805" i="93" s="1"/>
  <c r="K833" i="93" s="1"/>
  <c r="DL782" i="93"/>
  <c r="DL805" i="93" s="1"/>
  <c r="M830" i="93" s="1"/>
  <c r="BF810" i="94"/>
  <c r="J826" i="94" s="1"/>
  <c r="AG48" i="75"/>
  <c r="J58" i="75" s="1"/>
  <c r="HU810" i="94"/>
  <c r="MA810" i="94"/>
  <c r="HD810" i="94"/>
  <c r="N867" i="94" s="1"/>
  <c r="HK810" i="94"/>
  <c r="K869" i="94" s="1"/>
  <c r="HJ810" i="94"/>
  <c r="J869" i="94" s="1"/>
  <c r="GT810" i="94"/>
  <c r="GJ810" i="94"/>
  <c r="N863" i="94" s="1"/>
  <c r="HA810" i="94"/>
  <c r="K867" i="94" s="1"/>
  <c r="HI810" i="94"/>
  <c r="AO810" i="94"/>
  <c r="M821" i="94" s="1"/>
  <c r="BH810" i="94"/>
  <c r="L826" i="94" s="1"/>
  <c r="AB810" i="94"/>
  <c r="J819" i="94" s="1"/>
  <c r="AZ48" i="75"/>
  <c r="N61" i="75" s="1"/>
  <c r="AF48" i="75"/>
  <c r="N57" i="75" s="1"/>
  <c r="AX48" i="75"/>
  <c r="L61" i="75" s="1"/>
  <c r="AD48" i="75"/>
  <c r="L57" i="75" s="1"/>
  <c r="N103" i="75"/>
  <c r="IQ805" i="93"/>
  <c r="IG805" i="93"/>
  <c r="EP805" i="93"/>
  <c r="M836" i="93" s="1"/>
  <c r="M837" i="93" s="1"/>
  <c r="EE805" i="93"/>
  <c r="DJ805" i="93"/>
  <c r="K830" i="93" s="1"/>
  <c r="BR805" i="93"/>
  <c r="L825" i="93" s="1"/>
  <c r="L827" i="93" s="1"/>
  <c r="AL805" i="93"/>
  <c r="J816" i="93" s="1"/>
  <c r="EI805" i="93"/>
  <c r="K835" i="93" s="1"/>
  <c r="DN805" i="93"/>
  <c r="BF805" i="93"/>
  <c r="II779" i="93"/>
  <c r="AI779" i="93"/>
  <c r="AY779" i="93"/>
  <c r="AY805" i="93" s="1"/>
  <c r="M822" i="93" s="1"/>
  <c r="BS779" i="93"/>
  <c r="BS805" i="93" s="1"/>
  <c r="M825" i="93" s="1"/>
  <c r="BI779" i="93"/>
  <c r="BI805" i="93" s="1"/>
  <c r="BJ779" i="93"/>
  <c r="BJ805" i="93" s="1"/>
  <c r="DF779" i="93"/>
  <c r="DF805" i="93" s="1"/>
  <c r="L829" i="93" s="1"/>
  <c r="DW779" i="93"/>
  <c r="IY779" i="93"/>
  <c r="DT48" i="75"/>
  <c r="K93" i="75" s="1"/>
  <c r="DV48" i="75"/>
  <c r="M93" i="75" s="1"/>
  <c r="O848" i="94"/>
  <c r="AY810" i="94"/>
  <c r="M823" i="94" s="1"/>
  <c r="AE810" i="94"/>
  <c r="M819" i="94" s="1"/>
  <c r="BG810" i="94"/>
  <c r="K826" i="94" s="1"/>
  <c r="AP48" i="75"/>
  <c r="N59" i="75" s="1"/>
  <c r="BI48" i="75"/>
  <c r="M64" i="75" s="1"/>
  <c r="AN48" i="75"/>
  <c r="L59" i="75" s="1"/>
  <c r="BG48" i="75"/>
  <c r="K64" i="75" s="1"/>
  <c r="W48" i="75"/>
  <c r="J56" i="75" s="1"/>
  <c r="M106" i="75"/>
  <c r="CR48" i="75"/>
  <c r="M81" i="75" s="1"/>
  <c r="CQ48" i="75"/>
  <c r="L81" i="75" s="1"/>
  <c r="CM48" i="75"/>
  <c r="M82" i="75" s="1"/>
  <c r="CL48" i="75"/>
  <c r="L82" i="75" s="1"/>
  <c r="FP48" i="75"/>
  <c r="N151" i="75" s="1"/>
  <c r="FO48" i="75"/>
  <c r="M151" i="75" s="1"/>
  <c r="FN48" i="75"/>
  <c r="L151" i="75" s="1"/>
  <c r="FM48" i="75"/>
  <c r="K151" i="75" s="1"/>
  <c r="FL48" i="75"/>
  <c r="J151" i="75" s="1"/>
  <c r="BJ810" i="94"/>
  <c r="N826" i="94" s="1"/>
  <c r="BE810" i="94"/>
  <c r="N824" i="94" s="1"/>
  <c r="AP810" i="94"/>
  <c r="N821" i="94" s="1"/>
  <c r="AK810" i="94"/>
  <c r="N820" i="94" s="1"/>
  <c r="BF48" i="75"/>
  <c r="J64" i="75" s="1"/>
  <c r="M109" i="75"/>
  <c r="BN805" i="93"/>
  <c r="M826" i="93" s="1"/>
  <c r="BO805" i="93"/>
  <c r="N826" i="93" s="1"/>
  <c r="N827" i="93" s="1"/>
  <c r="AT805" i="93"/>
  <c r="EG805" i="93"/>
  <c r="IY805" i="93"/>
  <c r="W805" i="93"/>
  <c r="J813" i="93" s="1"/>
  <c r="J815" i="93" s="1"/>
  <c r="AC805" i="93"/>
  <c r="K814" i="93" s="1"/>
  <c r="CC805" i="93"/>
  <c r="M870" i="93" s="1"/>
  <c r="CH805" i="93"/>
  <c r="M871" i="93" s="1"/>
  <c r="DM805" i="93"/>
  <c r="N830" i="93" s="1"/>
  <c r="AI805" i="93"/>
  <c r="AX805" i="93"/>
  <c r="L822" i="93" s="1"/>
  <c r="AD805" i="93"/>
  <c r="L814" i="93" s="1"/>
  <c r="AO805" i="93"/>
  <c r="M816" i="93" s="1"/>
  <c r="N109" i="75"/>
  <c r="L914" i="94"/>
  <c r="L916" i="94" s="1"/>
  <c r="L918" i="94" s="1"/>
  <c r="N871" i="94"/>
  <c r="AZ810" i="94"/>
  <c r="N823" i="94" s="1"/>
  <c r="AU810" i="94"/>
  <c r="N822" i="94" s="1"/>
  <c r="AF810" i="94"/>
  <c r="N819" i="94" s="1"/>
  <c r="AA810" i="94"/>
  <c r="N818" i="94" s="1"/>
  <c r="BI810" i="94"/>
  <c r="M826" i="94" s="1"/>
  <c r="BC810" i="94"/>
  <c r="L824" i="94" s="1"/>
  <c r="AX810" i="94"/>
  <c r="L823" i="94" s="1"/>
  <c r="AS810" i="94"/>
  <c r="L822" i="94" s="1"/>
  <c r="AN810" i="94"/>
  <c r="L821" i="94" s="1"/>
  <c r="AI810" i="94"/>
  <c r="L820" i="94" s="1"/>
  <c r="AD810" i="94"/>
  <c r="L819" i="94" s="1"/>
  <c r="BB810" i="94"/>
  <c r="K824" i="94" s="1"/>
  <c r="AW810" i="94"/>
  <c r="K823" i="94" s="1"/>
  <c r="AR810" i="94"/>
  <c r="K822" i="94" s="1"/>
  <c r="AM810" i="94"/>
  <c r="K821" i="94" s="1"/>
  <c r="AH810" i="94"/>
  <c r="K820" i="94" s="1"/>
  <c r="AC810" i="94"/>
  <c r="K819" i="94" s="1"/>
  <c r="X810" i="94"/>
  <c r="K818" i="94" s="1"/>
  <c r="O818" i="94" s="1"/>
  <c r="BJ48" i="75"/>
  <c r="N64" i="75" s="1"/>
  <c r="BD48" i="75"/>
  <c r="M62" i="75" s="1"/>
  <c r="AY48" i="75"/>
  <c r="M61" i="75" s="1"/>
  <c r="AT48" i="75"/>
  <c r="M60" i="75" s="1"/>
  <c r="AO48" i="75"/>
  <c r="M59" i="75" s="1"/>
  <c r="AJ48" i="75"/>
  <c r="M58" i="75" s="1"/>
  <c r="AE48" i="75"/>
  <c r="M57" i="75" s="1"/>
  <c r="Z48" i="75"/>
  <c r="M56" i="75" s="1"/>
  <c r="BH48" i="75"/>
  <c r="L64" i="75" s="1"/>
  <c r="BB48" i="75"/>
  <c r="K62" i="75" s="1"/>
  <c r="AW48" i="75"/>
  <c r="K61" i="75" s="1"/>
  <c r="AR48" i="75"/>
  <c r="K60" i="75" s="1"/>
  <c r="AM48" i="75"/>
  <c r="K59" i="75" s="1"/>
  <c r="AH48" i="75"/>
  <c r="K58" i="75" s="1"/>
  <c r="AC48" i="75"/>
  <c r="K57" i="75" s="1"/>
  <c r="X48" i="75"/>
  <c r="K56" i="75" s="1"/>
  <c r="CS48" i="75"/>
  <c r="N81" i="75" s="1"/>
  <c r="CP48" i="75"/>
  <c r="K81" i="75" s="1"/>
  <c r="CO48" i="75"/>
  <c r="J81" i="75" s="1"/>
  <c r="CN48" i="75"/>
  <c r="N82" i="75" s="1"/>
  <c r="CK48" i="75"/>
  <c r="K82" i="75" s="1"/>
  <c r="CJ48" i="75"/>
  <c r="J82" i="75" s="1"/>
  <c r="CI48" i="75"/>
  <c r="N83" i="75" s="1"/>
  <c r="CH48" i="75"/>
  <c r="M83" i="75" s="1"/>
  <c r="CG48" i="75"/>
  <c r="L83" i="75" s="1"/>
  <c r="CF48" i="75"/>
  <c r="K83" i="75" s="1"/>
  <c r="CE48" i="75"/>
  <c r="J83" i="75" s="1"/>
  <c r="CD48" i="75"/>
  <c r="N84" i="75" s="1"/>
  <c r="CC48" i="75"/>
  <c r="M84" i="75" s="1"/>
  <c r="CB48" i="75"/>
  <c r="L84" i="75" s="1"/>
  <c r="CA48" i="75"/>
  <c r="K84" i="75" s="1"/>
  <c r="BZ48" i="75"/>
  <c r="J84" i="75" s="1"/>
  <c r="BY48" i="75"/>
  <c r="N85" i="75" s="1"/>
  <c r="BX48" i="75"/>
  <c r="M85" i="75" s="1"/>
  <c r="BW48" i="75"/>
  <c r="L85" i="75" s="1"/>
  <c r="BV48" i="75"/>
  <c r="K85" i="75" s="1"/>
  <c r="BU48" i="75"/>
  <c r="J85" i="75" s="1"/>
  <c r="BT48" i="75"/>
  <c r="N86" i="75" s="1"/>
  <c r="BS48" i="75"/>
  <c r="M86" i="75" s="1"/>
  <c r="BR48" i="75"/>
  <c r="L86" i="75" s="1"/>
  <c r="BQ48" i="75"/>
  <c r="K86" i="75" s="1"/>
  <c r="BP48" i="75"/>
  <c r="J86" i="75" s="1"/>
  <c r="BO48" i="75"/>
  <c r="N87" i="75" s="1"/>
  <c r="BN48" i="75"/>
  <c r="M87" i="75" s="1"/>
  <c r="BM48" i="75"/>
  <c r="L87" i="75" s="1"/>
  <c r="BL48" i="75"/>
  <c r="K87" i="75" s="1"/>
  <c r="BK48" i="75"/>
  <c r="J87" i="75" s="1"/>
  <c r="EL48" i="75"/>
  <c r="N145" i="75" s="1"/>
  <c r="EK48" i="75"/>
  <c r="M145" i="75" s="1"/>
  <c r="EJ48" i="75"/>
  <c r="L145" i="75" s="1"/>
  <c r="EI48" i="75"/>
  <c r="K145" i="75" s="1"/>
  <c r="EH48" i="75"/>
  <c r="J145" i="75" s="1"/>
  <c r="EQ48" i="75"/>
  <c r="N146" i="75" s="1"/>
  <c r="EP48" i="75"/>
  <c r="M146" i="75" s="1"/>
  <c r="EO48" i="75"/>
  <c r="L146" i="75" s="1"/>
  <c r="EN48" i="75"/>
  <c r="K146" i="75" s="1"/>
  <c r="EM48" i="75"/>
  <c r="J146" i="75" s="1"/>
  <c r="EV48" i="75"/>
  <c r="N147" i="75" s="1"/>
  <c r="EU48" i="75"/>
  <c r="M147" i="75" s="1"/>
  <c r="ET48" i="75"/>
  <c r="L147" i="75" s="1"/>
  <c r="ES48" i="75"/>
  <c r="K147" i="75" s="1"/>
  <c r="ER48" i="75"/>
  <c r="J147" i="75" s="1"/>
  <c r="FA48" i="75"/>
  <c r="N148" i="75" s="1"/>
  <c r="EZ48" i="75"/>
  <c r="M148" i="75" s="1"/>
  <c r="EY48" i="75"/>
  <c r="L148" i="75" s="1"/>
  <c r="EX48" i="75"/>
  <c r="K148" i="75" s="1"/>
  <c r="EW48" i="75"/>
  <c r="J148" i="75" s="1"/>
  <c r="FF48" i="75"/>
  <c r="N149" i="75" s="1"/>
  <c r="FE48" i="75"/>
  <c r="M149" i="75" s="1"/>
  <c r="FD48" i="75"/>
  <c r="L149" i="75" s="1"/>
  <c r="FC48" i="75"/>
  <c r="K149" i="75" s="1"/>
  <c r="FB48" i="75"/>
  <c r="J149" i="75" s="1"/>
  <c r="FK48" i="75"/>
  <c r="N150" i="75" s="1"/>
  <c r="FJ48" i="75"/>
  <c r="M150" i="75" s="1"/>
  <c r="FI48" i="75"/>
  <c r="L150" i="75" s="1"/>
  <c r="FH48" i="75"/>
  <c r="K150" i="75" s="1"/>
  <c r="FG48" i="75"/>
  <c r="J150" i="75" s="1"/>
  <c r="O101" i="75"/>
  <c r="O94" i="75"/>
  <c r="O97" i="75"/>
  <c r="O104" i="75"/>
  <c r="O860" i="94"/>
  <c r="M861" i="94"/>
  <c r="O843" i="94"/>
  <c r="O854" i="94"/>
  <c r="O908" i="94"/>
  <c r="O910" i="94"/>
  <c r="L732" i="94"/>
  <c r="I769" i="93"/>
  <c r="K769" i="93" s="1"/>
  <c r="L769" i="93" s="1"/>
  <c r="I779" i="93"/>
  <c r="K779" i="93" s="1"/>
  <c r="L779" i="93" s="1"/>
  <c r="I771" i="93"/>
  <c r="K771" i="93" s="1"/>
  <c r="L771" i="93" s="1"/>
  <c r="K24" i="75"/>
  <c r="L24" i="75" s="1"/>
  <c r="I781" i="93"/>
  <c r="K781" i="93" s="1"/>
  <c r="L781" i="93" s="1"/>
  <c r="K26" i="75"/>
  <c r="L26" i="75" s="1"/>
  <c r="K30" i="75"/>
  <c r="L30" i="75" s="1"/>
  <c r="K34" i="75"/>
  <c r="L34" i="75" s="1"/>
  <c r="K38" i="75"/>
  <c r="L38" i="75" s="1"/>
  <c r="K42" i="75"/>
  <c r="L42" i="75" s="1"/>
  <c r="K46" i="75"/>
  <c r="L46" i="75" s="1"/>
  <c r="K12" i="75"/>
  <c r="L12" i="75" s="1"/>
  <c r="K21" i="75"/>
  <c r="L21" i="75" s="1"/>
  <c r="K17" i="75"/>
  <c r="L17" i="75" s="1"/>
  <c r="K19" i="75"/>
  <c r="L19" i="75" s="1"/>
  <c r="K11" i="75"/>
  <c r="L11" i="75" s="1"/>
  <c r="K18" i="75"/>
  <c r="L18" i="75" s="1"/>
  <c r="K22" i="75"/>
  <c r="L22" i="75" s="1"/>
  <c r="K13" i="75"/>
  <c r="L13" i="75" s="1"/>
  <c r="K23" i="75"/>
  <c r="L23" i="75" s="1"/>
  <c r="K10" i="75"/>
  <c r="L10" i="75" s="1"/>
  <c r="K15" i="75"/>
  <c r="L15" i="75" s="1"/>
  <c r="K20" i="75"/>
  <c r="L20" i="75" s="1"/>
  <c r="K14" i="75"/>
  <c r="L14" i="75" s="1"/>
  <c r="B1036" i="94"/>
  <c r="K25" i="75"/>
  <c r="L25" i="75" s="1"/>
  <c r="K27" i="75"/>
  <c r="L27" i="75" s="1"/>
  <c r="K29" i="75"/>
  <c r="L29" i="75" s="1"/>
  <c r="K31" i="75"/>
  <c r="L31" i="75" s="1"/>
  <c r="K33" i="75"/>
  <c r="L33" i="75" s="1"/>
  <c r="K35" i="75"/>
  <c r="L35" i="75" s="1"/>
  <c r="K37" i="75"/>
  <c r="L37" i="75" s="1"/>
  <c r="K39" i="75"/>
  <c r="L39" i="75" s="1"/>
  <c r="K41" i="75"/>
  <c r="L41" i="75" s="1"/>
  <c r="K43" i="75"/>
  <c r="L43" i="75" s="1"/>
  <c r="K45" i="75"/>
  <c r="L45" i="75" s="1"/>
  <c r="I773" i="93"/>
  <c r="K773" i="93" s="1"/>
  <c r="L773" i="93" s="1"/>
  <c r="I783" i="93"/>
  <c r="K783" i="93" s="1"/>
  <c r="L783" i="93" s="1"/>
  <c r="I785" i="93"/>
  <c r="K785" i="93" s="1"/>
  <c r="L785" i="93" s="1"/>
  <c r="I787" i="93"/>
  <c r="K787" i="93" s="1"/>
  <c r="L787" i="93" s="1"/>
  <c r="I789" i="93"/>
  <c r="K789" i="93" s="1"/>
  <c r="L789" i="93" s="1"/>
  <c r="I791" i="93"/>
  <c r="K791" i="93" s="1"/>
  <c r="L791" i="93" s="1"/>
  <c r="I793" i="93"/>
  <c r="K793" i="93" s="1"/>
  <c r="L793" i="93" s="1"/>
  <c r="I795" i="93"/>
  <c r="K795" i="93" s="1"/>
  <c r="L795" i="93" s="1"/>
  <c r="I797" i="93"/>
  <c r="K797" i="93" s="1"/>
  <c r="L797" i="93" s="1"/>
  <c r="I799" i="93"/>
  <c r="K799" i="93" s="1"/>
  <c r="L799" i="93" s="1"/>
  <c r="I801" i="93"/>
  <c r="K801" i="93" s="1"/>
  <c r="L801" i="93" s="1"/>
  <c r="I803" i="93"/>
  <c r="K803" i="93" s="1"/>
  <c r="L803" i="93" s="1"/>
  <c r="P221" i="75"/>
  <c r="L810" i="94"/>
  <c r="L811" i="94" s="1"/>
  <c r="P932" i="93"/>
  <c r="G571" i="94"/>
  <c r="G550" i="94"/>
  <c r="A565" i="93"/>
  <c r="A570" i="94"/>
  <c r="K1027" i="93"/>
  <c r="I1027" i="93"/>
  <c r="D63" i="74"/>
  <c r="F63" i="74"/>
  <c r="E63" i="74"/>
  <c r="I34" i="86" s="1"/>
  <c r="B63" i="74"/>
  <c r="D405" i="93"/>
  <c r="P420" i="94"/>
  <c r="B1078" i="94"/>
  <c r="D1078" i="94"/>
  <c r="E16" i="86"/>
  <c r="J132" i="78"/>
  <c r="J149" i="78" s="1"/>
  <c r="E3" i="86" s="1"/>
  <c r="J522" i="94"/>
  <c r="U498" i="93"/>
  <c r="J509" i="94"/>
  <c r="J577" i="94" s="1"/>
  <c r="J594" i="94" s="1"/>
  <c r="J596" i="94" s="1"/>
  <c r="J598" i="94" s="1"/>
  <c r="G509" i="94"/>
  <c r="L32" i="68"/>
  <c r="L394" i="93" s="1"/>
  <c r="L395" i="93" s="1"/>
  <c r="C1015" i="93"/>
  <c r="F47" i="78"/>
  <c r="J18" i="84"/>
  <c r="E35" i="78"/>
  <c r="F35" i="78"/>
  <c r="F34" i="78" s="1"/>
  <c r="E36" i="78"/>
  <c r="F470" i="94"/>
  <c r="J568" i="93"/>
  <c r="J585" i="93" s="1"/>
  <c r="J587" i="93" s="1"/>
  <c r="J589" i="93" s="1"/>
  <c r="B480" i="93"/>
  <c r="F483" i="93" s="1"/>
  <c r="E481" i="94"/>
  <c r="S577" i="94"/>
  <c r="E471" i="93"/>
  <c r="B489" i="94"/>
  <c r="E482" i="94"/>
  <c r="S568" i="93"/>
  <c r="S132" i="78"/>
  <c r="G522" i="94"/>
  <c r="G513" i="93"/>
  <c r="G568" i="93" s="1"/>
  <c r="G132" i="78"/>
  <c r="P45" i="73" s="1"/>
  <c r="P1139" i="93" s="1"/>
  <c r="C36" i="86"/>
  <c r="D16" i="86"/>
  <c r="G16" i="86"/>
  <c r="H36" i="86"/>
  <c r="F16" i="86"/>
  <c r="I36" i="86"/>
  <c r="D36" i="86"/>
  <c r="L409" i="94"/>
  <c r="L410" i="94" s="1"/>
  <c r="G462" i="94"/>
  <c r="G577" i="94" s="1"/>
  <c r="J1776" i="93"/>
  <c r="C1078" i="94"/>
  <c r="E1078" i="94"/>
  <c r="K1046" i="94"/>
  <c r="E34" i="86"/>
  <c r="E1015" i="93"/>
  <c r="D31" i="74"/>
  <c r="E31" i="74"/>
  <c r="F31" i="74"/>
  <c r="G31" i="74"/>
  <c r="H31" i="74"/>
  <c r="I31" i="74"/>
  <c r="J31" i="74"/>
  <c r="K65" i="82"/>
  <c r="J1050" i="93"/>
  <c r="J1047" i="93"/>
  <c r="D1018" i="93"/>
  <c r="G1018" i="93"/>
  <c r="G1021" i="93"/>
  <c r="C1075" i="93"/>
  <c r="C127" i="74"/>
  <c r="C1142" i="94" s="1"/>
  <c r="E66" i="74"/>
  <c r="E1081" i="94" s="1"/>
  <c r="D66" i="74"/>
  <c r="D1081" i="94" s="1"/>
  <c r="D1021" i="93"/>
  <c r="F1050" i="93"/>
  <c r="C1078" i="93"/>
  <c r="B120" i="74"/>
  <c r="E90" i="74"/>
  <c r="I58" i="74"/>
  <c r="E120" i="74"/>
  <c r="E127" i="74" s="1"/>
  <c r="E1142" i="94" s="1"/>
  <c r="D90" i="74"/>
  <c r="H58" i="74"/>
  <c r="E65" i="82"/>
  <c r="J58" i="74"/>
  <c r="C90" i="74"/>
  <c r="G90" i="74"/>
  <c r="B90" i="74"/>
  <c r="C58" i="74"/>
  <c r="F120" i="74"/>
  <c r="P416" i="94"/>
  <c r="D1073" i="94"/>
  <c r="H1073" i="94"/>
  <c r="D1105" i="94"/>
  <c r="H1105" i="94"/>
  <c r="B1135" i="94"/>
  <c r="E128" i="74"/>
  <c r="E1143" i="94" s="1"/>
  <c r="B128" i="74"/>
  <c r="B1143" i="94" s="1"/>
  <c r="E98" i="74"/>
  <c r="E1113" i="94" s="1"/>
  <c r="D1078" i="93"/>
  <c r="I1050" i="93"/>
  <c r="E1011" i="93"/>
  <c r="I1106" i="94"/>
  <c r="B1019" i="93"/>
  <c r="B1021" i="93"/>
  <c r="J1019" i="93"/>
  <c r="E1048" i="93"/>
  <c r="B65" i="82"/>
  <c r="K1050" i="93"/>
  <c r="K1021" i="93"/>
  <c r="D1074" i="94"/>
  <c r="E1106" i="94"/>
  <c r="C1136" i="94"/>
  <c r="C1073" i="94"/>
  <c r="E1073" i="94"/>
  <c r="G1073" i="94"/>
  <c r="I1073" i="94"/>
  <c r="K1073" i="94"/>
  <c r="C1105" i="94"/>
  <c r="E1105" i="94"/>
  <c r="G1105" i="94"/>
  <c r="I1105" i="94"/>
  <c r="K1105" i="94"/>
  <c r="C1135" i="94"/>
  <c r="E1135" i="94"/>
  <c r="B1074" i="94"/>
  <c r="F1074" i="94"/>
  <c r="J1074" i="94"/>
  <c r="C1106" i="94"/>
  <c r="G1106" i="94"/>
  <c r="K1106" i="94"/>
  <c r="E1136" i="94"/>
  <c r="K981" i="93"/>
  <c r="K989" i="93" s="1"/>
  <c r="K1042" i="94"/>
  <c r="C1074" i="94"/>
  <c r="E1074" i="94"/>
  <c r="G1074" i="94"/>
  <c r="I1074" i="94"/>
  <c r="K1074" i="94"/>
  <c r="B1106" i="94"/>
  <c r="D1106" i="94"/>
  <c r="F1106" i="94"/>
  <c r="H1106" i="94"/>
  <c r="J1106" i="94"/>
  <c r="B1136" i="94"/>
  <c r="D1136" i="94"/>
  <c r="F1136" i="94"/>
  <c r="B27" i="74"/>
  <c r="C27" i="74"/>
  <c r="D27" i="74"/>
  <c r="E27" i="74"/>
  <c r="F27" i="74"/>
  <c r="G27" i="74"/>
  <c r="H27" i="74"/>
  <c r="I27" i="74"/>
  <c r="J27" i="74"/>
  <c r="K37" i="84"/>
  <c r="K35" i="84"/>
  <c r="C40" i="84"/>
  <c r="K1041" i="94"/>
  <c r="K980" i="93"/>
  <c r="K988" i="93" s="1"/>
  <c r="C1010" i="93"/>
  <c r="B1040" i="93"/>
  <c r="F1068" i="93"/>
  <c r="D1040" i="93"/>
  <c r="B1068" i="93"/>
  <c r="E1068" i="93"/>
  <c r="I1010" i="93"/>
  <c r="F1135" i="94"/>
  <c r="B26" i="74"/>
  <c r="C26" i="74"/>
  <c r="D26" i="74"/>
  <c r="E26" i="74"/>
  <c r="F26" i="74"/>
  <c r="G26" i="74"/>
  <c r="H26" i="74"/>
  <c r="I26" i="74"/>
  <c r="J26" i="74"/>
  <c r="C1072" i="94"/>
  <c r="H1072" i="94"/>
  <c r="I1104" i="94"/>
  <c r="B1072" i="94"/>
  <c r="D1072" i="94"/>
  <c r="F1072" i="94"/>
  <c r="J1072" i="94"/>
  <c r="E1104" i="94"/>
  <c r="C1134" i="94"/>
  <c r="C1104" i="94"/>
  <c r="G1104" i="94"/>
  <c r="K1104" i="94"/>
  <c r="E1134" i="94"/>
  <c r="E17" i="87"/>
  <c r="K1040" i="94"/>
  <c r="K979" i="93"/>
  <c r="K45" i="82"/>
  <c r="G1072" i="94"/>
  <c r="I1072" i="94"/>
  <c r="K1072" i="94"/>
  <c r="B1104" i="94"/>
  <c r="D1104" i="94"/>
  <c r="F1104" i="94"/>
  <c r="H1104" i="94"/>
  <c r="J1104" i="94"/>
  <c r="B1134" i="94"/>
  <c r="D1134" i="94"/>
  <c r="F1134" i="94"/>
  <c r="B25" i="74"/>
  <c r="C25" i="74"/>
  <c r="D25" i="74"/>
  <c r="E25" i="74"/>
  <c r="F25" i="74"/>
  <c r="G25" i="74"/>
  <c r="H25" i="74"/>
  <c r="I25" i="74"/>
  <c r="J25" i="74"/>
  <c r="L370" i="94"/>
  <c r="G1224" i="94"/>
  <c r="G1217" i="94"/>
  <c r="G1213" i="94"/>
  <c r="G1210" i="94"/>
  <c r="G1209" i="94"/>
  <c r="G1208" i="94"/>
  <c r="G1207" i="94"/>
  <c r="G1206" i="94"/>
  <c r="G1153" i="93"/>
  <c r="G1143" i="93"/>
  <c r="G1139" i="93"/>
  <c r="G1138" i="93"/>
  <c r="G1135" i="93"/>
  <c r="G1156" i="93"/>
  <c r="G1149" i="93"/>
  <c r="G1150" i="93"/>
  <c r="G1144" i="93"/>
  <c r="G1159" i="93"/>
  <c r="G1160" i="93"/>
  <c r="O1719" i="94"/>
  <c r="G1215" i="94"/>
  <c r="G1158" i="93"/>
  <c r="G1152" i="93"/>
  <c r="G1136" i="93"/>
  <c r="G1137" i="93"/>
  <c r="G1157" i="93"/>
  <c r="O1621" i="93"/>
  <c r="G1142" i="93"/>
  <c r="G1145" i="93"/>
  <c r="G1146" i="93"/>
  <c r="G1151" i="93"/>
  <c r="P58" i="73"/>
  <c r="O1968" i="94"/>
  <c r="O1861" i="93"/>
  <c r="G1199" i="94"/>
  <c r="G1200" i="94"/>
  <c r="G1201" i="94"/>
  <c r="G1202" i="94"/>
  <c r="G1203" i="94"/>
  <c r="G1214" i="94"/>
  <c r="G1216" i="94"/>
  <c r="G1220" i="94"/>
  <c r="G1221" i="94"/>
  <c r="G1222" i="94"/>
  <c r="G1223" i="94"/>
  <c r="O316" i="72"/>
  <c r="O306" i="72" s="1"/>
  <c r="K133" i="75"/>
  <c r="P1719" i="94"/>
  <c r="P1734" i="94"/>
  <c r="R777" i="94"/>
  <c r="R772" i="93"/>
  <c r="R779" i="94"/>
  <c r="R774" i="93"/>
  <c r="R789" i="94"/>
  <c r="R784" i="93"/>
  <c r="R793" i="94"/>
  <c r="R788" i="93"/>
  <c r="R795" i="94"/>
  <c r="R790" i="93"/>
  <c r="R799" i="94"/>
  <c r="R794" i="93"/>
  <c r="R805" i="94"/>
  <c r="R800" i="93"/>
  <c r="R809" i="94"/>
  <c r="R804" i="93"/>
  <c r="R792" i="93"/>
  <c r="R782" i="93"/>
  <c r="R796" i="93"/>
  <c r="R768" i="93"/>
  <c r="R778" i="94"/>
  <c r="R773" i="93"/>
  <c r="R780" i="94"/>
  <c r="R775" i="93"/>
  <c r="R790" i="94"/>
  <c r="R785" i="93"/>
  <c r="R792" i="94"/>
  <c r="R787" i="93"/>
  <c r="R794" i="94"/>
  <c r="R789" i="93"/>
  <c r="R796" i="94"/>
  <c r="R791" i="93"/>
  <c r="R806" i="94"/>
  <c r="R801" i="93"/>
  <c r="R808" i="94"/>
  <c r="R803" i="93"/>
  <c r="A3" i="71"/>
  <c r="I40" i="66"/>
  <c r="T175" i="72"/>
  <c r="T173" i="72"/>
  <c r="A1" i="68"/>
  <c r="S1" i="68" s="1"/>
  <c r="A1" i="78"/>
  <c r="W1" i="78" s="1"/>
  <c r="A1" i="75"/>
  <c r="U1" i="75" s="1"/>
  <c r="A3" i="79"/>
  <c r="A1" i="74"/>
  <c r="N1" i="74" s="1"/>
  <c r="A1" i="72"/>
  <c r="N40" i="66"/>
  <c r="O40" i="66"/>
  <c r="P42" i="73"/>
  <c r="C43" i="90"/>
  <c r="A3" i="93"/>
  <c r="I712" i="93"/>
  <c r="F1910" i="93"/>
  <c r="A2011" i="93"/>
  <c r="A378" i="94"/>
  <c r="P1200" i="94"/>
  <c r="T1823" i="94"/>
  <c r="I62" i="84" l="1"/>
  <c r="K62" i="84"/>
  <c r="E62" i="84"/>
  <c r="J151" i="78"/>
  <c r="J153" i="78" s="1"/>
  <c r="D1045" i="94"/>
  <c r="D53" i="82"/>
  <c r="D984" i="93"/>
  <c r="G62" i="84"/>
  <c r="L868" i="93"/>
  <c r="GB805" i="93"/>
  <c r="K857" i="93" s="1"/>
  <c r="IC805" i="93"/>
  <c r="N851" i="93" s="1"/>
  <c r="K862" i="93"/>
  <c r="L863" i="93"/>
  <c r="M867" i="93"/>
  <c r="N897" i="94"/>
  <c r="HB805" i="93"/>
  <c r="L846" i="93" s="1"/>
  <c r="L867" i="93" s="1"/>
  <c r="JD805" i="93"/>
  <c r="GQ805" i="93"/>
  <c r="K844" i="93" s="1"/>
  <c r="K863" i="93" s="1"/>
  <c r="JQ805" i="93"/>
  <c r="FO805" i="93"/>
  <c r="M858" i="93" s="1"/>
  <c r="O880" i="94"/>
  <c r="N138" i="75"/>
  <c r="O999" i="94"/>
  <c r="M861" i="93"/>
  <c r="N862" i="93"/>
  <c r="K867" i="93"/>
  <c r="N861" i="93"/>
  <c r="DW805" i="93"/>
  <c r="N832" i="93" s="1"/>
  <c r="F58" i="73"/>
  <c r="O126" i="75"/>
  <c r="L136" i="75"/>
  <c r="O117" i="75"/>
  <c r="N136" i="75"/>
  <c r="K113" i="75"/>
  <c r="O235" i="75"/>
  <c r="M138" i="75"/>
  <c r="N904" i="94"/>
  <c r="P997" i="94"/>
  <c r="K897" i="94"/>
  <c r="K903" i="94"/>
  <c r="K900" i="94"/>
  <c r="M877" i="94"/>
  <c r="O891" i="94"/>
  <c r="J902" i="94"/>
  <c r="O902" i="94" s="1"/>
  <c r="O883" i="94"/>
  <c r="O123" i="75"/>
  <c r="O121" i="75"/>
  <c r="L113" i="75"/>
  <c r="K57" i="73"/>
  <c r="N1152" i="93"/>
  <c r="F1151" i="93"/>
  <c r="H1151" i="93" s="1"/>
  <c r="O886" i="94"/>
  <c r="O892" i="94"/>
  <c r="K1153" i="93"/>
  <c r="K58" i="73"/>
  <c r="N58" i="73" s="1"/>
  <c r="O998" i="94"/>
  <c r="M1217" i="94"/>
  <c r="N903" i="94"/>
  <c r="J877" i="94"/>
  <c r="N900" i="94"/>
  <c r="O997" i="94"/>
  <c r="O878" i="94"/>
  <c r="L138" i="75"/>
  <c r="O138" i="75" s="1"/>
  <c r="O237" i="75"/>
  <c r="M113" i="75"/>
  <c r="J136" i="75"/>
  <c r="N113" i="75"/>
  <c r="M904" i="94"/>
  <c r="N837" i="93"/>
  <c r="BU805" i="93"/>
  <c r="J818" i="93" s="1"/>
  <c r="K865" i="94"/>
  <c r="L109" i="75"/>
  <c r="N106" i="75"/>
  <c r="R783" i="94"/>
  <c r="R778" i="93"/>
  <c r="L99" i="75"/>
  <c r="N823" i="93"/>
  <c r="N850" i="94"/>
  <c r="J827" i="93"/>
  <c r="O857" i="94"/>
  <c r="N861" i="94"/>
  <c r="O845" i="94"/>
  <c r="O855" i="94"/>
  <c r="L861" i="94"/>
  <c r="O155" i="75"/>
  <c r="P94" i="94" s="1"/>
  <c r="CG805" i="93"/>
  <c r="L871" i="93" s="1"/>
  <c r="L872" i="93" s="1"/>
  <c r="L874" i="93" s="1"/>
  <c r="L876" i="93" s="1"/>
  <c r="O912" i="94"/>
  <c r="K1158" i="93"/>
  <c r="K64" i="73"/>
  <c r="M64" i="73" s="1"/>
  <c r="J861" i="94"/>
  <c r="O107" i="75"/>
  <c r="L815" i="93"/>
  <c r="J903" i="94"/>
  <c r="O903" i="94" s="1"/>
  <c r="O855" i="93"/>
  <c r="O129" i="75"/>
  <c r="O127" i="75"/>
  <c r="J113" i="75"/>
  <c r="F1152" i="93"/>
  <c r="H1152" i="93" s="1"/>
  <c r="K141" i="75"/>
  <c r="N875" i="94"/>
  <c r="O858" i="94"/>
  <c r="K850" i="94"/>
  <c r="J850" i="94"/>
  <c r="M850" i="94"/>
  <c r="O913" i="94"/>
  <c r="O866" i="94"/>
  <c r="M865" i="94"/>
  <c r="N864" i="93"/>
  <c r="M63" i="75"/>
  <c r="M75" i="75" s="1"/>
  <c r="M837" i="94" s="1"/>
  <c r="O835" i="93"/>
  <c r="J141" i="75"/>
  <c r="F62" i="73" s="1"/>
  <c r="N868" i="94"/>
  <c r="K868" i="94"/>
  <c r="K861" i="94"/>
  <c r="O870" i="93"/>
  <c r="O92" i="75"/>
  <c r="L875" i="94"/>
  <c r="J865" i="94"/>
  <c r="O907" i="94"/>
  <c r="N914" i="94"/>
  <c r="N916" i="94" s="1"/>
  <c r="N918" i="94" s="1"/>
  <c r="L817" i="93"/>
  <c r="L819" i="93" s="1"/>
  <c r="M99" i="75"/>
  <c r="J871" i="94"/>
  <c r="J837" i="93"/>
  <c r="J99" i="75"/>
  <c r="K877" i="94"/>
  <c r="M875" i="94"/>
  <c r="L861" i="93"/>
  <c r="M834" i="93"/>
  <c r="M1150" i="93"/>
  <c r="F57" i="73"/>
  <c r="H57" i="73" s="1"/>
  <c r="M900" i="94"/>
  <c r="O893" i="94"/>
  <c r="P941" i="93"/>
  <c r="M827" i="93"/>
  <c r="M825" i="94"/>
  <c r="K1222" i="94"/>
  <c r="N1222" i="94" s="1"/>
  <c r="O66" i="75"/>
  <c r="P155" i="75" s="1"/>
  <c r="K137" i="75"/>
  <c r="F1207" i="94" s="1"/>
  <c r="L115" i="75"/>
  <c r="M115" i="75"/>
  <c r="N115" i="75"/>
  <c r="O844" i="94"/>
  <c r="K916" i="94"/>
  <c r="K918" i="94" s="1"/>
  <c r="M914" i="94"/>
  <c r="M916" i="94" s="1"/>
  <c r="J914" i="94"/>
  <c r="O885" i="94"/>
  <c r="O847" i="94"/>
  <c r="M918" i="94"/>
  <c r="O856" i="94"/>
  <c r="O869" i="94"/>
  <c r="O81" i="75"/>
  <c r="I85" i="94" s="1"/>
  <c r="K827" i="93"/>
  <c r="O827" i="93" s="1"/>
  <c r="O98" i="75"/>
  <c r="K115" i="75"/>
  <c r="O890" i="94"/>
  <c r="N135" i="75"/>
  <c r="F1203" i="94" s="1"/>
  <c r="J137" i="75"/>
  <c r="F48" i="73" s="1"/>
  <c r="P998" i="94"/>
  <c r="M135" i="75"/>
  <c r="F1202" i="94" s="1"/>
  <c r="O889" i="94"/>
  <c r="L877" i="94"/>
  <c r="O887" i="94"/>
  <c r="L898" i="94"/>
  <c r="J875" i="94"/>
  <c r="N877" i="94"/>
  <c r="M827" i="94"/>
  <c r="M829" i="94" s="1"/>
  <c r="I1151" i="93"/>
  <c r="L850" i="94"/>
  <c r="K106" i="75"/>
  <c r="O106" i="75" s="1"/>
  <c r="O149" i="75"/>
  <c r="P89" i="94" s="1"/>
  <c r="O145" i="75"/>
  <c r="P85" i="94" s="1"/>
  <c r="O56" i="75"/>
  <c r="O58" i="75"/>
  <c r="H64" i="66" s="1"/>
  <c r="O60" i="75"/>
  <c r="H89" i="94" s="1"/>
  <c r="O62" i="75"/>
  <c r="H68" i="66" s="1"/>
  <c r="O822" i="94"/>
  <c r="O824" i="94"/>
  <c r="N99" i="75"/>
  <c r="N899" i="94"/>
  <c r="O899" i="94" s="1"/>
  <c r="N898" i="94"/>
  <c r="O898" i="94" s="1"/>
  <c r="O879" i="94"/>
  <c r="O884" i="94"/>
  <c r="O858" i="93"/>
  <c r="K861" i="93"/>
  <c r="O941" i="93"/>
  <c r="P76" i="93"/>
  <c r="J115" i="75"/>
  <c r="O882" i="94"/>
  <c r="O116" i="75"/>
  <c r="O888" i="94"/>
  <c r="O118" i="75"/>
  <c r="AG810" i="94"/>
  <c r="J820" i="94" s="1"/>
  <c r="J825" i="94" s="1"/>
  <c r="N137" i="75"/>
  <c r="O93" i="75"/>
  <c r="K109" i="75"/>
  <c r="O109" i="75" s="1"/>
  <c r="F56" i="89"/>
  <c r="D37" i="90" s="1"/>
  <c r="L871" i="94"/>
  <c r="L135" i="75"/>
  <c r="F1201" i="94" s="1"/>
  <c r="O120" i="75"/>
  <c r="O84" i="75"/>
  <c r="I88" i="94" s="1"/>
  <c r="H94" i="94"/>
  <c r="O828" i="94"/>
  <c r="P917" i="94" s="1"/>
  <c r="O124" i="75"/>
  <c r="O130" i="75"/>
  <c r="O128" i="75"/>
  <c r="L137" i="75"/>
  <c r="F1208" i="94" s="1"/>
  <c r="I1208" i="94" s="1"/>
  <c r="M137" i="75"/>
  <c r="F51" i="73" s="1"/>
  <c r="L141" i="75"/>
  <c r="F64" i="73" s="1"/>
  <c r="H64" i="73" s="1"/>
  <c r="M141" i="75"/>
  <c r="F1223" i="94" s="1"/>
  <c r="N141" i="75"/>
  <c r="F66" i="73" s="1"/>
  <c r="I66" i="73" s="1"/>
  <c r="O153" i="75"/>
  <c r="P74" i="93" s="1"/>
  <c r="P71" i="66"/>
  <c r="H78" i="93"/>
  <c r="K135" i="75"/>
  <c r="F42" i="73" s="1"/>
  <c r="L48" i="75"/>
  <c r="L49" i="75" s="1"/>
  <c r="B14" i="74" s="1"/>
  <c r="O830" i="93"/>
  <c r="O833" i="93"/>
  <c r="K876" i="93"/>
  <c r="K63" i="75"/>
  <c r="K825" i="94"/>
  <c r="K827" i="94" s="1"/>
  <c r="K829" i="94" s="1"/>
  <c r="O867" i="94"/>
  <c r="N865" i="94"/>
  <c r="O865" i="94" s="1"/>
  <c r="O836" i="93"/>
  <c r="O57" i="75"/>
  <c r="H63" i="66" s="1"/>
  <c r="O823" i="94"/>
  <c r="M872" i="93"/>
  <c r="M874" i="93" s="1"/>
  <c r="M876" i="93" s="1"/>
  <c r="O151" i="75"/>
  <c r="P91" i="94" s="1"/>
  <c r="J63" i="75"/>
  <c r="J65" i="75" s="1"/>
  <c r="L63" i="75"/>
  <c r="L77" i="75" s="1"/>
  <c r="L839" i="94" s="1"/>
  <c r="N63" i="75"/>
  <c r="N65" i="75" s="1"/>
  <c r="N67" i="75" s="1"/>
  <c r="K99" i="75"/>
  <c r="O863" i="94"/>
  <c r="K871" i="94"/>
  <c r="M831" i="93"/>
  <c r="J135" i="75"/>
  <c r="F41" i="73" s="1"/>
  <c r="J897" i="94"/>
  <c r="O897" i="94" s="1"/>
  <c r="O904" i="94"/>
  <c r="O865" i="93"/>
  <c r="K875" i="94"/>
  <c r="H71" i="66"/>
  <c r="K898" i="94"/>
  <c r="F55" i="73"/>
  <c r="F1149" i="93"/>
  <c r="H1149" i="93" s="1"/>
  <c r="F1213" i="94"/>
  <c r="F59" i="73"/>
  <c r="F1217" i="94"/>
  <c r="F1153" i="93"/>
  <c r="H1153" i="93" s="1"/>
  <c r="M1216" i="94"/>
  <c r="N1216" i="94"/>
  <c r="F1206" i="94"/>
  <c r="O826" i="93"/>
  <c r="O822" i="93"/>
  <c r="L837" i="93"/>
  <c r="M817" i="93"/>
  <c r="M819" i="93" s="1"/>
  <c r="L831" i="93"/>
  <c r="J831" i="93"/>
  <c r="O943" i="93"/>
  <c r="O816" i="93"/>
  <c r="I1216" i="94"/>
  <c r="H1216" i="94"/>
  <c r="O150" i="75"/>
  <c r="P90" i="94" s="1"/>
  <c r="O148" i="75"/>
  <c r="P65" i="66" s="1"/>
  <c r="O147" i="75"/>
  <c r="P87" i="94" s="1"/>
  <c r="O146" i="75"/>
  <c r="P63" i="66" s="1"/>
  <c r="O87" i="75"/>
  <c r="I68" i="66" s="1"/>
  <c r="O86" i="75"/>
  <c r="I90" i="94" s="1"/>
  <c r="O85" i="75"/>
  <c r="I66" i="66" s="1"/>
  <c r="O83" i="75"/>
  <c r="I64" i="66" s="1"/>
  <c r="O82" i="75"/>
  <c r="I63" i="66" s="1"/>
  <c r="L825" i="94"/>
  <c r="L827" i="94" s="1"/>
  <c r="L829" i="94" s="1"/>
  <c r="N825" i="94"/>
  <c r="N827" i="94" s="1"/>
  <c r="N829" i="94" s="1"/>
  <c r="N834" i="93"/>
  <c r="O96" i="75"/>
  <c r="I58" i="73"/>
  <c r="H58" i="73"/>
  <c r="O873" i="93"/>
  <c r="F56" i="73"/>
  <c r="F1150" i="93"/>
  <c r="F1214" i="94"/>
  <c r="O139" i="75"/>
  <c r="I1215" i="94"/>
  <c r="H1215" i="94"/>
  <c r="O825" i="93"/>
  <c r="J823" i="93"/>
  <c r="O102" i="75"/>
  <c r="O103" i="75"/>
  <c r="H66" i="93" s="1"/>
  <c r="O61" i="75"/>
  <c r="H67" i="66" s="1"/>
  <c r="O64" i="75"/>
  <c r="P153" i="75" s="1"/>
  <c r="O826" i="94"/>
  <c r="P915" i="94" s="1"/>
  <c r="L823" i="93"/>
  <c r="II805" i="93"/>
  <c r="BH805" i="93"/>
  <c r="IE805" i="93"/>
  <c r="K831" i="93"/>
  <c r="DS805" i="93"/>
  <c r="J832" i="93" s="1"/>
  <c r="J834" i="93" s="1"/>
  <c r="O850" i="93"/>
  <c r="O818" i="93"/>
  <c r="O813" i="93"/>
  <c r="L834" i="93"/>
  <c r="O851" i="93"/>
  <c r="K837" i="93"/>
  <c r="I57" i="73"/>
  <c r="F1220" i="94"/>
  <c r="I64" i="73"/>
  <c r="M823" i="93"/>
  <c r="O821" i="93"/>
  <c r="O829" i="93"/>
  <c r="N831" i="93"/>
  <c r="K834" i="93"/>
  <c r="N874" i="93"/>
  <c r="N876" i="93" s="1"/>
  <c r="K815" i="93"/>
  <c r="K817" i="93" s="1"/>
  <c r="K819" i="93" s="1"/>
  <c r="O814" i="93"/>
  <c r="F63" i="73"/>
  <c r="F1221" i="94"/>
  <c r="F1157" i="93"/>
  <c r="I1157" i="93" s="1"/>
  <c r="F1137" i="93"/>
  <c r="H1137" i="93" s="1"/>
  <c r="N843" i="93"/>
  <c r="N863" i="93"/>
  <c r="M864" i="93"/>
  <c r="M841" i="93"/>
  <c r="L862" i="93"/>
  <c r="O862" i="93" s="1"/>
  <c r="O857" i="93"/>
  <c r="M843" i="93"/>
  <c r="M863" i="93"/>
  <c r="O863" i="93" s="1"/>
  <c r="N868" i="93"/>
  <c r="N841" i="93"/>
  <c r="O875" i="93"/>
  <c r="K864" i="93"/>
  <c r="K841" i="93"/>
  <c r="J868" i="93"/>
  <c r="J864" i="93"/>
  <c r="O848" i="93"/>
  <c r="J861" i="93"/>
  <c r="K1207" i="94"/>
  <c r="K1143" i="93"/>
  <c r="K49" i="73"/>
  <c r="K1223" i="94"/>
  <c r="K1159" i="93"/>
  <c r="K65" i="73"/>
  <c r="O859" i="93"/>
  <c r="O866" i="93"/>
  <c r="O856" i="93"/>
  <c r="O853" i="93"/>
  <c r="K1199" i="94"/>
  <c r="K1135" i="93"/>
  <c r="K41" i="73"/>
  <c r="O136" i="75"/>
  <c r="K1206" i="94"/>
  <c r="K1142" i="93"/>
  <c r="K48" i="73"/>
  <c r="M1158" i="93"/>
  <c r="N1158" i="93"/>
  <c r="K1220" i="94"/>
  <c r="K62" i="73"/>
  <c r="O142" i="75"/>
  <c r="K1156" i="93"/>
  <c r="M57" i="73"/>
  <c r="N57" i="73"/>
  <c r="N1215" i="94"/>
  <c r="M1215" i="94"/>
  <c r="O59" i="75"/>
  <c r="H88" i="94" s="1"/>
  <c r="O819" i="94"/>
  <c r="O821" i="94"/>
  <c r="F1199" i="94"/>
  <c r="F44" i="73"/>
  <c r="F1138" i="93"/>
  <c r="H1138" i="93" s="1"/>
  <c r="F65" i="73"/>
  <c r="O900" i="94"/>
  <c r="O942" i="93"/>
  <c r="P942" i="93"/>
  <c r="O854" i="93"/>
  <c r="P943" i="93"/>
  <c r="J867" i="93"/>
  <c r="O847" i="93"/>
  <c r="O845" i="93"/>
  <c r="L843" i="93"/>
  <c r="O846" i="93"/>
  <c r="K1200" i="94"/>
  <c r="K1136" i="93"/>
  <c r="K42" i="73"/>
  <c r="K1203" i="94"/>
  <c r="K45" i="73"/>
  <c r="K1139" i="93"/>
  <c r="K1210" i="94"/>
  <c r="K52" i="73"/>
  <c r="K1146" i="93"/>
  <c r="K1213" i="94"/>
  <c r="K1149" i="93"/>
  <c r="K55" i="73"/>
  <c r="O140" i="75"/>
  <c r="K50" i="73"/>
  <c r="K1224" i="94"/>
  <c r="K66" i="73"/>
  <c r="K1160" i="93"/>
  <c r="K1202" i="94"/>
  <c r="K1138" i="93"/>
  <c r="K44" i="73"/>
  <c r="K1209" i="94"/>
  <c r="K51" i="73"/>
  <c r="K1145" i="93"/>
  <c r="N59" i="73"/>
  <c r="M59" i="73"/>
  <c r="L841" i="93"/>
  <c r="O852" i="93"/>
  <c r="O844" i="93"/>
  <c r="J843" i="93"/>
  <c r="O849" i="93"/>
  <c r="K843" i="93"/>
  <c r="J841" i="93"/>
  <c r="O113" i="75"/>
  <c r="N64" i="73"/>
  <c r="K1201" i="94"/>
  <c r="K1137" i="93"/>
  <c r="K43" i="73"/>
  <c r="M1151" i="93"/>
  <c r="N1151" i="93"/>
  <c r="K1221" i="94"/>
  <c r="K1157" i="93"/>
  <c r="K63" i="73"/>
  <c r="N815" i="93"/>
  <c r="N817" i="93" s="1"/>
  <c r="N819" i="93" s="1"/>
  <c r="K152" i="75"/>
  <c r="K154" i="75" s="1"/>
  <c r="K156" i="75" s="1"/>
  <c r="M152" i="75"/>
  <c r="M154" i="75" s="1"/>
  <c r="M156" i="75" s="1"/>
  <c r="L88" i="75"/>
  <c r="J88" i="75"/>
  <c r="N88" i="75"/>
  <c r="H85" i="94"/>
  <c r="H62" i="66"/>
  <c r="P147" i="75"/>
  <c r="P909" i="94" s="1"/>
  <c r="H66" i="66"/>
  <c r="H91" i="94"/>
  <c r="J152" i="75"/>
  <c r="L152" i="75"/>
  <c r="L154" i="75" s="1"/>
  <c r="L156" i="75" s="1"/>
  <c r="N152" i="75"/>
  <c r="N154" i="75" s="1"/>
  <c r="N156" i="75" s="1"/>
  <c r="M88" i="75"/>
  <c r="K88" i="75"/>
  <c r="P150" i="75"/>
  <c r="P912" i="94" s="1"/>
  <c r="H92" i="94"/>
  <c r="H69" i="66"/>
  <c r="J71" i="75"/>
  <c r="J833" i="94" s="1"/>
  <c r="L65" i="75"/>
  <c r="L67" i="75" s="1"/>
  <c r="L76" i="75"/>
  <c r="L838" i="94" s="1"/>
  <c r="L72" i="75"/>
  <c r="L834" i="94" s="1"/>
  <c r="L74" i="75"/>
  <c r="L836" i="94" s="1"/>
  <c r="D9" i="88"/>
  <c r="E9" i="88" s="1"/>
  <c r="N77" i="75"/>
  <c r="N839" i="94" s="1"/>
  <c r="P68" i="66"/>
  <c r="P66" i="66"/>
  <c r="P64" i="66"/>
  <c r="I65" i="66"/>
  <c r="I74" i="93"/>
  <c r="I62" i="66"/>
  <c r="J916" i="94"/>
  <c r="J817" i="93"/>
  <c r="K75" i="75"/>
  <c r="K837" i="94" s="1"/>
  <c r="K71" i="75"/>
  <c r="K833" i="94" s="1"/>
  <c r="K76" i="75"/>
  <c r="K838" i="94" s="1"/>
  <c r="K72" i="75"/>
  <c r="K834" i="94" s="1"/>
  <c r="L1954" i="93"/>
  <c r="M65" i="75"/>
  <c r="M67" i="75" s="1"/>
  <c r="M74" i="75"/>
  <c r="M836" i="94" s="1"/>
  <c r="M77" i="75"/>
  <c r="M839" i="94" s="1"/>
  <c r="M73" i="75"/>
  <c r="M835" i="94" s="1"/>
  <c r="D10" i="88"/>
  <c r="E10" i="88" s="1"/>
  <c r="P88" i="94"/>
  <c r="I89" i="94"/>
  <c r="J874" i="93"/>
  <c r="K1627" i="94"/>
  <c r="H54" i="66"/>
  <c r="K469" i="73"/>
  <c r="L805" i="93"/>
  <c r="L806" i="93" s="1"/>
  <c r="P226" i="75"/>
  <c r="F566" i="94" s="1"/>
  <c r="C68" i="84"/>
  <c r="P983" i="94"/>
  <c r="H173" i="75"/>
  <c r="B1015" i="93"/>
  <c r="F34" i="86"/>
  <c r="C54" i="86"/>
  <c r="F1015" i="93"/>
  <c r="H34" i="86"/>
  <c r="D1015" i="93"/>
  <c r="J2055" i="94"/>
  <c r="J2056" i="94" s="1"/>
  <c r="L33" i="68"/>
  <c r="E483" i="94"/>
  <c r="E38" i="78"/>
  <c r="G34" i="78" s="1"/>
  <c r="F492" i="94"/>
  <c r="E474" i="93"/>
  <c r="G470" i="93" s="1"/>
  <c r="G479" i="94"/>
  <c r="P1203" i="94"/>
  <c r="I422" i="93"/>
  <c r="P413" i="93" s="1"/>
  <c r="K9" i="88"/>
  <c r="K23" i="88" s="1"/>
  <c r="K28" i="88" s="1"/>
  <c r="J407" i="72"/>
  <c r="J408" i="72" s="1"/>
  <c r="G1870" i="94"/>
  <c r="I59" i="68"/>
  <c r="G222" i="72"/>
  <c r="I436" i="94"/>
  <c r="I437" i="94" s="1"/>
  <c r="B4" i="82"/>
  <c r="P414" i="93"/>
  <c r="P415" i="93" s="1"/>
  <c r="C18" i="84"/>
  <c r="D18" i="84" s="1"/>
  <c r="J1937" i="93"/>
  <c r="J1938" i="93" s="1"/>
  <c r="J1939" i="93" s="1"/>
  <c r="G1776" i="93"/>
  <c r="G35" i="86"/>
  <c r="E35" i="86"/>
  <c r="F35" i="86"/>
  <c r="C55" i="86"/>
  <c r="O16" i="86"/>
  <c r="G55" i="86"/>
  <c r="C15" i="86"/>
  <c r="E55" i="86"/>
  <c r="O17" i="86"/>
  <c r="D15" i="86"/>
  <c r="H15" i="86"/>
  <c r="F15" i="86"/>
  <c r="G15" i="86"/>
  <c r="F55" i="86"/>
  <c r="H55" i="86"/>
  <c r="I15" i="86"/>
  <c r="D55" i="86"/>
  <c r="C35" i="86"/>
  <c r="I35" i="86"/>
  <c r="H35" i="86"/>
  <c r="E15" i="86"/>
  <c r="D35" i="86"/>
  <c r="I1046" i="94"/>
  <c r="C34" i="86"/>
  <c r="I985" i="93"/>
  <c r="G1046" i="94"/>
  <c r="G985" i="93"/>
  <c r="H14" i="86"/>
  <c r="E1046" i="94"/>
  <c r="F14" i="86"/>
  <c r="E985" i="93"/>
  <c r="J1046" i="94"/>
  <c r="D34" i="86"/>
  <c r="J985" i="93"/>
  <c r="H1046" i="94"/>
  <c r="H985" i="93"/>
  <c r="I14" i="86"/>
  <c r="F1046" i="94"/>
  <c r="G14" i="86"/>
  <c r="F985" i="93"/>
  <c r="D1046" i="94"/>
  <c r="D985" i="93"/>
  <c r="E14" i="86"/>
  <c r="C66" i="74"/>
  <c r="C1081" i="94" s="1"/>
  <c r="C65" i="82"/>
  <c r="B97" i="74"/>
  <c r="B1112" i="94" s="1"/>
  <c r="C97" i="74"/>
  <c r="C1112" i="94" s="1"/>
  <c r="C1040" i="93"/>
  <c r="H1010" i="93"/>
  <c r="H65" i="82"/>
  <c r="H66" i="74"/>
  <c r="H1081" i="94" s="1"/>
  <c r="E97" i="74"/>
  <c r="E1112" i="94" s="1"/>
  <c r="E1040" i="93"/>
  <c r="F127" i="74"/>
  <c r="F1142" i="94" s="1"/>
  <c r="G1040" i="93"/>
  <c r="G97" i="74"/>
  <c r="G1112" i="94" s="1"/>
  <c r="J65" i="82"/>
  <c r="J66" i="74"/>
  <c r="J1081" i="94" s="1"/>
  <c r="J1010" i="93"/>
  <c r="D97" i="74"/>
  <c r="D1112" i="94" s="1"/>
  <c r="I66" i="74"/>
  <c r="I1081" i="94" s="1"/>
  <c r="I65" i="82"/>
  <c r="B127" i="74"/>
  <c r="B1142" i="94" s="1"/>
  <c r="E1019" i="93"/>
  <c r="E1021" i="93"/>
  <c r="I981" i="93"/>
  <c r="I989" i="93" s="1"/>
  <c r="I35" i="74"/>
  <c r="I1050" i="94" s="1"/>
  <c r="I1042" i="94"/>
  <c r="G981" i="93"/>
  <c r="G989" i="93" s="1"/>
  <c r="G35" i="74"/>
  <c r="G1050" i="94" s="1"/>
  <c r="G1042" i="94"/>
  <c r="E981" i="93"/>
  <c r="E989" i="93" s="1"/>
  <c r="E1042" i="94"/>
  <c r="E35" i="74"/>
  <c r="E1050" i="94" s="1"/>
  <c r="C981" i="93"/>
  <c r="C989" i="93" s="1"/>
  <c r="C1042" i="94"/>
  <c r="C35" i="74"/>
  <c r="C1050" i="94" s="1"/>
  <c r="J981" i="93"/>
  <c r="J989" i="93" s="1"/>
  <c r="J1042" i="94"/>
  <c r="J35" i="74"/>
  <c r="J1050" i="94" s="1"/>
  <c r="H981" i="93"/>
  <c r="H989" i="93" s="1"/>
  <c r="H35" i="74"/>
  <c r="H1050" i="94" s="1"/>
  <c r="H1042" i="94"/>
  <c r="F1042" i="94"/>
  <c r="F981" i="93"/>
  <c r="F989" i="93" s="1"/>
  <c r="F35" i="74"/>
  <c r="F1050" i="94" s="1"/>
  <c r="D981" i="93"/>
  <c r="D989" i="93" s="1"/>
  <c r="D35" i="74"/>
  <c r="D1050" i="94" s="1"/>
  <c r="D1042" i="94"/>
  <c r="B35" i="74"/>
  <c r="B1050" i="94" s="1"/>
  <c r="B41" i="74"/>
  <c r="B1042" i="94"/>
  <c r="B981" i="93"/>
  <c r="B989" i="93" s="1"/>
  <c r="I1041" i="94"/>
  <c r="I980" i="93"/>
  <c r="I988" i="93" s="1"/>
  <c r="I34" i="74"/>
  <c r="I1049" i="94" s="1"/>
  <c r="G1041" i="94"/>
  <c r="G980" i="93"/>
  <c r="G988" i="93" s="1"/>
  <c r="G34" i="74"/>
  <c r="G1049" i="94" s="1"/>
  <c r="E1041" i="94"/>
  <c r="E34" i="74"/>
  <c r="E1049" i="94" s="1"/>
  <c r="E980" i="93"/>
  <c r="E988" i="93" s="1"/>
  <c r="C1041" i="94"/>
  <c r="C34" i="74"/>
  <c r="C1049" i="94" s="1"/>
  <c r="C980" i="93"/>
  <c r="C988" i="93" s="1"/>
  <c r="E1075" i="93"/>
  <c r="E1078" i="93"/>
  <c r="D1047" i="93"/>
  <c r="D1050" i="93"/>
  <c r="B1047" i="93"/>
  <c r="B1050" i="93"/>
  <c r="J1041" i="94"/>
  <c r="J980" i="93"/>
  <c r="J988" i="93" s="1"/>
  <c r="J34" i="74"/>
  <c r="J1049" i="94" s="1"/>
  <c r="H1041" i="94"/>
  <c r="H980" i="93"/>
  <c r="H988" i="93" s="1"/>
  <c r="H34" i="74"/>
  <c r="H1049" i="94" s="1"/>
  <c r="F1041" i="94"/>
  <c r="F980" i="93"/>
  <c r="F988" i="93" s="1"/>
  <c r="F34" i="74"/>
  <c r="F1049" i="94" s="1"/>
  <c r="D1041" i="94"/>
  <c r="D980" i="93"/>
  <c r="D988" i="93" s="1"/>
  <c r="D34" i="74"/>
  <c r="D1049" i="94" s="1"/>
  <c r="B1041" i="94"/>
  <c r="B40" i="74"/>
  <c r="C40" i="74" s="1"/>
  <c r="B980" i="93"/>
  <c r="B988" i="93" s="1"/>
  <c r="B34" i="74"/>
  <c r="B1049" i="94" s="1"/>
  <c r="I1018" i="93"/>
  <c r="I1021" i="93"/>
  <c r="B1075" i="93"/>
  <c r="B1078" i="93"/>
  <c r="F1075" i="93"/>
  <c r="F1078" i="93"/>
  <c r="C1021" i="93"/>
  <c r="C1018" i="93"/>
  <c r="I979" i="93"/>
  <c r="I1040" i="94"/>
  <c r="E15" i="87"/>
  <c r="I45" i="82"/>
  <c r="G979" i="93"/>
  <c r="G45" i="82"/>
  <c r="G1040" i="94"/>
  <c r="E13" i="87"/>
  <c r="E979" i="93"/>
  <c r="E1040" i="94"/>
  <c r="E11" i="87"/>
  <c r="E45" i="82"/>
  <c r="C979" i="93"/>
  <c r="C45" i="82"/>
  <c r="C1040" i="94"/>
  <c r="E9" i="87"/>
  <c r="K987" i="93"/>
  <c r="K991" i="93"/>
  <c r="J979" i="93"/>
  <c r="J1040" i="94"/>
  <c r="E16" i="87"/>
  <c r="J45" i="82"/>
  <c r="E14" i="87"/>
  <c r="H45" i="82"/>
  <c r="H1040" i="94"/>
  <c r="H979" i="93"/>
  <c r="F979" i="93"/>
  <c r="F45" i="82"/>
  <c r="F1040" i="94"/>
  <c r="E12" i="87"/>
  <c r="E10" i="87"/>
  <c r="D1040" i="94"/>
  <c r="D979" i="93"/>
  <c r="D45" i="82"/>
  <c r="E8" i="87"/>
  <c r="B45" i="82"/>
  <c r="B39" i="74"/>
  <c r="B1040" i="94"/>
  <c r="B979" i="93"/>
  <c r="C75" i="84"/>
  <c r="O1954" i="94"/>
  <c r="O1848" i="93"/>
  <c r="E16" i="72"/>
  <c r="O1964" i="94"/>
  <c r="O1857" i="93"/>
  <c r="M768" i="94"/>
  <c r="O63" i="94"/>
  <c r="O51" i="93"/>
  <c r="O768" i="94"/>
  <c r="T1728" i="93"/>
  <c r="M763" i="93"/>
  <c r="O6" i="75"/>
  <c r="T1822" i="94"/>
  <c r="O763" i="93"/>
  <c r="T174" i="72"/>
  <c r="M6" i="75"/>
  <c r="I63" i="94"/>
  <c r="I51" i="93"/>
  <c r="K40" i="66"/>
  <c r="P1136" i="93"/>
  <c r="L65" i="73"/>
  <c r="L52" i="73"/>
  <c r="L66" i="73"/>
  <c r="L59" i="73"/>
  <c r="L48" i="73"/>
  <c r="L51" i="73"/>
  <c r="L64" i="73"/>
  <c r="L56" i="73"/>
  <c r="L49" i="73"/>
  <c r="L63" i="73"/>
  <c r="G62" i="73"/>
  <c r="G50" i="73"/>
  <c r="G65" i="73"/>
  <c r="G55" i="73"/>
  <c r="G43" i="73"/>
  <c r="G58" i="73"/>
  <c r="G48" i="73"/>
  <c r="G63" i="73"/>
  <c r="G51" i="73"/>
  <c r="G41" i="73"/>
  <c r="L50" i="73"/>
  <c r="L43" i="73"/>
  <c r="L45" i="73"/>
  <c r="L44" i="73"/>
  <c r="L57" i="73"/>
  <c r="L62" i="73"/>
  <c r="L42" i="73"/>
  <c r="L58" i="73"/>
  <c r="G56" i="73"/>
  <c r="G59" i="73"/>
  <c r="G64" i="73"/>
  <c r="G42" i="73"/>
  <c r="G45" i="73"/>
  <c r="L55" i="73"/>
  <c r="L41" i="73"/>
  <c r="G66" i="73"/>
  <c r="G44" i="73"/>
  <c r="G49" i="73"/>
  <c r="G52" i="73"/>
  <c r="G57" i="73"/>
  <c r="N63" i="94"/>
  <c r="N51" i="93"/>
  <c r="E984" i="93" l="1"/>
  <c r="E1045" i="94"/>
  <c r="E53" i="82"/>
  <c r="O867" i="93"/>
  <c r="F43" i="73"/>
  <c r="F45" i="73"/>
  <c r="F1156" i="93"/>
  <c r="H1156" i="93" s="1"/>
  <c r="F1143" i="93"/>
  <c r="H1143" i="93" s="1"/>
  <c r="I1137" i="93"/>
  <c r="K1144" i="93"/>
  <c r="M1144" i="93" s="1"/>
  <c r="K1208" i="94"/>
  <c r="O137" i="75"/>
  <c r="O861" i="93"/>
  <c r="F1136" i="93"/>
  <c r="H1136" i="93" s="1"/>
  <c r="F1142" i="93"/>
  <c r="H1142" i="93" s="1"/>
  <c r="F1224" i="94"/>
  <c r="I1152" i="93"/>
  <c r="O875" i="94"/>
  <c r="O1001" i="94" s="1"/>
  <c r="M58" i="73"/>
  <c r="N1153" i="93"/>
  <c r="M1153" i="93"/>
  <c r="O861" i="94"/>
  <c r="O837" i="93"/>
  <c r="I86" i="94"/>
  <c r="I91" i="94"/>
  <c r="P67" i="66"/>
  <c r="M72" i="75"/>
  <c r="M834" i="94" s="1"/>
  <c r="M76" i="75"/>
  <c r="M838" i="94" s="1"/>
  <c r="M71" i="75"/>
  <c r="M833" i="94" s="1"/>
  <c r="P62" i="66"/>
  <c r="N75" i="75"/>
  <c r="N837" i="94" s="1"/>
  <c r="J73" i="75"/>
  <c r="J835" i="94" s="1"/>
  <c r="H86" i="94"/>
  <c r="O871" i="93"/>
  <c r="O868" i="94"/>
  <c r="I87" i="94"/>
  <c r="I67" i="66"/>
  <c r="O914" i="94"/>
  <c r="N71" i="75"/>
  <c r="N833" i="94" s="1"/>
  <c r="N73" i="75"/>
  <c r="N835" i="94" s="1"/>
  <c r="J75" i="75"/>
  <c r="J837" i="94" s="1"/>
  <c r="J77" i="75"/>
  <c r="J839" i="94" s="1"/>
  <c r="P146" i="75"/>
  <c r="P908" i="94" s="1"/>
  <c r="P151" i="75"/>
  <c r="P913" i="94" s="1"/>
  <c r="H87" i="94"/>
  <c r="M1222" i="94"/>
  <c r="O135" i="75"/>
  <c r="O141" i="75"/>
  <c r="F1139" i="93"/>
  <c r="H1139" i="93" s="1"/>
  <c r="F49" i="73"/>
  <c r="I49" i="73" s="1"/>
  <c r="O850" i="94"/>
  <c r="P92" i="94"/>
  <c r="P145" i="75"/>
  <c r="P907" i="94" s="1"/>
  <c r="F1200" i="94"/>
  <c r="I1200" i="94" s="1"/>
  <c r="F1158" i="93"/>
  <c r="H1158" i="93" s="1"/>
  <c r="F1222" i="94"/>
  <c r="F1225" i="94" s="1"/>
  <c r="F1160" i="93"/>
  <c r="H1160" i="93" s="1"/>
  <c r="F50" i="73"/>
  <c r="O832" i="93"/>
  <c r="O834" i="93"/>
  <c r="F1144" i="93"/>
  <c r="H1144" i="93" s="1"/>
  <c r="O841" i="93"/>
  <c r="O945" i="93" s="1"/>
  <c r="O872" i="93"/>
  <c r="I75" i="93"/>
  <c r="P86" i="94"/>
  <c r="P84" i="94" s="1"/>
  <c r="D11" i="88"/>
  <c r="E11" i="88" s="1"/>
  <c r="N74" i="75"/>
  <c r="N836" i="94" s="1"/>
  <c r="N72" i="75"/>
  <c r="N834" i="94" s="1"/>
  <c r="N76" i="75"/>
  <c r="N838" i="94" s="1"/>
  <c r="D7" i="88"/>
  <c r="J74" i="75"/>
  <c r="J836" i="94" s="1"/>
  <c r="J72" i="75"/>
  <c r="J834" i="94" s="1"/>
  <c r="J76" i="75"/>
  <c r="J838" i="94" s="1"/>
  <c r="H90" i="94"/>
  <c r="H74" i="93"/>
  <c r="F1159" i="93"/>
  <c r="H1159" i="93" s="1"/>
  <c r="F1209" i="94"/>
  <c r="H1209" i="94" s="1"/>
  <c r="H1208" i="94"/>
  <c r="P69" i="66"/>
  <c r="H66" i="73"/>
  <c r="O871" i="94"/>
  <c r="O99" i="75"/>
  <c r="O877" i="94"/>
  <c r="O820" i="94"/>
  <c r="O823" i="93"/>
  <c r="I1136" i="93"/>
  <c r="O831" i="93"/>
  <c r="O63" i="75"/>
  <c r="O76" i="75" s="1"/>
  <c r="O115" i="75"/>
  <c r="E545" i="94" s="1"/>
  <c r="J545" i="94" s="1"/>
  <c r="H55" i="66"/>
  <c r="H78" i="94"/>
  <c r="H67" i="93"/>
  <c r="J827" i="94"/>
  <c r="J829" i="94" s="1"/>
  <c r="O829" i="94" s="1"/>
  <c r="N984" i="94" s="1"/>
  <c r="O825" i="94"/>
  <c r="F1146" i="93"/>
  <c r="F52" i="73"/>
  <c r="F53" i="73" s="1"/>
  <c r="F1210" i="94"/>
  <c r="F122" i="78"/>
  <c r="B970" i="93"/>
  <c r="H77" i="94"/>
  <c r="D8" i="88"/>
  <c r="E8" i="88" s="1"/>
  <c r="K73" i="75"/>
  <c r="K835" i="94" s="1"/>
  <c r="K77" i="75"/>
  <c r="K839" i="94" s="1"/>
  <c r="K74" i="75"/>
  <c r="K836" i="94" s="1"/>
  <c r="K65" i="75"/>
  <c r="K67" i="75" s="1"/>
  <c r="K159" i="75" s="1"/>
  <c r="K921" i="94" s="1"/>
  <c r="O815" i="93"/>
  <c r="L71" i="75"/>
  <c r="L833" i="94" s="1"/>
  <c r="L75" i="75"/>
  <c r="L837" i="94" s="1"/>
  <c r="L73" i="75"/>
  <c r="L835" i="94" s="1"/>
  <c r="H76" i="93"/>
  <c r="H1836" i="93"/>
  <c r="H65" i="66"/>
  <c r="H61" i="66" s="1"/>
  <c r="H70" i="66" s="1"/>
  <c r="H72" i="66" s="1"/>
  <c r="P149" i="75"/>
  <c r="P911" i="94" s="1"/>
  <c r="H75" i="93"/>
  <c r="F1145" i="93"/>
  <c r="I1145" i="93" s="1"/>
  <c r="F1135" i="93"/>
  <c r="I1135" i="93" s="1"/>
  <c r="I1140" i="93" s="1"/>
  <c r="F567" i="94"/>
  <c r="I1160" i="93"/>
  <c r="I1217" i="94"/>
  <c r="H1217" i="94"/>
  <c r="I1213" i="94"/>
  <c r="H1213" i="94"/>
  <c r="I55" i="73"/>
  <c r="H55" i="73"/>
  <c r="I1153" i="93"/>
  <c r="I1149" i="93"/>
  <c r="I1154" i="93" s="1"/>
  <c r="H59" i="73"/>
  <c r="I59" i="73"/>
  <c r="I1206" i="94"/>
  <c r="H1206" i="94"/>
  <c r="I48" i="73"/>
  <c r="H48" i="73"/>
  <c r="I1142" i="93"/>
  <c r="I1147" i="93" s="1"/>
  <c r="F121" i="78"/>
  <c r="I1156" i="93"/>
  <c r="I1161" i="93" s="1"/>
  <c r="I1158" i="93"/>
  <c r="H1220" i="94"/>
  <c r="I1220" i="94"/>
  <c r="H1150" i="93"/>
  <c r="F1154" i="93"/>
  <c r="H49" i="73"/>
  <c r="P148" i="75"/>
  <c r="P910" i="94" s="1"/>
  <c r="O864" i="93"/>
  <c r="I62" i="73"/>
  <c r="H62" i="73"/>
  <c r="I1143" i="93"/>
  <c r="I1150" i="93"/>
  <c r="H1200" i="94"/>
  <c r="I42" i="73"/>
  <c r="H42" i="73"/>
  <c r="I1214" i="94"/>
  <c r="I1218" i="94" s="1"/>
  <c r="F1218" i="94"/>
  <c r="H1214" i="94"/>
  <c r="I56" i="73"/>
  <c r="H56" i="73"/>
  <c r="F60" i="73"/>
  <c r="H1207" i="94"/>
  <c r="I1207" i="94"/>
  <c r="M63" i="73"/>
  <c r="N63" i="73"/>
  <c r="M1221" i="94"/>
  <c r="N1221" i="94"/>
  <c r="M1137" i="93"/>
  <c r="N1137" i="93"/>
  <c r="O432" i="72"/>
  <c r="P67" i="93"/>
  <c r="O239" i="75"/>
  <c r="P55" i="66"/>
  <c r="O2080" i="94"/>
  <c r="P78" i="94"/>
  <c r="L1968" i="93"/>
  <c r="P238" i="75"/>
  <c r="P239" i="75" s="1"/>
  <c r="O238" i="75"/>
  <c r="P944" i="93"/>
  <c r="P945" i="93" s="1"/>
  <c r="O944" i="93"/>
  <c r="O843" i="93"/>
  <c r="N51" i="73"/>
  <c r="M51" i="73"/>
  <c r="N44" i="73"/>
  <c r="M44" i="73"/>
  <c r="N1202" i="94"/>
  <c r="M1202" i="94"/>
  <c r="N66" i="73"/>
  <c r="M66" i="73"/>
  <c r="N1144" i="93"/>
  <c r="N1208" i="94"/>
  <c r="M1208" i="94"/>
  <c r="N55" i="73"/>
  <c r="N60" i="73" s="1"/>
  <c r="K60" i="73"/>
  <c r="M55" i="73"/>
  <c r="M1213" i="94"/>
  <c r="N1213" i="94"/>
  <c r="N1218" i="94" s="1"/>
  <c r="K1218" i="94"/>
  <c r="N52" i="73"/>
  <c r="M52" i="73"/>
  <c r="M1139" i="93"/>
  <c r="N1139" i="93"/>
  <c r="N1203" i="94"/>
  <c r="M1203" i="94"/>
  <c r="M1136" i="93"/>
  <c r="N1136" i="93"/>
  <c r="P1000" i="94"/>
  <c r="P1001" i="94" s="1"/>
  <c r="O1000" i="94"/>
  <c r="I65" i="73"/>
  <c r="H65" i="73"/>
  <c r="H1202" i="94"/>
  <c r="I1202" i="94"/>
  <c r="I1199" i="94"/>
  <c r="F1204" i="94"/>
  <c r="H1199" i="94"/>
  <c r="I1159" i="93"/>
  <c r="M1220" i="94"/>
  <c r="K1225" i="94"/>
  <c r="N1220" i="94"/>
  <c r="M48" i="73"/>
  <c r="K53" i="73"/>
  <c r="N48" i="73"/>
  <c r="K1211" i="94"/>
  <c r="M1206" i="94"/>
  <c r="N1206" i="94"/>
  <c r="K46" i="73"/>
  <c r="M41" i="73"/>
  <c r="N41" i="73"/>
  <c r="M1199" i="94"/>
  <c r="N1199" i="94"/>
  <c r="K1204" i="94"/>
  <c r="M1159" i="93"/>
  <c r="N1159" i="93"/>
  <c r="N49" i="73"/>
  <c r="M49" i="73"/>
  <c r="M1207" i="94"/>
  <c r="N1207" i="94"/>
  <c r="O868" i="93"/>
  <c r="I1201" i="94"/>
  <c r="H1201" i="94"/>
  <c r="I1221" i="94"/>
  <c r="H1221" i="94"/>
  <c r="I45" i="73"/>
  <c r="H45" i="73"/>
  <c r="N1157" i="93"/>
  <c r="M1157" i="93"/>
  <c r="M43" i="73"/>
  <c r="N43" i="73"/>
  <c r="N1201" i="94"/>
  <c r="M1201" i="94"/>
  <c r="E100" i="78"/>
  <c r="J100" i="78" s="1"/>
  <c r="M1145" i="93"/>
  <c r="N1145" i="93"/>
  <c r="N1209" i="94"/>
  <c r="M1209" i="94"/>
  <c r="M1138" i="93"/>
  <c r="N1138" i="93"/>
  <c r="N1160" i="93"/>
  <c r="M1160" i="93"/>
  <c r="M1224" i="94"/>
  <c r="N1224" i="94"/>
  <c r="N50" i="73"/>
  <c r="M50" i="73"/>
  <c r="M1149" i="93"/>
  <c r="N1149" i="93"/>
  <c r="N1154" i="93" s="1"/>
  <c r="K1154" i="93"/>
  <c r="N1146" i="93"/>
  <c r="M1146" i="93"/>
  <c r="M1210" i="94"/>
  <c r="N1210" i="94"/>
  <c r="M45" i="73"/>
  <c r="N45" i="73"/>
  <c r="N42" i="73"/>
  <c r="M42" i="73"/>
  <c r="M1200" i="94"/>
  <c r="N1200" i="94"/>
  <c r="I1223" i="94"/>
  <c r="H1223" i="94"/>
  <c r="I44" i="73"/>
  <c r="H44" i="73"/>
  <c r="H1145" i="93"/>
  <c r="I51" i="73"/>
  <c r="H51" i="73"/>
  <c r="I41" i="73"/>
  <c r="F46" i="73"/>
  <c r="H41" i="73"/>
  <c r="I1138" i="93"/>
  <c r="K1161" i="93"/>
  <c r="N1156" i="93"/>
  <c r="N1161" i="93" s="1"/>
  <c r="M1156" i="93"/>
  <c r="K67" i="73"/>
  <c r="N62" i="73"/>
  <c r="M62" i="73"/>
  <c r="N1142" i="93"/>
  <c r="N1147" i="93" s="1"/>
  <c r="M1142" i="93"/>
  <c r="K1147" i="93"/>
  <c r="M1135" i="93"/>
  <c r="K1140" i="93"/>
  <c r="N1135" i="93"/>
  <c r="N1140" i="93" s="1"/>
  <c r="N65" i="73"/>
  <c r="M65" i="73"/>
  <c r="M1223" i="94"/>
  <c r="N1223" i="94"/>
  <c r="N1143" i="93"/>
  <c r="M1143" i="93"/>
  <c r="I43" i="73"/>
  <c r="H43" i="73"/>
  <c r="H1157" i="93"/>
  <c r="I63" i="73"/>
  <c r="H63" i="73"/>
  <c r="F67" i="73"/>
  <c r="I1203" i="94"/>
  <c r="H1203" i="94"/>
  <c r="O88" i="75"/>
  <c r="J154" i="75"/>
  <c r="O152" i="75"/>
  <c r="P73" i="93" s="1"/>
  <c r="P75" i="93" s="1"/>
  <c r="P77" i="93" s="1"/>
  <c r="P82" i="93" s="1"/>
  <c r="O874" i="93"/>
  <c r="J876" i="93"/>
  <c r="O876" i="93" s="1"/>
  <c r="H79" i="94"/>
  <c r="H56" i="66"/>
  <c r="H68" i="93"/>
  <c r="J819" i="93"/>
  <c r="O819" i="93" s="1"/>
  <c r="O817" i="93"/>
  <c r="J918" i="94"/>
  <c r="O918" i="94" s="1"/>
  <c r="O916" i="94"/>
  <c r="I61" i="66"/>
  <c r="I73" i="93"/>
  <c r="P61" i="66"/>
  <c r="L159" i="75"/>
  <c r="L921" i="94" s="1"/>
  <c r="H9" i="88"/>
  <c r="I9" i="88" s="1"/>
  <c r="J67" i="75"/>
  <c r="O65" i="75"/>
  <c r="M159" i="75"/>
  <c r="M921" i="94" s="1"/>
  <c r="H10" i="88"/>
  <c r="I10" i="88" s="1"/>
  <c r="O827" i="94"/>
  <c r="I84" i="94"/>
  <c r="N159" i="75"/>
  <c r="N921" i="94" s="1"/>
  <c r="H11" i="88"/>
  <c r="I11" i="88" s="1"/>
  <c r="E7" i="88"/>
  <c r="O74" i="75"/>
  <c r="O73" i="75"/>
  <c r="N466" i="73"/>
  <c r="F558" i="93"/>
  <c r="B975" i="93"/>
  <c r="F557" i="93"/>
  <c r="B20" i="74"/>
  <c r="P988" i="94"/>
  <c r="K68" i="84"/>
  <c r="I68" i="84"/>
  <c r="G68" i="84"/>
  <c r="E68" i="84"/>
  <c r="H935" i="94"/>
  <c r="O935" i="94" s="1"/>
  <c r="H879" i="93"/>
  <c r="O879" i="93" s="1"/>
  <c r="O173" i="75"/>
  <c r="B971" i="93"/>
  <c r="B972" i="93" s="1"/>
  <c r="G14" i="74"/>
  <c r="D14" i="74"/>
  <c r="E14" i="74"/>
  <c r="C14" i="74"/>
  <c r="C52" i="84"/>
  <c r="J14" i="74"/>
  <c r="B1029" i="94"/>
  <c r="F14" i="74"/>
  <c r="B15" i="74"/>
  <c r="H14" i="74"/>
  <c r="I14" i="74"/>
  <c r="K14" i="74"/>
  <c r="B46" i="74"/>
  <c r="J46" i="74"/>
  <c r="B78" i="74"/>
  <c r="C78" i="74"/>
  <c r="E78" i="74"/>
  <c r="F78" i="74"/>
  <c r="I78" i="74"/>
  <c r="C46" i="74"/>
  <c r="D46" i="74"/>
  <c r="E46" i="74"/>
  <c r="F46" i="74"/>
  <c r="G46" i="74"/>
  <c r="H46" i="74"/>
  <c r="I46" i="74"/>
  <c r="K46" i="74"/>
  <c r="D78" i="74"/>
  <c r="G78" i="74"/>
  <c r="H78" i="74"/>
  <c r="J78" i="74"/>
  <c r="K78" i="74"/>
  <c r="B108" i="74"/>
  <c r="C108" i="74"/>
  <c r="E108" i="74"/>
  <c r="D108" i="74"/>
  <c r="F108" i="74"/>
  <c r="M408" i="72"/>
  <c r="M2056" i="94" s="1"/>
  <c r="I423" i="93"/>
  <c r="K40" i="84"/>
  <c r="M1938" i="93"/>
  <c r="M1939" i="93" s="1"/>
  <c r="F39" i="88"/>
  <c r="P427" i="94"/>
  <c r="P428" i="94"/>
  <c r="P50" i="68"/>
  <c r="P51" i="68"/>
  <c r="I60" i="68"/>
  <c r="P45" i="68" s="1"/>
  <c r="P422" i="94" s="1"/>
  <c r="C38" i="84"/>
  <c r="O19" i="86"/>
  <c r="O23" i="86" s="1"/>
  <c r="O25" i="86" s="1"/>
  <c r="O31" i="86" s="1"/>
  <c r="E1047" i="93"/>
  <c r="E1050" i="93"/>
  <c r="H1021" i="93"/>
  <c r="H1018" i="93"/>
  <c r="C1047" i="93"/>
  <c r="C1050" i="93"/>
  <c r="J1018" i="93"/>
  <c r="J1021" i="93"/>
  <c r="G1047" i="93"/>
  <c r="G1050" i="93"/>
  <c r="B1056" i="94"/>
  <c r="C12" i="86"/>
  <c r="B995" i="93"/>
  <c r="C41" i="74"/>
  <c r="D12" i="86" s="1"/>
  <c r="C1055" i="94"/>
  <c r="C994" i="93"/>
  <c r="D40" i="74"/>
  <c r="B1055" i="94"/>
  <c r="D11" i="86"/>
  <c r="C11" i="86"/>
  <c r="B994" i="93"/>
  <c r="G75" i="84"/>
  <c r="K75" i="84"/>
  <c r="E75" i="84"/>
  <c r="I75" i="84"/>
  <c r="C77" i="84"/>
  <c r="F987" i="93"/>
  <c r="F991" i="93"/>
  <c r="H987" i="93"/>
  <c r="H991" i="93"/>
  <c r="J991" i="93"/>
  <c r="J987" i="93"/>
  <c r="B1054" i="94"/>
  <c r="C10" i="86"/>
  <c r="B993" i="93"/>
  <c r="D987" i="93"/>
  <c r="D991" i="93"/>
  <c r="D986" i="93"/>
  <c r="C39" i="74"/>
  <c r="C991" i="93"/>
  <c r="C987" i="93"/>
  <c r="E991" i="93"/>
  <c r="E987" i="93"/>
  <c r="E986" i="93"/>
  <c r="G987" i="93"/>
  <c r="G991" i="93"/>
  <c r="I987" i="93"/>
  <c r="I991" i="93"/>
  <c r="T1731" i="93"/>
  <c r="T177" i="72"/>
  <c r="T1825" i="94"/>
  <c r="K63" i="94"/>
  <c r="K51" i="93"/>
  <c r="J381" i="73"/>
  <c r="F1470" i="93" s="1"/>
  <c r="P990" i="94"/>
  <c r="P934" i="93"/>
  <c r="M932" i="93" s="1"/>
  <c r="H15" i="84"/>
  <c r="F18" i="85" s="1"/>
  <c r="B38" i="74" l="1"/>
  <c r="B1053" i="94" s="1"/>
  <c r="F1045" i="94"/>
  <c r="F53" i="82"/>
  <c r="F984" i="93"/>
  <c r="F986" i="93" s="1"/>
  <c r="H1224" i="94"/>
  <c r="I1224" i="94"/>
  <c r="H84" i="94"/>
  <c r="H93" i="94" s="1"/>
  <c r="H95" i="94" s="1"/>
  <c r="D12" i="88"/>
  <c r="H8" i="88"/>
  <c r="I8" i="88" s="1"/>
  <c r="H73" i="93"/>
  <c r="H77" i="93" s="1"/>
  <c r="H79" i="93" s="1"/>
  <c r="P93" i="94"/>
  <c r="P95" i="94" s="1"/>
  <c r="P98" i="94" s="1"/>
  <c r="L1952" i="93"/>
  <c r="L1953" i="93" s="1"/>
  <c r="M1952" i="93" s="1"/>
  <c r="N465" i="73"/>
  <c r="O77" i="75"/>
  <c r="P70" i="66"/>
  <c r="P72" i="66" s="1"/>
  <c r="P75" i="66" s="1"/>
  <c r="P43" i="78" s="1"/>
  <c r="H7" i="84"/>
  <c r="F1161" i="93"/>
  <c r="H1135" i="93"/>
  <c r="I1139" i="93"/>
  <c r="I1209" i="94"/>
  <c r="I1144" i="93"/>
  <c r="H50" i="73"/>
  <c r="I50" i="73"/>
  <c r="H1222" i="94"/>
  <c r="I1222" i="94"/>
  <c r="I1225" i="94" s="1"/>
  <c r="N1624" i="94"/>
  <c r="E13" i="84"/>
  <c r="K18" i="88" s="1"/>
  <c r="N1623" i="94"/>
  <c r="O71" i="75"/>
  <c r="O75" i="75"/>
  <c r="O72" i="75"/>
  <c r="I72" i="75" s="1"/>
  <c r="I834" i="94" s="1"/>
  <c r="F1140" i="93"/>
  <c r="F1211" i="94"/>
  <c r="E13" i="88"/>
  <c r="E536" i="93"/>
  <c r="J536" i="93" s="1"/>
  <c r="H52" i="73"/>
  <c r="I52" i="73"/>
  <c r="I53" i="73" s="1"/>
  <c r="F1147" i="93"/>
  <c r="I60" i="73"/>
  <c r="H1210" i="94"/>
  <c r="I1210" i="94"/>
  <c r="I1211" i="94" s="1"/>
  <c r="H1146" i="93"/>
  <c r="I1146" i="93"/>
  <c r="I67" i="73"/>
  <c r="K1163" i="93"/>
  <c r="K1227" i="94"/>
  <c r="I46" i="73"/>
  <c r="N1211" i="94"/>
  <c r="N1225" i="94"/>
  <c r="I1204" i="94"/>
  <c r="P992" i="94"/>
  <c r="P1003" i="94" s="1"/>
  <c r="B977" i="93"/>
  <c r="B978" i="93" s="1"/>
  <c r="E172" i="90"/>
  <c r="E173" i="90" s="1"/>
  <c r="C66" i="84"/>
  <c r="B22" i="74"/>
  <c r="M231" i="75"/>
  <c r="P231" i="75"/>
  <c r="P936" i="93"/>
  <c r="P241" i="75"/>
  <c r="N67" i="73"/>
  <c r="M988" i="94"/>
  <c r="N985" i="94"/>
  <c r="F69" i="73"/>
  <c r="N1204" i="94"/>
  <c r="N46" i="73"/>
  <c r="K69" i="73"/>
  <c r="N53" i="73"/>
  <c r="F1227" i="94"/>
  <c r="J156" i="75"/>
  <c r="O156" i="75" s="1"/>
  <c r="O154" i="75"/>
  <c r="M599" i="94" s="1"/>
  <c r="M600" i="94" s="1"/>
  <c r="M602" i="94" s="1"/>
  <c r="K467" i="73"/>
  <c r="K1625" i="94"/>
  <c r="E47" i="92"/>
  <c r="E26" i="89"/>
  <c r="O835" i="94"/>
  <c r="P835" i="94" s="1"/>
  <c r="P73" i="75"/>
  <c r="I73" i="75" s="1"/>
  <c r="I835" i="94" s="1"/>
  <c r="O839" i="94"/>
  <c r="P839" i="94" s="1"/>
  <c r="I77" i="75"/>
  <c r="I839" i="94" s="1"/>
  <c r="P77" i="75"/>
  <c r="O836" i="94"/>
  <c r="P836" i="94" s="1"/>
  <c r="P74" i="75"/>
  <c r="I74" i="75" s="1"/>
  <c r="I836" i="94" s="1"/>
  <c r="L1704" i="94"/>
  <c r="P1704" i="94" s="1"/>
  <c r="P1703" i="94" s="1"/>
  <c r="P1695" i="94" s="1"/>
  <c r="P2096" i="94" s="1"/>
  <c r="P185" i="94"/>
  <c r="P186" i="94"/>
  <c r="K56" i="72"/>
  <c r="P163" i="66"/>
  <c r="J1599" i="93"/>
  <c r="K1704" i="94"/>
  <c r="P184" i="94"/>
  <c r="L56" i="72"/>
  <c r="J56" i="72"/>
  <c r="P161" i="66"/>
  <c r="O168" i="93"/>
  <c r="P168" i="93"/>
  <c r="P162" i="66"/>
  <c r="P167" i="93"/>
  <c r="F43" i="78"/>
  <c r="F479" i="93"/>
  <c r="F488" i="94"/>
  <c r="G579" i="94"/>
  <c r="P488" i="94"/>
  <c r="G570" i="93"/>
  <c r="J938" i="93"/>
  <c r="J939" i="93"/>
  <c r="J937" i="93"/>
  <c r="N929" i="93"/>
  <c r="N928" i="93"/>
  <c r="O933" i="93"/>
  <c r="O833" i="94"/>
  <c r="P833" i="94" s="1"/>
  <c r="I75" i="75"/>
  <c r="I837" i="94" s="1"/>
  <c r="O837" i="94"/>
  <c r="P837" i="94" s="1"/>
  <c r="P75" i="75"/>
  <c r="O834" i="94"/>
  <c r="P834" i="94" s="1"/>
  <c r="I76" i="75"/>
  <c r="I838" i="94" s="1"/>
  <c r="O838" i="94"/>
  <c r="P838" i="94" s="1"/>
  <c r="P76" i="75"/>
  <c r="I810" i="94"/>
  <c r="I811" i="94"/>
  <c r="J995" i="94"/>
  <c r="J993" i="94"/>
  <c r="J994" i="94"/>
  <c r="O67" i="75"/>
  <c r="J159" i="75"/>
  <c r="J921" i="94" s="1"/>
  <c r="H7" i="88"/>
  <c r="I20" i="74"/>
  <c r="B52" i="74"/>
  <c r="E52" i="74"/>
  <c r="G52" i="74"/>
  <c r="C84" i="74"/>
  <c r="G84" i="74"/>
  <c r="C114" i="74"/>
  <c r="F114" i="74"/>
  <c r="C20" i="74"/>
  <c r="D20" i="74"/>
  <c r="H20" i="74"/>
  <c r="D52" i="74"/>
  <c r="I52" i="74"/>
  <c r="B84" i="74"/>
  <c r="F84" i="74"/>
  <c r="I84" i="74"/>
  <c r="B114" i="74"/>
  <c r="G20" i="74"/>
  <c r="J20" i="74"/>
  <c r="C52" i="74"/>
  <c r="F52" i="74"/>
  <c r="J52" i="74"/>
  <c r="D84" i="74"/>
  <c r="K84" i="74"/>
  <c r="E114" i="74"/>
  <c r="B1035" i="94"/>
  <c r="F20" i="74"/>
  <c r="E20" i="74"/>
  <c r="K20" i="74"/>
  <c r="H52" i="74"/>
  <c r="K52" i="74"/>
  <c r="E84" i="74"/>
  <c r="H84" i="74"/>
  <c r="J84" i="74"/>
  <c r="D114" i="74"/>
  <c r="O989" i="94"/>
  <c r="B16" i="74"/>
  <c r="B19" i="74" s="1"/>
  <c r="D1123" i="94"/>
  <c r="C1123" i="94"/>
  <c r="K1093" i="94"/>
  <c r="H1093" i="94"/>
  <c r="D1093" i="94"/>
  <c r="I1061" i="94"/>
  <c r="G1061" i="94"/>
  <c r="E1061" i="94"/>
  <c r="C1061" i="94"/>
  <c r="F1093" i="94"/>
  <c r="C1093" i="94"/>
  <c r="J1061" i="94"/>
  <c r="K1029" i="94"/>
  <c r="I1029" i="94"/>
  <c r="B1030" i="94"/>
  <c r="C15" i="74"/>
  <c r="C1030" i="94" s="1"/>
  <c r="F15" i="74"/>
  <c r="F1030" i="94" s="1"/>
  <c r="G15" i="74"/>
  <c r="G1030" i="94" s="1"/>
  <c r="J15" i="74"/>
  <c r="J1030" i="94" s="1"/>
  <c r="D15" i="74"/>
  <c r="D1030" i="94" s="1"/>
  <c r="E15" i="74"/>
  <c r="E1030" i="94" s="1"/>
  <c r="C53" i="84"/>
  <c r="H15" i="74"/>
  <c r="H1030" i="94" s="1"/>
  <c r="I15" i="74"/>
  <c r="I1030" i="94" s="1"/>
  <c r="K15" i="74"/>
  <c r="K1030" i="94" s="1"/>
  <c r="B47" i="74"/>
  <c r="B1062" i="94" s="1"/>
  <c r="D47" i="74"/>
  <c r="D1062" i="94" s="1"/>
  <c r="E47" i="74"/>
  <c r="E1062" i="94" s="1"/>
  <c r="F47" i="74"/>
  <c r="F1062" i="94" s="1"/>
  <c r="I47" i="74"/>
  <c r="I1062" i="94" s="1"/>
  <c r="B79" i="74"/>
  <c r="B1094" i="94" s="1"/>
  <c r="C79" i="74"/>
  <c r="C1094" i="94" s="1"/>
  <c r="E79" i="74"/>
  <c r="E1094" i="94" s="1"/>
  <c r="F79" i="74"/>
  <c r="F1094" i="94" s="1"/>
  <c r="I79" i="74"/>
  <c r="I1094" i="94" s="1"/>
  <c r="C47" i="74"/>
  <c r="C1062" i="94" s="1"/>
  <c r="G47" i="74"/>
  <c r="G1062" i="94" s="1"/>
  <c r="H47" i="74"/>
  <c r="H1062" i="94" s="1"/>
  <c r="J47" i="74"/>
  <c r="J1062" i="94" s="1"/>
  <c r="K47" i="74"/>
  <c r="K1062" i="94" s="1"/>
  <c r="D79" i="74"/>
  <c r="D1094" i="94" s="1"/>
  <c r="G79" i="74"/>
  <c r="G1094" i="94" s="1"/>
  <c r="H79" i="74"/>
  <c r="H1094" i="94" s="1"/>
  <c r="J79" i="74"/>
  <c r="J1094" i="94" s="1"/>
  <c r="K79" i="74"/>
  <c r="K1094" i="94" s="1"/>
  <c r="B109" i="74"/>
  <c r="B1124" i="94" s="1"/>
  <c r="D109" i="74"/>
  <c r="D1124" i="94" s="1"/>
  <c r="E109" i="74"/>
  <c r="E1124" i="94" s="1"/>
  <c r="C109" i="74"/>
  <c r="C1124" i="94" s="1"/>
  <c r="F109" i="74"/>
  <c r="F1124" i="94" s="1"/>
  <c r="E52" i="84"/>
  <c r="G52" i="84"/>
  <c r="I52" i="84"/>
  <c r="K52" i="84"/>
  <c r="E1029" i="94"/>
  <c r="G1029" i="94"/>
  <c r="F1123" i="94"/>
  <c r="E1123" i="94"/>
  <c r="B1123" i="94"/>
  <c r="J1093" i="94"/>
  <c r="G1093" i="94"/>
  <c r="K1061" i="94"/>
  <c r="H1061" i="94"/>
  <c r="F1061" i="94"/>
  <c r="D1061" i="94"/>
  <c r="I1093" i="94"/>
  <c r="E1093" i="94"/>
  <c r="B1093" i="94"/>
  <c r="B1061" i="94"/>
  <c r="H1029" i="94"/>
  <c r="F1029" i="94"/>
  <c r="J1029" i="94"/>
  <c r="C1029" i="94"/>
  <c r="D1029" i="94"/>
  <c r="P52" i="68"/>
  <c r="P429" i="94"/>
  <c r="C1056" i="94"/>
  <c r="C995" i="93"/>
  <c r="D41" i="74"/>
  <c r="D1055" i="94"/>
  <c r="D994" i="93"/>
  <c r="E40" i="74"/>
  <c r="E11" i="86"/>
  <c r="C1054" i="94"/>
  <c r="C993" i="93"/>
  <c r="D39" i="74"/>
  <c r="I77" i="84"/>
  <c r="K77" i="84"/>
  <c r="D10" i="86"/>
  <c r="C80" i="84"/>
  <c r="C81" i="84"/>
  <c r="E77" i="84"/>
  <c r="G77" i="84"/>
  <c r="B992" i="93" l="1"/>
  <c r="G984" i="93"/>
  <c r="G986" i="93" s="1"/>
  <c r="G1045" i="94"/>
  <c r="G53" i="82"/>
  <c r="H1099" i="94"/>
  <c r="J1099" i="94"/>
  <c r="E1099" i="94"/>
  <c r="H1067" i="94"/>
  <c r="E1035" i="94"/>
  <c r="K1099" i="94"/>
  <c r="J1067" i="94"/>
  <c r="C1067" i="94"/>
  <c r="G1035" i="94"/>
  <c r="I1099" i="94"/>
  <c r="B1099" i="94"/>
  <c r="D1067" i="94"/>
  <c r="D1035" i="94"/>
  <c r="F1129" i="94"/>
  <c r="G1099" i="94"/>
  <c r="G1067" i="94"/>
  <c r="B1067" i="94"/>
  <c r="D1129" i="94"/>
  <c r="K1067" i="94"/>
  <c r="K1035" i="94"/>
  <c r="F1035" i="94"/>
  <c r="E1129" i="94"/>
  <c r="D1099" i="94"/>
  <c r="F1067" i="94"/>
  <c r="J1035" i="94"/>
  <c r="B1129" i="94"/>
  <c r="F1099" i="94"/>
  <c r="I1067" i="94"/>
  <c r="H1035" i="94"/>
  <c r="C1035" i="94"/>
  <c r="C1129" i="94"/>
  <c r="C1099" i="94"/>
  <c r="E1067" i="94"/>
  <c r="I1035" i="94"/>
  <c r="E80" i="74"/>
  <c r="E1095" i="94" s="1"/>
  <c r="I80" i="74"/>
  <c r="I1095" i="94" s="1"/>
  <c r="K13" i="84"/>
  <c r="H16" i="85"/>
  <c r="G134" i="78"/>
  <c r="P479" i="93"/>
  <c r="F1163" i="93"/>
  <c r="M1227" i="94"/>
  <c r="P72" i="75"/>
  <c r="P71" i="75"/>
  <c r="I71" i="75" s="1"/>
  <c r="I833" i="94" s="1"/>
  <c r="H69" i="73"/>
  <c r="P63" i="73" s="1"/>
  <c r="D16" i="74"/>
  <c r="D1031" i="94" s="1"/>
  <c r="B1031" i="94"/>
  <c r="C16" i="74"/>
  <c r="C1031" i="94" s="1"/>
  <c r="C54" i="84"/>
  <c r="C56" i="84" s="1"/>
  <c r="C64" i="84" s="1"/>
  <c r="C70" i="84" s="1"/>
  <c r="C76" i="84" s="1"/>
  <c r="C73" i="84" s="1"/>
  <c r="B48" i="74"/>
  <c r="B1063" i="94" s="1"/>
  <c r="H1227" i="94"/>
  <c r="J16" i="74"/>
  <c r="J1031" i="94" s="1"/>
  <c r="F16" i="74"/>
  <c r="F1031" i="94" s="1"/>
  <c r="H16" i="74"/>
  <c r="H1031" i="94" s="1"/>
  <c r="M69" i="73"/>
  <c r="M1163" i="93" s="1"/>
  <c r="M937" i="93"/>
  <c r="P937" i="93"/>
  <c r="P947" i="93"/>
  <c r="E66" i="84"/>
  <c r="I66" i="84"/>
  <c r="G66" i="84"/>
  <c r="K66" i="84"/>
  <c r="H48" i="74"/>
  <c r="H1063" i="94" s="1"/>
  <c r="K48" i="74"/>
  <c r="K1063" i="94" s="1"/>
  <c r="G80" i="74"/>
  <c r="G1095" i="94" s="1"/>
  <c r="G16" i="74"/>
  <c r="G1031" i="94" s="1"/>
  <c r="F22" i="74"/>
  <c r="F38" i="74" s="1"/>
  <c r="F1053" i="94" s="1"/>
  <c r="H22" i="74"/>
  <c r="H38" i="74" s="1"/>
  <c r="H1053" i="94" s="1"/>
  <c r="J22" i="74"/>
  <c r="J38" i="74" s="1"/>
  <c r="J1053" i="94" s="1"/>
  <c r="K22" i="74"/>
  <c r="K38" i="74" s="1"/>
  <c r="K1053" i="94" s="1"/>
  <c r="B1037" i="94"/>
  <c r="C13" i="86"/>
  <c r="G22" i="74"/>
  <c r="G38" i="74" s="1"/>
  <c r="G1053" i="94" s="1"/>
  <c r="I22" i="74"/>
  <c r="I38" i="74" s="1"/>
  <c r="I1053" i="94" s="1"/>
  <c r="D54" i="74"/>
  <c r="D70" i="74" s="1"/>
  <c r="D1085" i="94" s="1"/>
  <c r="E54" i="74"/>
  <c r="E70" i="74" s="1"/>
  <c r="E1085" i="94" s="1"/>
  <c r="G54" i="74"/>
  <c r="G70" i="74" s="1"/>
  <c r="G1085" i="94" s="1"/>
  <c r="I54" i="74"/>
  <c r="I70" i="74" s="1"/>
  <c r="I1085" i="94" s="1"/>
  <c r="J54" i="74"/>
  <c r="J70" i="74" s="1"/>
  <c r="J1085" i="94" s="1"/>
  <c r="K54" i="74"/>
  <c r="K70" i="74" s="1"/>
  <c r="K1085" i="94" s="1"/>
  <c r="C86" i="74"/>
  <c r="C1101" i="94" s="1"/>
  <c r="F86" i="74"/>
  <c r="F1101" i="94" s="1"/>
  <c r="G86" i="74"/>
  <c r="G1101" i="94" s="1"/>
  <c r="I86" i="74"/>
  <c r="I1101" i="94" s="1"/>
  <c r="K86" i="74"/>
  <c r="K1101" i="94" s="1"/>
  <c r="B116" i="74"/>
  <c r="B1131" i="94" s="1"/>
  <c r="E116" i="74"/>
  <c r="E1131" i="94" s="1"/>
  <c r="C22" i="74"/>
  <c r="C38" i="74" s="1"/>
  <c r="C1053" i="94" s="1"/>
  <c r="E22" i="74"/>
  <c r="E38" i="74" s="1"/>
  <c r="E1053" i="94" s="1"/>
  <c r="D22" i="74"/>
  <c r="D38" i="74" s="1"/>
  <c r="D1053" i="94" s="1"/>
  <c r="B54" i="74"/>
  <c r="B70" i="74" s="1"/>
  <c r="B1085" i="94" s="1"/>
  <c r="C54" i="74"/>
  <c r="C70" i="74" s="1"/>
  <c r="C1085" i="94" s="1"/>
  <c r="F54" i="74"/>
  <c r="F70" i="74" s="1"/>
  <c r="F1085" i="94" s="1"/>
  <c r="H54" i="74"/>
  <c r="H70" i="74" s="1"/>
  <c r="H1085" i="94" s="1"/>
  <c r="B86" i="74"/>
  <c r="B1101" i="94" s="1"/>
  <c r="D86" i="74"/>
  <c r="D1101" i="94" s="1"/>
  <c r="E86" i="74"/>
  <c r="E1101" i="94" s="1"/>
  <c r="H86" i="74"/>
  <c r="H1101" i="94" s="1"/>
  <c r="J86" i="74"/>
  <c r="J1101" i="94" s="1"/>
  <c r="C116" i="74"/>
  <c r="C1131" i="94" s="1"/>
  <c r="D116" i="74"/>
  <c r="D1131" i="94" s="1"/>
  <c r="F116" i="74"/>
  <c r="F1131" i="94" s="1"/>
  <c r="M993" i="94"/>
  <c r="P993" i="94"/>
  <c r="H1163" i="93"/>
  <c r="M590" i="93"/>
  <c r="M591" i="93" s="1"/>
  <c r="M593" i="93" s="1"/>
  <c r="J44" i="78"/>
  <c r="J480" i="93"/>
  <c r="J489" i="94"/>
  <c r="F44" i="78"/>
  <c r="F489" i="94"/>
  <c r="F480" i="93"/>
  <c r="P599" i="94"/>
  <c r="P600" i="94" s="1"/>
  <c r="P602" i="94" s="1"/>
  <c r="J590" i="93"/>
  <c r="J591" i="93" s="1"/>
  <c r="J593" i="93" s="1"/>
  <c r="P590" i="93"/>
  <c r="P591" i="93" s="1"/>
  <c r="P593" i="93" s="1"/>
  <c r="J599" i="94"/>
  <c r="J600" i="94" s="1"/>
  <c r="J602" i="94" s="1"/>
  <c r="J154" i="78"/>
  <c r="J155" i="78" s="1"/>
  <c r="M154" i="78"/>
  <c r="M155" i="78" s="1"/>
  <c r="M157" i="78" s="1"/>
  <c r="P154" i="78"/>
  <c r="P155" i="78" s="1"/>
  <c r="P157" i="78" s="1"/>
  <c r="I7" i="88"/>
  <c r="I13" i="88" s="1"/>
  <c r="H12" i="88"/>
  <c r="D34" i="90" s="1"/>
  <c r="H20" i="84"/>
  <c r="C20" i="84"/>
  <c r="P56" i="72"/>
  <c r="L1606" i="93"/>
  <c r="P1654" i="94"/>
  <c r="P2099" i="94"/>
  <c r="H293" i="72"/>
  <c r="O155" i="72"/>
  <c r="I48" i="75"/>
  <c r="I49" i="75"/>
  <c r="C13" i="84"/>
  <c r="O2081" i="94"/>
  <c r="O2082" i="94" s="1"/>
  <c r="O2075" i="94"/>
  <c r="O2076" i="94" s="1"/>
  <c r="N1625" i="94"/>
  <c r="M1467" i="94"/>
  <c r="L1467" i="94" s="1"/>
  <c r="M1464" i="94"/>
  <c r="L1464" i="94" s="1"/>
  <c r="E492" i="94"/>
  <c r="F569" i="94"/>
  <c r="N113" i="94"/>
  <c r="N90" i="66"/>
  <c r="L1951" i="93"/>
  <c r="E514" i="93"/>
  <c r="M309" i="73"/>
  <c r="E47" i="78"/>
  <c r="J231" i="75"/>
  <c r="N94" i="93"/>
  <c r="O1975" i="93"/>
  <c r="O1976" i="93" s="1"/>
  <c r="D134" i="78"/>
  <c r="J232" i="75"/>
  <c r="O433" i="72"/>
  <c r="O434" i="72" s="1"/>
  <c r="O1385" i="94"/>
  <c r="D579" i="94"/>
  <c r="E523" i="94"/>
  <c r="N110" i="94"/>
  <c r="O227" i="73"/>
  <c r="N467" i="73"/>
  <c r="D570" i="93"/>
  <c r="F124" i="78"/>
  <c r="E78" i="78"/>
  <c r="O427" i="72"/>
  <c r="O428" i="72" s="1"/>
  <c r="J233" i="75"/>
  <c r="N87" i="66"/>
  <c r="F560" i="93"/>
  <c r="O1980" i="93"/>
  <c r="O1981" i="93" s="1"/>
  <c r="M306" i="73"/>
  <c r="E483" i="93"/>
  <c r="J1836" i="93"/>
  <c r="L1836" i="93" s="1"/>
  <c r="N97" i="93"/>
  <c r="M1962" i="93"/>
  <c r="J43" i="78"/>
  <c r="N223" i="75"/>
  <c r="N222" i="75"/>
  <c r="J479" i="93"/>
  <c r="J488" i="94"/>
  <c r="N470" i="73"/>
  <c r="O470" i="73" s="1"/>
  <c r="P228" i="75"/>
  <c r="M226" i="75" s="1"/>
  <c r="N1628" i="94"/>
  <c r="O1628" i="94" s="1"/>
  <c r="O227" i="75"/>
  <c r="F54" i="89"/>
  <c r="D33" i="90" s="1"/>
  <c r="O56" i="72"/>
  <c r="K1606" i="93"/>
  <c r="J80" i="74"/>
  <c r="J1095" i="94" s="1"/>
  <c r="F110" i="74"/>
  <c r="F1125" i="94" s="1"/>
  <c r="B80" i="74"/>
  <c r="B1095" i="94" s="1"/>
  <c r="D48" i="74"/>
  <c r="D1063" i="94" s="1"/>
  <c r="F48" i="74"/>
  <c r="F1063" i="94" s="1"/>
  <c r="E16" i="74"/>
  <c r="E1031" i="94" s="1"/>
  <c r="B110" i="74"/>
  <c r="B1125" i="94" s="1"/>
  <c r="E110" i="74"/>
  <c r="K7" i="74"/>
  <c r="J4" i="91"/>
  <c r="K5" i="74"/>
  <c r="F19" i="74"/>
  <c r="E83" i="74"/>
  <c r="G53" i="84"/>
  <c r="G54" i="84" s="1"/>
  <c r="I53" i="84"/>
  <c r="I54" i="84" s="1"/>
  <c r="K53" i="84"/>
  <c r="K54" i="84" s="1"/>
  <c r="E53" i="84"/>
  <c r="E54" i="84" s="1"/>
  <c r="I16" i="74"/>
  <c r="J48" i="74"/>
  <c r="J1063" i="94" s="1"/>
  <c r="F80" i="74"/>
  <c r="F1095" i="94" s="1"/>
  <c r="C48" i="74"/>
  <c r="C1063" i="94" s="1"/>
  <c r="G48" i="74"/>
  <c r="G1063" i="94" s="1"/>
  <c r="K80" i="74"/>
  <c r="K1095" i="94" s="1"/>
  <c r="B991" i="93"/>
  <c r="B987" i="93"/>
  <c r="B1034" i="94"/>
  <c r="B1039" i="94" s="1"/>
  <c r="B24" i="74"/>
  <c r="B31" i="74" s="1"/>
  <c r="K16" i="74"/>
  <c r="K1031" i="94" s="1"/>
  <c r="C80" i="74"/>
  <c r="C1095" i="94" s="1"/>
  <c r="E48" i="74"/>
  <c r="E1063" i="94" s="1"/>
  <c r="I48" i="74"/>
  <c r="I1063" i="94" s="1"/>
  <c r="D80" i="74"/>
  <c r="D1095" i="94" s="1"/>
  <c r="H80" i="74"/>
  <c r="H1095" i="94" s="1"/>
  <c r="C110" i="74"/>
  <c r="C1125" i="94" s="1"/>
  <c r="D110" i="74"/>
  <c r="D1125" i="94" s="1"/>
  <c r="D1056" i="94"/>
  <c r="D995" i="93"/>
  <c r="E41" i="74"/>
  <c r="F12" i="86" s="1"/>
  <c r="E12" i="86"/>
  <c r="E1055" i="94"/>
  <c r="E994" i="93"/>
  <c r="F40" i="74"/>
  <c r="F11" i="86"/>
  <c r="D1054" i="94"/>
  <c r="D993" i="93"/>
  <c r="E39" i="74"/>
  <c r="E10" i="86"/>
  <c r="C101" i="74" l="1"/>
  <c r="C1116" i="94" s="1"/>
  <c r="C131" i="74"/>
  <c r="C1146" i="94" s="1"/>
  <c r="F101" i="74"/>
  <c r="F1116" i="94" s="1"/>
  <c r="B131" i="74"/>
  <c r="B1146" i="94" s="1"/>
  <c r="D101" i="74"/>
  <c r="D1116" i="94" s="1"/>
  <c r="E131" i="74"/>
  <c r="E1146" i="94" s="1"/>
  <c r="D131" i="74"/>
  <c r="D1146" i="94" s="1"/>
  <c r="G101" i="74"/>
  <c r="G1116" i="94" s="1"/>
  <c r="F131" i="74"/>
  <c r="F1146" i="94" s="1"/>
  <c r="B101" i="74"/>
  <c r="B1116" i="94" s="1"/>
  <c r="I101" i="74"/>
  <c r="I1116" i="94" s="1"/>
  <c r="K101" i="74"/>
  <c r="K1116" i="94" s="1"/>
  <c r="E101" i="74"/>
  <c r="E1116" i="94" s="1"/>
  <c r="J101" i="74"/>
  <c r="J1116" i="94" s="1"/>
  <c r="H101" i="74"/>
  <c r="H1116" i="94" s="1"/>
  <c r="H1045" i="94"/>
  <c r="H984" i="93"/>
  <c r="H986" i="93" s="1"/>
  <c r="H53" i="82"/>
  <c r="K51" i="74"/>
  <c r="K56" i="74" s="1"/>
  <c r="K64" i="82" s="1"/>
  <c r="I83" i="74"/>
  <c r="F51" i="74"/>
  <c r="F1066" i="94" s="1"/>
  <c r="B113" i="74"/>
  <c r="B1128" i="94" s="1"/>
  <c r="B1133" i="94" s="1"/>
  <c r="C72" i="84"/>
  <c r="J83" i="74"/>
  <c r="J1098" i="94" s="1"/>
  <c r="J1103" i="94" s="1"/>
  <c r="G19" i="74"/>
  <c r="G24" i="74" s="1"/>
  <c r="J19" i="74"/>
  <c r="J1034" i="94" s="1"/>
  <c r="K1066" i="94"/>
  <c r="G83" i="74"/>
  <c r="G1098" i="94" s="1"/>
  <c r="G1103" i="94" s="1"/>
  <c r="C19" i="74"/>
  <c r="C24" i="74" s="1"/>
  <c r="F56" i="74"/>
  <c r="F65" i="74" s="1"/>
  <c r="F1080" i="94" s="1"/>
  <c r="B51" i="74"/>
  <c r="B1066" i="94" s="1"/>
  <c r="D19" i="74"/>
  <c r="I56" i="84"/>
  <c r="I64" i="84" s="1"/>
  <c r="I70" i="84" s="1"/>
  <c r="I76" i="84" s="1"/>
  <c r="I73" i="84" s="1"/>
  <c r="G51" i="74"/>
  <c r="G56" i="74" s="1"/>
  <c r="G56" i="84"/>
  <c r="G64" i="84" s="1"/>
  <c r="G70" i="84" s="1"/>
  <c r="G72" i="84" s="1"/>
  <c r="E19" i="74"/>
  <c r="E1034" i="94" s="1"/>
  <c r="D51" i="74"/>
  <c r="D1066" i="94" s="1"/>
  <c r="B83" i="74"/>
  <c r="B88" i="74" s="1"/>
  <c r="K83" i="74"/>
  <c r="K88" i="74" s="1"/>
  <c r="C51" i="74"/>
  <c r="C56" i="74" s="1"/>
  <c r="J51" i="74"/>
  <c r="J56" i="74" s="1"/>
  <c r="F113" i="74"/>
  <c r="F118" i="74" s="1"/>
  <c r="H51" i="74"/>
  <c r="H1066" i="94" s="1"/>
  <c r="H19" i="74"/>
  <c r="H24" i="74" s="1"/>
  <c r="C53" i="86"/>
  <c r="F1069" i="94"/>
  <c r="F1071" i="94" s="1"/>
  <c r="F33" i="86"/>
  <c r="B1069" i="94"/>
  <c r="E1037" i="94"/>
  <c r="F13" i="86"/>
  <c r="J1069" i="94"/>
  <c r="G53" i="86"/>
  <c r="G1069" i="94"/>
  <c r="D53" i="86"/>
  <c r="D1069" i="94"/>
  <c r="H33" i="86"/>
  <c r="G1037" i="94"/>
  <c r="H13" i="86"/>
  <c r="J1037" i="94"/>
  <c r="D33" i="86"/>
  <c r="F1037" i="94"/>
  <c r="G13" i="86"/>
  <c r="P1221" i="94"/>
  <c r="K13" i="88"/>
  <c r="J607" i="94"/>
  <c r="J598" i="93"/>
  <c r="P1157" i="93"/>
  <c r="J162" i="78"/>
  <c r="E53" i="86"/>
  <c r="H1069" i="94"/>
  <c r="G33" i="86"/>
  <c r="C1069" i="94"/>
  <c r="D1037" i="94"/>
  <c r="E13" i="86"/>
  <c r="C1037" i="94"/>
  <c r="D13" i="86"/>
  <c r="K1069" i="94"/>
  <c r="K1071" i="94" s="1"/>
  <c r="H53" i="86"/>
  <c r="I1069" i="94"/>
  <c r="F53" i="86"/>
  <c r="E1069" i="94"/>
  <c r="I33" i="86"/>
  <c r="I1037" i="94"/>
  <c r="C33" i="86"/>
  <c r="K1037" i="94"/>
  <c r="E33" i="86"/>
  <c r="I13" i="86"/>
  <c r="H1037" i="94"/>
  <c r="J594" i="93"/>
  <c r="J157" i="78"/>
  <c r="J158" i="78" s="1"/>
  <c r="G15" i="82"/>
  <c r="G19" i="82" s="1"/>
  <c r="K470" i="73"/>
  <c r="N469" i="73"/>
  <c r="N1627" i="94"/>
  <c r="K1628" i="94"/>
  <c r="O153" i="72"/>
  <c r="O1803" i="94"/>
  <c r="O1709" i="93"/>
  <c r="D55" i="92"/>
  <c r="D35" i="90"/>
  <c r="I64" i="92" s="1"/>
  <c r="O1704" i="94"/>
  <c r="O55" i="72"/>
  <c r="O1606" i="93"/>
  <c r="M1395" i="93"/>
  <c r="L1395" i="93" s="1"/>
  <c r="L306" i="73"/>
  <c r="L309" i="73"/>
  <c r="M1399" i="93"/>
  <c r="L1399" i="93" s="1"/>
  <c r="D17" i="83"/>
  <c r="F52" i="89"/>
  <c r="F16" i="85"/>
  <c r="K19" i="88"/>
  <c r="H19" i="84"/>
  <c r="C19" i="84"/>
  <c r="H1941" i="94"/>
  <c r="P293" i="72"/>
  <c r="O293" i="72"/>
  <c r="P55" i="72"/>
  <c r="P1606" i="93"/>
  <c r="E1125" i="94"/>
  <c r="E113" i="74"/>
  <c r="B44" i="82"/>
  <c r="B37" i="74"/>
  <c r="B1052" i="94" s="1"/>
  <c r="B33" i="74"/>
  <c r="B1048" i="94" s="1"/>
  <c r="K65" i="74"/>
  <c r="K1080" i="94" s="1"/>
  <c r="K69" i="74"/>
  <c r="K1084" i="94" s="1"/>
  <c r="C113" i="74"/>
  <c r="H83" i="74"/>
  <c r="I51" i="74"/>
  <c r="E51" i="74"/>
  <c r="F83" i="74"/>
  <c r="C83" i="74"/>
  <c r="K19" i="74"/>
  <c r="E56" i="84"/>
  <c r="E64" i="84" s="1"/>
  <c r="E70" i="84" s="1"/>
  <c r="F1034" i="94"/>
  <c r="F24" i="74"/>
  <c r="D113" i="74"/>
  <c r="D83" i="74"/>
  <c r="I1031" i="94"/>
  <c r="I19" i="74"/>
  <c r="K56" i="84"/>
  <c r="K64" i="84" s="1"/>
  <c r="K70" i="84" s="1"/>
  <c r="H56" i="74"/>
  <c r="E1098" i="94"/>
  <c r="E1103" i="94" s="1"/>
  <c r="E88" i="74"/>
  <c r="C1034" i="94"/>
  <c r="C1039" i="94" s="1"/>
  <c r="E1056" i="94"/>
  <c r="E995" i="93"/>
  <c r="F41" i="74"/>
  <c r="G12" i="86" s="1"/>
  <c r="F1055" i="94"/>
  <c r="F994" i="93"/>
  <c r="G40" i="74"/>
  <c r="G11" i="86"/>
  <c r="E1054" i="94"/>
  <c r="E993" i="93"/>
  <c r="F39" i="74"/>
  <c r="F10" i="86"/>
  <c r="I53" i="82" l="1"/>
  <c r="I1045" i="94"/>
  <c r="I984" i="93"/>
  <c r="I986" i="93" s="1"/>
  <c r="C1066" i="94"/>
  <c r="C1071" i="94" s="1"/>
  <c r="H1034" i="94"/>
  <c r="H1039" i="94" s="1"/>
  <c r="F1128" i="94"/>
  <c r="F1133" i="94" s="1"/>
  <c r="B1098" i="94"/>
  <c r="B1103" i="94" s="1"/>
  <c r="G1066" i="94"/>
  <c r="G1071" i="94" s="1"/>
  <c r="E24" i="74"/>
  <c r="E44" i="82" s="1"/>
  <c r="B118" i="74"/>
  <c r="B130" i="74" s="1"/>
  <c r="B1145" i="94" s="1"/>
  <c r="J88" i="74"/>
  <c r="I88" i="74"/>
  <c r="I1098" i="94"/>
  <c r="I1103" i="94" s="1"/>
  <c r="B126" i="74"/>
  <c r="B1141" i="94" s="1"/>
  <c r="J1066" i="94"/>
  <c r="K1098" i="94"/>
  <c r="K1103" i="94" s="1"/>
  <c r="E1039" i="94"/>
  <c r="H1071" i="94"/>
  <c r="G88" i="74"/>
  <c r="G96" i="74" s="1"/>
  <c r="G1111" i="94" s="1"/>
  <c r="F69" i="74"/>
  <c r="F1084" i="94" s="1"/>
  <c r="J24" i="74"/>
  <c r="J1039" i="94"/>
  <c r="G37" i="74"/>
  <c r="G1052" i="94" s="1"/>
  <c r="G32" i="74"/>
  <c r="G1047" i="94" s="1"/>
  <c r="G44" i="82"/>
  <c r="G51" i="82" s="1"/>
  <c r="G33" i="74"/>
  <c r="G1048" i="94" s="1"/>
  <c r="G76" i="84"/>
  <c r="G73" i="84" s="1"/>
  <c r="F1039" i="94"/>
  <c r="J1071" i="94"/>
  <c r="G1034" i="94"/>
  <c r="G1039" i="94" s="1"/>
  <c r="D56" i="74"/>
  <c r="D65" i="74" s="1"/>
  <c r="D1080" i="94" s="1"/>
  <c r="F64" i="82"/>
  <c r="F66" i="82" s="1"/>
  <c r="I72" i="84"/>
  <c r="B1071" i="94"/>
  <c r="D1071" i="94"/>
  <c r="B56" i="74"/>
  <c r="D24" i="74"/>
  <c r="D1034" i="94"/>
  <c r="D1039" i="94" s="1"/>
  <c r="G162" i="78"/>
  <c r="J608" i="94"/>
  <c r="J599" i="93"/>
  <c r="J165" i="78"/>
  <c r="J167" i="78" s="1"/>
  <c r="J603" i="94"/>
  <c r="P1605" i="93"/>
  <c r="P47" i="72"/>
  <c r="P277" i="72"/>
  <c r="P1836" i="93"/>
  <c r="I39" i="88"/>
  <c r="K38" i="88" s="1"/>
  <c r="K21" i="88"/>
  <c r="K30" i="88" s="1"/>
  <c r="K34" i="88" s="1"/>
  <c r="O1836" i="93"/>
  <c r="O1941" i="94"/>
  <c r="O277" i="72"/>
  <c r="O1605" i="93"/>
  <c r="O1703" i="94"/>
  <c r="O47" i="72"/>
  <c r="K235" i="72"/>
  <c r="O1707" i="93"/>
  <c r="O1801" i="94"/>
  <c r="E12" i="72"/>
  <c r="O189" i="72"/>
  <c r="E1128" i="94"/>
  <c r="E1133" i="94" s="1"/>
  <c r="E118" i="74"/>
  <c r="C44" i="82"/>
  <c r="C37" i="74"/>
  <c r="C1052" i="94" s="1"/>
  <c r="C33" i="74"/>
  <c r="C1048" i="94" s="1"/>
  <c r="H44" i="82"/>
  <c r="H33" i="74"/>
  <c r="H1048" i="94" s="1"/>
  <c r="H32" i="74"/>
  <c r="H37" i="74"/>
  <c r="H1052" i="94" s="1"/>
  <c r="E96" i="74"/>
  <c r="E1111" i="94" s="1"/>
  <c r="E100" i="74"/>
  <c r="E1115" i="94" s="1"/>
  <c r="H65" i="74"/>
  <c r="H1080" i="94" s="1"/>
  <c r="H64" i="82"/>
  <c r="H69" i="74"/>
  <c r="H1084" i="94" s="1"/>
  <c r="F126" i="74"/>
  <c r="F1141" i="94" s="1"/>
  <c r="F130" i="74"/>
  <c r="F1145" i="94" s="1"/>
  <c r="K76" i="84"/>
  <c r="K73" i="84" s="1"/>
  <c r="K72" i="84"/>
  <c r="D1128" i="94"/>
  <c r="D1133" i="94" s="1"/>
  <c r="D118" i="74"/>
  <c r="K1034" i="94"/>
  <c r="K1039" i="94" s="1"/>
  <c r="K24" i="74"/>
  <c r="F1098" i="94"/>
  <c r="F1103" i="94" s="1"/>
  <c r="F88" i="74"/>
  <c r="I1066" i="94"/>
  <c r="I1071" i="94" s="1"/>
  <c r="I56" i="74"/>
  <c r="C1128" i="94"/>
  <c r="C1133" i="94" s="1"/>
  <c r="C118" i="74"/>
  <c r="K71" i="82"/>
  <c r="K66" i="82"/>
  <c r="B51" i="82"/>
  <c r="B46" i="82"/>
  <c r="I1034" i="94"/>
  <c r="I1039" i="94" s="1"/>
  <c r="I24" i="74"/>
  <c r="D1098" i="94"/>
  <c r="D1103" i="94" s="1"/>
  <c r="D88" i="74"/>
  <c r="F44" i="82"/>
  <c r="F37" i="74"/>
  <c r="F1052" i="94" s="1"/>
  <c r="F33" i="74"/>
  <c r="F1048" i="94" s="1"/>
  <c r="F32" i="74"/>
  <c r="B96" i="74"/>
  <c r="B1111" i="94" s="1"/>
  <c r="B100" i="74"/>
  <c r="B1115" i="94" s="1"/>
  <c r="G100" i="74"/>
  <c r="G1115" i="94" s="1"/>
  <c r="E37" i="74"/>
  <c r="E1052" i="94" s="1"/>
  <c r="E33" i="74"/>
  <c r="E1048" i="94" s="1"/>
  <c r="E76" i="84"/>
  <c r="E73" i="84" s="1"/>
  <c r="E72" i="84"/>
  <c r="C1098" i="94"/>
  <c r="C1103" i="94" s="1"/>
  <c r="C88" i="74"/>
  <c r="E1066" i="94"/>
  <c r="E1071" i="94" s="1"/>
  <c r="E56" i="74"/>
  <c r="H1098" i="94"/>
  <c r="H1103" i="94" s="1"/>
  <c r="H88" i="74"/>
  <c r="J64" i="82"/>
  <c r="J65" i="74"/>
  <c r="J1080" i="94" s="1"/>
  <c r="J69" i="74"/>
  <c r="J1084" i="94" s="1"/>
  <c r="C65" i="74"/>
  <c r="C1080" i="94" s="1"/>
  <c r="C64" i="82"/>
  <c r="C69" i="74"/>
  <c r="C1084" i="94" s="1"/>
  <c r="G69" i="74"/>
  <c r="G1084" i="94" s="1"/>
  <c r="G65" i="74"/>
  <c r="G1080" i="94" s="1"/>
  <c r="G64" i="82"/>
  <c r="K100" i="74"/>
  <c r="K1115" i="94" s="1"/>
  <c r="K96" i="74"/>
  <c r="K1111" i="94" s="1"/>
  <c r="F1056" i="94"/>
  <c r="F995" i="93"/>
  <c r="G41" i="74"/>
  <c r="G1055" i="94"/>
  <c r="G994" i="93"/>
  <c r="H40" i="74"/>
  <c r="H11" i="86"/>
  <c r="F1054" i="94"/>
  <c r="F993" i="93"/>
  <c r="G39" i="74"/>
  <c r="G10" i="86"/>
  <c r="J1045" i="94" l="1"/>
  <c r="J984" i="93"/>
  <c r="J986" i="93" s="1"/>
  <c r="J53" i="82"/>
  <c r="H9" i="86"/>
  <c r="F71" i="82"/>
  <c r="E32" i="74"/>
  <c r="F9" i="86" s="1"/>
  <c r="F17" i="86" s="1"/>
  <c r="F18" i="86" s="1"/>
  <c r="F20" i="86" s="1"/>
  <c r="J100" i="74"/>
  <c r="J1115" i="94" s="1"/>
  <c r="J96" i="74"/>
  <c r="J1111" i="94" s="1"/>
  <c r="I96" i="74"/>
  <c r="I1111" i="94" s="1"/>
  <c r="I100" i="74"/>
  <c r="I1115" i="94" s="1"/>
  <c r="G46" i="82"/>
  <c r="J37" i="74"/>
  <c r="J1052" i="94" s="1"/>
  <c r="J33" i="74"/>
  <c r="J1048" i="94" s="1"/>
  <c r="D69" i="74"/>
  <c r="D1084" i="94" s="1"/>
  <c r="J32" i="74"/>
  <c r="J44" i="82"/>
  <c r="D64" i="82"/>
  <c r="D66" i="82" s="1"/>
  <c r="B64" i="82"/>
  <c r="B65" i="74"/>
  <c r="B1080" i="94" s="1"/>
  <c r="B69" i="74"/>
  <c r="B1084" i="94" s="1"/>
  <c r="D44" i="82"/>
  <c r="D32" i="74"/>
  <c r="D33" i="74"/>
  <c r="D1048" i="94" s="1"/>
  <c r="D37" i="74"/>
  <c r="D1052" i="94" s="1"/>
  <c r="B15" i="82"/>
  <c r="J169" i="78"/>
  <c r="J171" i="78" s="1"/>
  <c r="J610" i="94"/>
  <c r="J612" i="94" s="1"/>
  <c r="J614" i="94" s="1"/>
  <c r="J616" i="94" s="1"/>
  <c r="G607" i="94"/>
  <c r="J601" i="93"/>
  <c r="J603" i="93" s="1"/>
  <c r="J605" i="93" s="1"/>
  <c r="J607" i="93" s="1"/>
  <c r="G598" i="93"/>
  <c r="O1695" i="94"/>
  <c r="R1695" i="94" s="1"/>
  <c r="O1597" i="93"/>
  <c r="R1597" i="93" s="1"/>
  <c r="R47" i="72"/>
  <c r="O448" i="72"/>
  <c r="P1597" i="93"/>
  <c r="O1837" i="94"/>
  <c r="E13" i="72"/>
  <c r="O1743" i="93"/>
  <c r="K231" i="72"/>
  <c r="K1783" i="93" s="1"/>
  <c r="L229" i="72"/>
  <c r="L1877" i="94" s="1"/>
  <c r="K236" i="72"/>
  <c r="O1824" i="93"/>
  <c r="O1925" i="94"/>
  <c r="P1824" i="93"/>
  <c r="L236" i="72"/>
  <c r="P189" i="72"/>
  <c r="P448" i="72" s="1"/>
  <c r="E126" i="74"/>
  <c r="E1141" i="94" s="1"/>
  <c r="E130" i="74"/>
  <c r="E1145" i="94" s="1"/>
  <c r="G71" i="82"/>
  <c r="G66" i="82"/>
  <c r="J71" i="82"/>
  <c r="J66" i="82"/>
  <c r="E1047" i="94"/>
  <c r="E51" i="82"/>
  <c r="E46" i="82"/>
  <c r="F51" i="82"/>
  <c r="F46" i="82"/>
  <c r="H71" i="82"/>
  <c r="H66" i="82"/>
  <c r="I9" i="86"/>
  <c r="H1047" i="94"/>
  <c r="H51" i="82"/>
  <c r="H46" i="82"/>
  <c r="C51" i="82"/>
  <c r="C46" i="82"/>
  <c r="C71" i="82"/>
  <c r="C66" i="82"/>
  <c r="H100" i="74"/>
  <c r="H1115" i="94" s="1"/>
  <c r="H96" i="74"/>
  <c r="H1111" i="94" s="1"/>
  <c r="E64" i="82"/>
  <c r="E65" i="74"/>
  <c r="E1080" i="94" s="1"/>
  <c r="E69" i="74"/>
  <c r="E1084" i="94" s="1"/>
  <c r="C96" i="74"/>
  <c r="C1111" i="94" s="1"/>
  <c r="C100" i="74"/>
  <c r="C1115" i="94" s="1"/>
  <c r="F1047" i="94"/>
  <c r="G9" i="86"/>
  <c r="G17" i="86" s="1"/>
  <c r="G18" i="86" s="1"/>
  <c r="G20" i="86" s="1"/>
  <c r="D96" i="74"/>
  <c r="D1111" i="94" s="1"/>
  <c r="D100" i="74"/>
  <c r="D1115" i="94" s="1"/>
  <c r="I44" i="82"/>
  <c r="I37" i="74"/>
  <c r="I1052" i="94" s="1"/>
  <c r="I32" i="74"/>
  <c r="I33" i="74"/>
  <c r="I1048" i="94" s="1"/>
  <c r="C126" i="74"/>
  <c r="C1141" i="94" s="1"/>
  <c r="C130" i="74"/>
  <c r="C1145" i="94" s="1"/>
  <c r="I65" i="74"/>
  <c r="I1080" i="94" s="1"/>
  <c r="I64" i="82"/>
  <c r="I69" i="74"/>
  <c r="I1084" i="94" s="1"/>
  <c r="F96" i="74"/>
  <c r="F1111" i="94" s="1"/>
  <c r="F100" i="74"/>
  <c r="F1115" i="94" s="1"/>
  <c r="K44" i="82"/>
  <c r="K33" i="74"/>
  <c r="K1048" i="94" s="1"/>
  <c r="K32" i="74"/>
  <c r="K37" i="74"/>
  <c r="K1052" i="94" s="1"/>
  <c r="D126" i="74"/>
  <c r="D1141" i="94" s="1"/>
  <c r="D130" i="74"/>
  <c r="D1145" i="94" s="1"/>
  <c r="G1056" i="94"/>
  <c r="G995" i="93"/>
  <c r="H41" i="74"/>
  <c r="H12" i="86"/>
  <c r="H1055" i="94"/>
  <c r="H994" i="93"/>
  <c r="I40" i="74"/>
  <c r="I11" i="86"/>
  <c r="G1054" i="94"/>
  <c r="G993" i="93"/>
  <c r="H39" i="74"/>
  <c r="H10" i="86"/>
  <c r="M173" i="78" l="1"/>
  <c r="J175" i="78"/>
  <c r="K53" i="82"/>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986" i="93" s="1"/>
  <c r="H17" i="86"/>
  <c r="H18" i="86" s="1"/>
  <c r="H20" i="86" s="1"/>
  <c r="J620" i="94"/>
  <c r="E544" i="94" s="1"/>
  <c r="J544" i="94" s="1"/>
  <c r="M618" i="94"/>
  <c r="J611" i="93"/>
  <c r="E535" i="93" s="1"/>
  <c r="J535" i="93" s="1"/>
  <c r="M609" i="93"/>
  <c r="D71" i="82"/>
  <c r="D29" i="86"/>
  <c r="J1047" i="94"/>
  <c r="J51" i="82"/>
  <c r="J46" i="82"/>
  <c r="D1047" i="94"/>
  <c r="E9" i="86"/>
  <c r="E17" i="86" s="1"/>
  <c r="E18" i="86" s="1"/>
  <c r="E20" i="86" s="1"/>
  <c r="B66" i="82"/>
  <c r="B71" i="82"/>
  <c r="D46" i="82"/>
  <c r="D51" i="82"/>
  <c r="P6" i="72"/>
  <c r="P451" i="72"/>
  <c r="O2096" i="94"/>
  <c r="O1654" i="94" s="1"/>
  <c r="O6" i="72"/>
  <c r="R1995" i="93"/>
  <c r="P1743" i="93"/>
  <c r="P1995" i="93" s="1"/>
  <c r="L231" i="72"/>
  <c r="L1783" i="93" s="1"/>
  <c r="O1995" i="93"/>
  <c r="O1560" i="93" s="1"/>
  <c r="K1047" i="94"/>
  <c r="E29" i="86"/>
  <c r="K51" i="82"/>
  <c r="K46" i="82"/>
  <c r="I71" i="82"/>
  <c r="I66" i="82"/>
  <c r="I1047" i="94"/>
  <c r="C29" i="86"/>
  <c r="I51" i="82"/>
  <c r="I46" i="82"/>
  <c r="E71" i="82"/>
  <c r="E66" i="82"/>
  <c r="H1056" i="94"/>
  <c r="H995" i="93"/>
  <c r="I41" i="74"/>
  <c r="I12" i="86"/>
  <c r="I1055" i="94"/>
  <c r="I994" i="93"/>
  <c r="J40" i="74"/>
  <c r="D31" i="86" s="1"/>
  <c r="C31" i="86"/>
  <c r="H1054" i="94"/>
  <c r="H993" i="93"/>
  <c r="I39" i="74"/>
  <c r="I10" i="86"/>
  <c r="L426" i="94" l="1"/>
  <c r="N426" i="94" s="1"/>
  <c r="L50" i="68"/>
  <c r="N50" i="68" s="1"/>
  <c r="I20" i="93"/>
  <c r="E99" i="78"/>
  <c r="J99" i="78" s="1"/>
  <c r="L412" i="93"/>
  <c r="N412" i="93" s="1"/>
  <c r="C21" i="86"/>
  <c r="I9" i="66"/>
  <c r="I32" i="94" s="1"/>
  <c r="M61" i="85"/>
  <c r="P61" i="85" s="1"/>
  <c r="L427" i="94"/>
  <c r="N427" i="94" s="1"/>
  <c r="L413" i="93"/>
  <c r="N413" i="93" s="1"/>
  <c r="L49" i="68"/>
  <c r="B1014" i="93"/>
  <c r="B1016" i="93" s="1"/>
  <c r="B73" i="82"/>
  <c r="B64" i="74"/>
  <c r="P1560" i="93"/>
  <c r="P1998" i="93"/>
  <c r="B25" i="82"/>
  <c r="C52" i="82" s="1"/>
  <c r="C54" i="82" s="1"/>
  <c r="C55" i="82" s="1"/>
  <c r="C56" i="82" s="1"/>
  <c r="I17" i="86"/>
  <c r="I18" i="86" s="1"/>
  <c r="I20" i="86" s="1"/>
  <c r="I1056" i="94"/>
  <c r="I995" i="93"/>
  <c r="J41" i="74"/>
  <c r="C32" i="86"/>
  <c r="J1055" i="94"/>
  <c r="J994" i="93"/>
  <c r="K40" i="74"/>
  <c r="I1054" i="94"/>
  <c r="I993" i="93"/>
  <c r="J39" i="74"/>
  <c r="C30" i="86"/>
  <c r="C41" i="86" l="1"/>
  <c r="D41" i="86" s="1"/>
  <c r="E41" i="86" s="1"/>
  <c r="C22" i="86"/>
  <c r="C42" i="86" s="1"/>
  <c r="D42" i="86" s="1"/>
  <c r="E42" i="86" s="1"/>
  <c r="D21" i="86"/>
  <c r="B14" i="82"/>
  <c r="N49" i="68"/>
  <c r="C73" i="82"/>
  <c r="C1014" i="93"/>
  <c r="C1016" i="93" s="1"/>
  <c r="C64" i="74"/>
  <c r="F29" i="86"/>
  <c r="B1079" i="94"/>
  <c r="H52" i="82"/>
  <c r="H54" i="82" s="1"/>
  <c r="H55" i="82" s="1"/>
  <c r="H56" i="82" s="1"/>
  <c r="C72" i="82"/>
  <c r="C74" i="82" s="1"/>
  <c r="C75" i="82" s="1"/>
  <c r="C76" i="82" s="1"/>
  <c r="B72" i="82"/>
  <c r="B74" i="82" s="1"/>
  <c r="B75" i="82" s="1"/>
  <c r="B76" i="82" s="1"/>
  <c r="J52" i="82"/>
  <c r="J54" i="82" s="1"/>
  <c r="J55" i="82" s="1"/>
  <c r="J56" i="82" s="1"/>
  <c r="B26" i="82"/>
  <c r="B9" i="82" s="1"/>
  <c r="B10" i="82" s="1"/>
  <c r="B11" i="82" s="1"/>
  <c r="I72" i="82"/>
  <c r="E72" i="82"/>
  <c r="K72" i="82"/>
  <c r="F72" i="82"/>
  <c r="E52" i="82"/>
  <c r="E54" i="82" s="1"/>
  <c r="E55" i="82" s="1"/>
  <c r="E56" i="82" s="1"/>
  <c r="D52" i="82"/>
  <c r="D54" i="82" s="1"/>
  <c r="D55" i="82" s="1"/>
  <c r="D56" i="82" s="1"/>
  <c r="I52" i="82"/>
  <c r="I54" i="82" s="1"/>
  <c r="I55" i="82" s="1"/>
  <c r="I56" i="82" s="1"/>
  <c r="F52" i="82"/>
  <c r="F54" i="82" s="1"/>
  <c r="F55" i="82" s="1"/>
  <c r="F56" i="82" s="1"/>
  <c r="H72" i="82"/>
  <c r="B52" i="82"/>
  <c r="B54" i="82" s="1"/>
  <c r="B55" i="82" s="1"/>
  <c r="B56" i="82" s="1"/>
  <c r="J72" i="82"/>
  <c r="D72" i="82"/>
  <c r="G52" i="82"/>
  <c r="G54" i="82" s="1"/>
  <c r="G55" i="82" s="1"/>
  <c r="G56" i="82" s="1"/>
  <c r="G72" i="82"/>
  <c r="K52" i="82"/>
  <c r="K54" i="82" s="1"/>
  <c r="K55" i="82" s="1"/>
  <c r="K56" i="82" s="1"/>
  <c r="B58" i="82"/>
  <c r="C58" i="82" s="1"/>
  <c r="C37" i="86"/>
  <c r="C38" i="86" s="1"/>
  <c r="C40" i="86" s="1"/>
  <c r="C44" i="86" s="1"/>
  <c r="K13" i="86" s="1"/>
  <c r="J1056" i="94"/>
  <c r="J995" i="93"/>
  <c r="K41" i="74"/>
  <c r="E32" i="86" s="1"/>
  <c r="D32" i="86"/>
  <c r="K1055" i="94"/>
  <c r="K994" i="93"/>
  <c r="B72" i="74"/>
  <c r="E31" i="86"/>
  <c r="J1054" i="94"/>
  <c r="J993" i="93"/>
  <c r="K39" i="74"/>
  <c r="D30" i="86"/>
  <c r="D37" i="86" s="1"/>
  <c r="D38" i="86" s="1"/>
  <c r="D40" i="86" s="1"/>
  <c r="D44" i="86" s="1"/>
  <c r="K14" i="86" s="1"/>
  <c r="B20" i="82" l="1"/>
  <c r="B21" i="82" s="1"/>
  <c r="G20" i="82"/>
  <c r="E21" i="86"/>
  <c r="D22" i="86"/>
  <c r="C1079" i="94"/>
  <c r="G29" i="86"/>
  <c r="D73" i="82"/>
  <c r="D74" i="82" s="1"/>
  <c r="D75" i="82" s="1"/>
  <c r="D76" i="82" s="1"/>
  <c r="D1014" i="93"/>
  <c r="D1016" i="93" s="1"/>
  <c r="D64" i="74"/>
  <c r="B5" i="82"/>
  <c r="B6" i="82" s="1"/>
  <c r="B7" i="82" s="1"/>
  <c r="D58" i="82"/>
  <c r="E58" i="82" s="1"/>
  <c r="F58" i="82" s="1"/>
  <c r="G58" i="82" s="1"/>
  <c r="H58" i="82" s="1"/>
  <c r="I58" i="82" s="1"/>
  <c r="J58" i="82" s="1"/>
  <c r="K58" i="82" s="1"/>
  <c r="B78" i="82" s="1"/>
  <c r="C78" i="82" s="1"/>
  <c r="D78" i="82" s="1"/>
  <c r="E78" i="82" s="1"/>
  <c r="F78" i="82" s="1"/>
  <c r="G78" i="82" s="1"/>
  <c r="H78" i="82" s="1"/>
  <c r="I78" i="82" s="1"/>
  <c r="J78" i="82" s="1"/>
  <c r="K78" i="82" s="1"/>
  <c r="B28" i="82"/>
  <c r="G21" i="82" s="1"/>
  <c r="K1056" i="94"/>
  <c r="K995" i="93"/>
  <c r="F32" i="86"/>
  <c r="B73" i="74"/>
  <c r="B1087" i="94"/>
  <c r="B1024" i="93"/>
  <c r="C72" i="74"/>
  <c r="F31" i="86"/>
  <c r="K1054" i="94"/>
  <c r="K993" i="93"/>
  <c r="B71" i="74"/>
  <c r="E30" i="86"/>
  <c r="E37" i="86" s="1"/>
  <c r="E38" i="86" s="1"/>
  <c r="E40" i="86" s="1"/>
  <c r="E44" i="86" s="1"/>
  <c r="K15" i="86" s="1"/>
  <c r="E22" i="86" l="1"/>
  <c r="F21" i="86"/>
  <c r="E24" i="86"/>
  <c r="K8" i="86" s="1"/>
  <c r="H29" i="86"/>
  <c r="D1079" i="94"/>
  <c r="E73" i="82"/>
  <c r="E74" i="82" s="1"/>
  <c r="E75" i="82" s="1"/>
  <c r="E76" i="82" s="1"/>
  <c r="E1014" i="93"/>
  <c r="E1016" i="93" s="1"/>
  <c r="E64" i="74"/>
  <c r="B29" i="82"/>
  <c r="B1088" i="94"/>
  <c r="B1025" i="93"/>
  <c r="C73" i="74"/>
  <c r="C1087" i="94"/>
  <c r="C1024" i="93"/>
  <c r="D72" i="74"/>
  <c r="G31" i="86"/>
  <c r="B1086" i="94"/>
  <c r="B1023" i="93"/>
  <c r="C71" i="74"/>
  <c r="F30" i="86"/>
  <c r="F37" i="86" s="1"/>
  <c r="F38" i="86" s="1"/>
  <c r="F40" i="86" s="1"/>
  <c r="F44" i="86" s="1"/>
  <c r="K16" i="86" s="1"/>
  <c r="F22" i="86" l="1"/>
  <c r="G21" i="86"/>
  <c r="F24" i="86"/>
  <c r="K9" i="86" s="1"/>
  <c r="I29" i="86"/>
  <c r="E1079" i="94"/>
  <c r="F73" i="82"/>
  <c r="F74" i="82" s="1"/>
  <c r="F75" i="82" s="1"/>
  <c r="F76" i="82" s="1"/>
  <c r="F1014" i="93"/>
  <c r="F1016" i="93" s="1"/>
  <c r="F64" i="74"/>
  <c r="C1088" i="94"/>
  <c r="C1025" i="93"/>
  <c r="D73" i="74"/>
  <c r="G32" i="86"/>
  <c r="D1087" i="94"/>
  <c r="D1024" i="93"/>
  <c r="E72" i="74"/>
  <c r="H31" i="86"/>
  <c r="C1086" i="94"/>
  <c r="C1023" i="93"/>
  <c r="D71" i="74"/>
  <c r="G30" i="86"/>
  <c r="G37" i="86" s="1"/>
  <c r="G38" i="86" s="1"/>
  <c r="G40" i="86" s="1"/>
  <c r="G44" i="86" s="1"/>
  <c r="K17" i="86" s="1"/>
  <c r="G22" i="86" l="1"/>
  <c r="H21" i="86"/>
  <c r="G24" i="86"/>
  <c r="K10" i="86" s="1"/>
  <c r="C49" i="86"/>
  <c r="F1079" i="94"/>
  <c r="G1014" i="93"/>
  <c r="G1016" i="93" s="1"/>
  <c r="G73" i="82"/>
  <c r="G74" i="82" s="1"/>
  <c r="G75" i="82" s="1"/>
  <c r="G76" i="82" s="1"/>
  <c r="G64" i="74"/>
  <c r="D1088" i="94"/>
  <c r="D1025" i="93"/>
  <c r="E73" i="74"/>
  <c r="I32" i="86" s="1"/>
  <c r="H32" i="86"/>
  <c r="E1087" i="94"/>
  <c r="E1024" i="93"/>
  <c r="F72" i="74"/>
  <c r="C51" i="86" s="1"/>
  <c r="I31" i="86"/>
  <c r="D1086" i="94"/>
  <c r="D1023" i="93"/>
  <c r="E71" i="74"/>
  <c r="H30" i="86"/>
  <c r="H37" i="86" s="1"/>
  <c r="H38" i="86" s="1"/>
  <c r="H40" i="86" s="1"/>
  <c r="H44" i="86" s="1"/>
  <c r="K18" i="86" s="1"/>
  <c r="H22" i="86" l="1"/>
  <c r="I21" i="86"/>
  <c r="H24" i="86"/>
  <c r="K11" i="86" s="1"/>
  <c r="G1079" i="94"/>
  <c r="H73" i="82"/>
  <c r="H74" i="82" s="1"/>
  <c r="H75" i="82" s="1"/>
  <c r="H76" i="82" s="1"/>
  <c r="H1014" i="93"/>
  <c r="H1016" i="93" s="1"/>
  <c r="H64" i="74"/>
  <c r="H1079" i="94" s="1"/>
  <c r="E1088" i="94"/>
  <c r="E1025" i="93"/>
  <c r="F73" i="74"/>
  <c r="F1087" i="94"/>
  <c r="F1024" i="93"/>
  <c r="G72" i="74"/>
  <c r="E1086" i="94"/>
  <c r="E1023" i="93"/>
  <c r="F71" i="74"/>
  <c r="I30" i="86"/>
  <c r="I37" i="86" s="1"/>
  <c r="I38" i="86" s="1"/>
  <c r="I40" i="86" s="1"/>
  <c r="I44" i="86" s="1"/>
  <c r="K19" i="86" s="1"/>
  <c r="I22" i="86" l="1"/>
  <c r="I24" i="86" s="1"/>
  <c r="K12" i="86" s="1"/>
  <c r="I1014" i="93"/>
  <c r="I1016" i="93" s="1"/>
  <c r="I73" i="82"/>
  <c r="I74" i="82" s="1"/>
  <c r="I75" i="82" s="1"/>
  <c r="I76" i="82" s="1"/>
  <c r="I64" i="74"/>
  <c r="F1088" i="94"/>
  <c r="F1025" i="93"/>
  <c r="G73" i="74"/>
  <c r="C52" i="86"/>
  <c r="G1087" i="94"/>
  <c r="G1024" i="93"/>
  <c r="H72" i="74"/>
  <c r="D51" i="86"/>
  <c r="F1086" i="94"/>
  <c r="F1023" i="93"/>
  <c r="G71" i="74"/>
  <c r="C50" i="86"/>
  <c r="C57" i="86" s="1"/>
  <c r="C58" i="86" s="1"/>
  <c r="C60" i="86" s="1"/>
  <c r="C64" i="86" s="1"/>
  <c r="K20" i="86" s="1"/>
  <c r="I1079" i="94" l="1"/>
  <c r="J73" i="82"/>
  <c r="J74" i="82" s="1"/>
  <c r="J75" i="82" s="1"/>
  <c r="J76" i="82" s="1"/>
  <c r="J1014" i="93"/>
  <c r="J1016" i="93" s="1"/>
  <c r="J64" i="74"/>
  <c r="G1088" i="94"/>
  <c r="G1025" i="93"/>
  <c r="H73" i="74"/>
  <c r="D52" i="86"/>
  <c r="H1087" i="94"/>
  <c r="H1024" i="93"/>
  <c r="I72" i="74"/>
  <c r="E51" i="86"/>
  <c r="G1086" i="94"/>
  <c r="G1023" i="93"/>
  <c r="H71" i="74"/>
  <c r="D50" i="86"/>
  <c r="D57" i="86" s="1"/>
  <c r="D58" i="86" s="1"/>
  <c r="D60" i="86" s="1"/>
  <c r="D64" i="86" s="1"/>
  <c r="K21" i="86" s="1"/>
  <c r="K1014" i="93" l="1"/>
  <c r="K1016" i="93" s="1"/>
  <c r="K73" i="82"/>
  <c r="K74" i="82" s="1"/>
  <c r="K75" i="82" s="1"/>
  <c r="K76" i="82" s="1"/>
  <c r="K64" i="74"/>
  <c r="J1079" i="94"/>
  <c r="H1088" i="94"/>
  <c r="H1025" i="93"/>
  <c r="I73" i="74"/>
  <c r="E52" i="86"/>
  <c r="I1087" i="94"/>
  <c r="I1024" i="93"/>
  <c r="J72" i="74"/>
  <c r="G51" i="86" s="1"/>
  <c r="F51" i="86"/>
  <c r="H1086" i="94"/>
  <c r="H1023" i="93"/>
  <c r="I71" i="74"/>
  <c r="E50" i="86"/>
  <c r="E57" i="86" s="1"/>
  <c r="E58" i="86" s="1"/>
  <c r="E60" i="86" s="1"/>
  <c r="E64" i="86" s="1"/>
  <c r="K22" i="86" s="1"/>
  <c r="K1079" i="94" l="1"/>
  <c r="B1044" i="93"/>
  <c r="B1045" i="93" s="1"/>
  <c r="B95" i="74"/>
  <c r="B1110" i="94" s="1"/>
  <c r="I1088" i="94"/>
  <c r="I1025" i="93"/>
  <c r="J73" i="74"/>
  <c r="F52" i="86"/>
  <c r="J1087" i="94"/>
  <c r="J1024" i="93"/>
  <c r="K72" i="74"/>
  <c r="I1086" i="94"/>
  <c r="I1023" i="93"/>
  <c r="J71" i="74"/>
  <c r="F50" i="86"/>
  <c r="C1044" i="93" l="1"/>
  <c r="C1045" i="93" s="1"/>
  <c r="C95" i="74"/>
  <c r="C1110" i="94" s="1"/>
  <c r="F57" i="86"/>
  <c r="F58" i="86" s="1"/>
  <c r="F60" i="86" s="1"/>
  <c r="F64" i="86" s="1"/>
  <c r="K23" i="86" s="1"/>
  <c r="J1088" i="94"/>
  <c r="J1025" i="93"/>
  <c r="K73" i="74"/>
  <c r="H52" i="86" s="1"/>
  <c r="G52" i="86"/>
  <c r="K1087" i="94"/>
  <c r="K1024" i="93"/>
  <c r="B103" i="74"/>
  <c r="H51" i="86"/>
  <c r="J1086" i="94"/>
  <c r="J1023" i="93"/>
  <c r="K71" i="74"/>
  <c r="G50" i="86"/>
  <c r="G57" i="86" s="1"/>
  <c r="G58" i="86" s="1"/>
  <c r="G60" i="86" s="1"/>
  <c r="G64" i="86" s="1"/>
  <c r="K24" i="86" s="1"/>
  <c r="D1044" i="93" l="1"/>
  <c r="D1045" i="93" s="1"/>
  <c r="D95" i="74"/>
  <c r="D1110" i="94" s="1"/>
  <c r="K1088" i="94"/>
  <c r="K1025" i="93"/>
  <c r="B104" i="74"/>
  <c r="B1118" i="94"/>
  <c r="B1053" i="93"/>
  <c r="C103" i="74"/>
  <c r="K1086" i="94"/>
  <c r="K1023" i="93"/>
  <c r="C85" i="90"/>
  <c r="L63" i="85"/>
  <c r="O8" i="86"/>
  <c r="O14" i="86" s="1"/>
  <c r="O33" i="86" s="1"/>
  <c r="H63" i="86" s="1"/>
  <c r="L93" i="85"/>
  <c r="B102" i="74"/>
  <c r="H50" i="86"/>
  <c r="H57" i="86" s="1"/>
  <c r="H58" i="86" s="1"/>
  <c r="H60" i="86" s="1"/>
  <c r="E1044" i="93" l="1"/>
  <c r="E1045" i="93" s="1"/>
  <c r="E95" i="74"/>
  <c r="E1110" i="94" s="1"/>
  <c r="H64" i="86"/>
  <c r="K25" i="86" s="1"/>
  <c r="B1119" i="94"/>
  <c r="B1054" i="93"/>
  <c r="C104" i="74"/>
  <c r="C1118" i="94"/>
  <c r="C1053" i="93"/>
  <c r="D103" i="74"/>
  <c r="B1117" i="94"/>
  <c r="B1052" i="93"/>
  <c r="C102" i="74"/>
  <c r="F1044" i="93" l="1"/>
  <c r="F1045" i="93" s="1"/>
  <c r="F95" i="74"/>
  <c r="F1110" i="94" s="1"/>
  <c r="C1119" i="94"/>
  <c r="C1054" i="93"/>
  <c r="D104" i="74"/>
  <c r="D1118" i="94"/>
  <c r="D1053" i="93"/>
  <c r="E103" i="74"/>
  <c r="C1117" i="94"/>
  <c r="C1052" i="93"/>
  <c r="D102" i="74"/>
  <c r="G1044" i="93" l="1"/>
  <c r="G1045" i="93" s="1"/>
  <c r="G95" i="74"/>
  <c r="G1110" i="94" s="1"/>
  <c r="D1119" i="94"/>
  <c r="D1054" i="93"/>
  <c r="E104" i="74"/>
  <c r="E1118" i="94"/>
  <c r="E1053" i="93"/>
  <c r="F103" i="74"/>
  <c r="D1117" i="94"/>
  <c r="D1052" i="93"/>
  <c r="E102" i="74"/>
  <c r="H1044" i="93" l="1"/>
  <c r="H1045" i="93" s="1"/>
  <c r="H95" i="74"/>
  <c r="H1110" i="94" s="1"/>
  <c r="E1119" i="94"/>
  <c r="E1054" i="93"/>
  <c r="F104" i="74"/>
  <c r="F1118" i="94"/>
  <c r="F1053" i="93"/>
  <c r="G103" i="74"/>
  <c r="E1117" i="94"/>
  <c r="E1052" i="93"/>
  <c r="F102" i="74"/>
  <c r="I1044" i="93" l="1"/>
  <c r="I1045" i="93" s="1"/>
  <c r="I95" i="74"/>
  <c r="I1110" i="94" s="1"/>
  <c r="F1119" i="94"/>
  <c r="F1054" i="93"/>
  <c r="G104" i="74"/>
  <c r="G1118" i="94"/>
  <c r="G1053" i="93"/>
  <c r="H103" i="74"/>
  <c r="F1117" i="94"/>
  <c r="F1052" i="93"/>
  <c r="G102" i="74"/>
  <c r="J1044" i="93" l="1"/>
  <c r="J1045" i="93" s="1"/>
  <c r="J95" i="74"/>
  <c r="J1110" i="94" s="1"/>
  <c r="G1119" i="94"/>
  <c r="G1054" i="93"/>
  <c r="H104" i="74"/>
  <c r="H1118" i="94"/>
  <c r="H1053" i="93"/>
  <c r="I103" i="74"/>
  <c r="G1117" i="94"/>
  <c r="G1052" i="93"/>
  <c r="H102" i="74"/>
  <c r="K1044" i="93" l="1"/>
  <c r="K1045" i="93" s="1"/>
  <c r="B124" i="74"/>
  <c r="K95" i="74"/>
  <c r="K1110" i="94" s="1"/>
  <c r="H1119" i="94"/>
  <c r="H1054" i="93"/>
  <c r="I104" i="74"/>
  <c r="I1118" i="94"/>
  <c r="I1053" i="93"/>
  <c r="J103" i="74"/>
  <c r="H1117" i="94"/>
  <c r="H1052" i="93"/>
  <c r="I102" i="74"/>
  <c r="B1072" i="93" l="1"/>
  <c r="B1073" i="93" s="1"/>
  <c r="C124" i="74"/>
  <c r="B125" i="74"/>
  <c r="B1140" i="94" s="1"/>
  <c r="I1119" i="94"/>
  <c r="I1054" i="93"/>
  <c r="J104" i="74"/>
  <c r="J1118" i="94"/>
  <c r="J1053" i="93"/>
  <c r="K103" i="74"/>
  <c r="I1117" i="94"/>
  <c r="I1052" i="93"/>
  <c r="J102" i="74"/>
  <c r="C1072" i="93" l="1"/>
  <c r="C1073" i="93" s="1"/>
  <c r="D124" i="74"/>
  <c r="C125" i="74"/>
  <c r="C1140" i="94" s="1"/>
  <c r="J1119" i="94"/>
  <c r="J1054" i="93"/>
  <c r="K104" i="74"/>
  <c r="K1118" i="94"/>
  <c r="K1053" i="93"/>
  <c r="B133" i="74"/>
  <c r="J1117" i="94"/>
  <c r="J1052" i="93"/>
  <c r="K102" i="74"/>
  <c r="E124" i="74" l="1"/>
  <c r="D1072" i="93"/>
  <c r="D1073" i="93" s="1"/>
  <c r="D125" i="74"/>
  <c r="D1140" i="94" s="1"/>
  <c r="K1119" i="94"/>
  <c r="K1054" i="93"/>
  <c r="B134" i="74"/>
  <c r="B1148" i="94"/>
  <c r="B1081" i="93"/>
  <c r="C133" i="74"/>
  <c r="K1117" i="94"/>
  <c r="K1052" i="93"/>
  <c r="B132" i="74"/>
  <c r="F124" i="74" l="1"/>
  <c r="E1072" i="93"/>
  <c r="E1073" i="93" s="1"/>
  <c r="E125" i="74"/>
  <c r="E1140" i="94" s="1"/>
  <c r="B1149" i="94"/>
  <c r="B1082" i="93"/>
  <c r="C134" i="74"/>
  <c r="C1148" i="94"/>
  <c r="C1081" i="93"/>
  <c r="D133" i="74"/>
  <c r="B1147" i="94"/>
  <c r="B1080" i="93"/>
  <c r="C132" i="74"/>
  <c r="F1072" i="93" l="1"/>
  <c r="F1073" i="93" s="1"/>
  <c r="F125" i="74"/>
  <c r="F1140" i="94" s="1"/>
  <c r="C1149" i="94"/>
  <c r="C1082" i="93"/>
  <c r="D134" i="74"/>
  <c r="D1148" i="94"/>
  <c r="D1081" i="93"/>
  <c r="E133" i="74"/>
  <c r="C1147" i="94"/>
  <c r="C1080" i="93"/>
  <c r="D132" i="74"/>
  <c r="D1149" i="94" l="1"/>
  <c r="D1082" i="93"/>
  <c r="E134" i="74"/>
  <c r="E1148" i="94"/>
  <c r="E1081" i="93"/>
  <c r="F133" i="74"/>
  <c r="D1147" i="94"/>
  <c r="D1080" i="93"/>
  <c r="E132" i="74"/>
  <c r="E1149" i="94" l="1"/>
  <c r="E1082" i="93"/>
  <c r="F134" i="74"/>
  <c r="F1148" i="94"/>
  <c r="F1081" i="93"/>
  <c r="E1147" i="94"/>
  <c r="E1080" i="93"/>
  <c r="F132" i="74"/>
  <c r="F1149" i="94" l="1"/>
  <c r="F1082" i="93"/>
  <c r="F1147" i="94"/>
  <c r="F1080" i="93"/>
  <c r="C14" i="86" l="1"/>
  <c r="B985" i="93"/>
  <c r="B1046" i="94"/>
  <c r="R20" i="74"/>
  <c r="B32" i="74"/>
  <c r="C9" i="86" s="1"/>
  <c r="B43" i="74"/>
  <c r="B1058" i="94" l="1"/>
  <c r="C31" i="74"/>
  <c r="C17" i="86"/>
  <c r="C18" i="86" s="1"/>
  <c r="C20" i="86" s="1"/>
  <c r="C24" i="86" s="1"/>
  <c r="K6" i="86" s="1"/>
  <c r="S20" i="74"/>
  <c r="B1047" i="94"/>
  <c r="B997" i="93"/>
  <c r="R975" i="93"/>
  <c r="C43" i="74"/>
  <c r="B986" i="93"/>
  <c r="C985" i="93" l="1"/>
  <c r="C1046" i="94"/>
  <c r="D14" i="86"/>
  <c r="C32" i="74"/>
  <c r="R22" i="74"/>
  <c r="R25" i="74"/>
  <c r="R27" i="74"/>
  <c r="R29" i="74"/>
  <c r="R31" i="74"/>
  <c r="R32" i="74"/>
  <c r="R34" i="74"/>
  <c r="R36" i="74"/>
  <c r="S36" i="74" s="1"/>
  <c r="R38" i="74"/>
  <c r="R40" i="74"/>
  <c r="S40" i="74" s="1"/>
  <c r="R21" i="74"/>
  <c r="R24" i="74"/>
  <c r="R26" i="74"/>
  <c r="R28" i="74"/>
  <c r="R30" i="74"/>
  <c r="R33" i="74"/>
  <c r="S33" i="74" s="1"/>
  <c r="R35" i="74"/>
  <c r="I45" i="68" s="1"/>
  <c r="R37" i="74"/>
  <c r="S37" i="74" s="1"/>
  <c r="R39" i="74"/>
  <c r="S39" i="74" s="1"/>
  <c r="S975" i="93"/>
  <c r="C997" i="93"/>
  <c r="C1058" i="94"/>
  <c r="D43" i="74"/>
  <c r="I422" i="94" l="1"/>
  <c r="I407" i="93"/>
  <c r="S38" i="74"/>
  <c r="S34" i="74"/>
  <c r="C986" i="93"/>
  <c r="R986" i="93"/>
  <c r="R988" i="93"/>
  <c r="R990" i="93"/>
  <c r="R992" i="93"/>
  <c r="R994" i="93"/>
  <c r="R987" i="93"/>
  <c r="R989" i="93"/>
  <c r="R991" i="93"/>
  <c r="R993" i="93"/>
  <c r="R985" i="93"/>
  <c r="R983" i="93"/>
  <c r="R981" i="93"/>
  <c r="R979" i="93"/>
  <c r="R984" i="93"/>
  <c r="R982" i="93"/>
  <c r="R980" i="93"/>
  <c r="R978" i="93"/>
  <c r="R976" i="93"/>
  <c r="R977" i="93"/>
  <c r="C1047" i="94"/>
  <c r="D9" i="86"/>
  <c r="D17" i="86" s="1"/>
  <c r="D18" i="86" s="1"/>
  <c r="D20" i="86" s="1"/>
  <c r="D24" i="86" s="1"/>
  <c r="K7" i="86" s="1"/>
  <c r="G66" i="86" s="1"/>
  <c r="N85" i="85" s="1"/>
  <c r="S31" i="74"/>
  <c r="S29" i="74"/>
  <c r="S27" i="74"/>
  <c r="S25" i="74"/>
  <c r="S22" i="74"/>
  <c r="S32" i="74"/>
  <c r="S30" i="74"/>
  <c r="S28" i="74"/>
  <c r="S26" i="74"/>
  <c r="S24" i="74"/>
  <c r="S21" i="74"/>
  <c r="S35" i="74"/>
  <c r="F45" i="68" s="1"/>
  <c r="D1058" i="94"/>
  <c r="E43" i="74"/>
  <c r="D997" i="93"/>
  <c r="F422" i="94" l="1"/>
  <c r="F407" i="93"/>
  <c r="L45" i="68"/>
  <c r="S977" i="93"/>
  <c r="S979" i="93"/>
  <c r="S981" i="93"/>
  <c r="S983" i="93"/>
  <c r="S986" i="93"/>
  <c r="S988" i="93"/>
  <c r="S990" i="93"/>
  <c r="S992" i="93"/>
  <c r="S994" i="93"/>
  <c r="S976" i="93"/>
  <c r="S978" i="93"/>
  <c r="S980" i="93"/>
  <c r="S982" i="93"/>
  <c r="S984" i="93"/>
  <c r="S987" i="93"/>
  <c r="S989" i="93"/>
  <c r="S991" i="93"/>
  <c r="S993" i="93"/>
  <c r="S985" i="93"/>
  <c r="E997" i="93"/>
  <c r="E1058" i="94"/>
  <c r="F43" i="74"/>
  <c r="L422" i="94" l="1"/>
  <c r="I408" i="93"/>
  <c r="F85" i="92"/>
  <c r="F89" i="92" s="1"/>
  <c r="F105" i="92" s="1"/>
  <c r="F1058" i="94"/>
  <c r="G43" i="74"/>
  <c r="F997" i="93"/>
  <c r="G997" i="93" l="1"/>
  <c r="G1058" i="94"/>
  <c r="H43" i="74"/>
  <c r="H1058" i="94" l="1"/>
  <c r="I43" i="74"/>
  <c r="H997" i="93"/>
  <c r="I997" i="93" l="1"/>
  <c r="I1058" i="94"/>
  <c r="J43" i="74"/>
  <c r="J1058" i="94" l="1"/>
  <c r="K43" i="74"/>
  <c r="J997" i="93"/>
  <c r="K997" i="93" l="1"/>
  <c r="K1058" i="94"/>
  <c r="B75" i="74"/>
  <c r="B1090" i="94" l="1"/>
  <c r="C75" i="74"/>
  <c r="B1027" i="93"/>
  <c r="C1027" i="93" l="1"/>
  <c r="C1090" i="94"/>
  <c r="D75" i="74"/>
  <c r="D1090" i="94" l="1"/>
  <c r="E75" i="74"/>
  <c r="D1027" i="93"/>
  <c r="E1027" i="93" l="1"/>
  <c r="E1090" i="94"/>
  <c r="F75" i="74"/>
  <c r="F1090" i="94" l="1"/>
  <c r="G75" i="74"/>
  <c r="F1027" i="93"/>
  <c r="G1027" i="93" l="1"/>
  <c r="G1090" i="94"/>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<sst xmlns="http://schemas.openxmlformats.org/spreadsheetml/2006/main" count="17136" uniqueCount="5361">
  <si>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</si>
  <si>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</si>
  <si>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</si>
  <si>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</si>
  <si>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</si>
  <si>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</si>
  <si>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</si>
  <si>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</si>
  <si>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</si>
  <si>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</si>
  <si>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</si>
  <si>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</si>
  <si>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</si>
  <si>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</si>
  <si>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</si>
  <si>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</si>
  <si>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</si>
  <si>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</si>
  <si>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</si>
  <si>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</si>
  <si>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</si>
  <si>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</si>
  <si>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</si>
  <si>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</si>
  <si>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</si>
  <si>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</si>
  <si>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</si>
  <si>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</si>
  <si>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</si>
  <si>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</si>
  <si>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</si>
  <si>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</si>
  <si>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</si>
  <si>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</si>
  <si>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</si>
  <si>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</si>
  <si>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</si>
  <si>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</si>
  <si>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</si>
  <si>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</si>
  <si>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</si>
  <si>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</si>
  <si>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</si>
  <si>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</si>
  <si>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</si>
  <si>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</si>
  <si>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</si>
  <si>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</si>
  <si>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</si>
  <si>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</si>
  <si>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</si>
  <si>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</si>
  <si>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</si>
  <si>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</si>
  <si>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</si>
  <si>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</si>
  <si>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</si>
  <si>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</si>
  <si>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</si>
  <si>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</si>
  <si>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</si>
  <si>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</si>
  <si>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</si>
  <si>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</si>
  <si>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</si>
  <si>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</si>
  <si>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</si>
  <si>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</si>
  <si>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</si>
  <si>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</si>
  <si>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</si>
  <si>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</si>
  <si>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</si>
  <si>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</si>
  <si>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</si>
  <si>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</si>
  <si>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</si>
  <si>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</si>
  <si>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</si>
  <si>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</si>
  <si>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</si>
  <si>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</si>
  <si>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</si>
  <si>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</si>
  <si>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</si>
  <si>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</si>
  <si>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</si>
  <si>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</si>
  <si>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</si>
  <si>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</si>
  <si>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</si>
  <si>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</si>
  <si>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</si>
  <si>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</si>
  <si>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</si>
  <si>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</si>
  <si>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</si>
  <si>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</si>
  <si>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</si>
  <si>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</si>
  <si>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</si>
  <si>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</si>
  <si>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</si>
  <si>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</si>
  <si>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</si>
  <si>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</si>
  <si>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</si>
  <si>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</si>
  <si>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</si>
  <si>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</si>
  <si>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</si>
  <si>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</si>
  <si>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</si>
  <si>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</si>
  <si>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</si>
  <si>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</si>
  <si>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</si>
  <si>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</si>
  <si>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</si>
  <si>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</si>
  <si>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</si>
  <si>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</si>
  <si>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</si>
  <si>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</si>
  <si>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</si>
  <si>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</si>
  <si>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</si>
  <si>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</si>
  <si>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</si>
  <si>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</si>
  <si>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</si>
  <si>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</si>
  <si>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</si>
  <si>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</si>
  <si>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</si>
  <si>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</si>
  <si>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</si>
  <si>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</si>
  <si>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</si>
  <si>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</si>
  <si>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</si>
  <si>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</si>
  <si>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</si>
  <si>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</si>
  <si>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</si>
  <si>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</si>
  <si>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</si>
  <si>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</si>
  <si>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</si>
  <si>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</si>
  <si>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</si>
  <si>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</si>
  <si>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</si>
  <si>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</si>
  <si>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</si>
  <si>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</si>
  <si>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</si>
  <si>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</si>
  <si>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</si>
  <si>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</si>
  <si>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</si>
  <si>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</si>
  <si>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</si>
  <si>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</si>
  <si>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</si>
  <si>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</si>
  <si>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</si>
  <si>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</si>
  <si>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</si>
  <si>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</si>
  <si>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</si>
  <si>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</si>
  <si>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</si>
  <si>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</si>
  <si>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</si>
  <si>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</si>
  <si>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</si>
  <si>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</si>
  <si>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</si>
  <si>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</si>
  <si>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</si>
  <si>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</si>
  <si>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</si>
  <si>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</si>
  <si>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</si>
  <si>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</si>
  <si>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</si>
  <si>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</si>
  <si>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</si>
  <si>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</si>
  <si>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</si>
  <si>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</si>
  <si>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</si>
  <si>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</si>
  <si>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</si>
  <si>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</si>
  <si>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</si>
  <si>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</si>
  <si>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</si>
  <si>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</si>
  <si>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</si>
  <si>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</si>
  <si>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</si>
  <si>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</si>
  <si>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</si>
  <si>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</si>
  <si>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</si>
  <si>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</si>
  <si>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</si>
  <si>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</si>
  <si>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</si>
  <si>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</si>
  <si>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</si>
  <si>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</si>
  <si>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</si>
  <si>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</si>
  <si>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</si>
  <si>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</si>
  <si>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</si>
  <si>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</si>
  <si>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</si>
  <si>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</si>
  <si>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</si>
  <si>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</si>
  <si>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</si>
  <si>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</si>
  <si>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</si>
  <si>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</si>
  <si>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</si>
  <si>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</si>
  <si>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</si>
  <si>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</si>
  <si>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</si>
  <si>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</si>
  <si>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</si>
  <si>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</si>
  <si>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</si>
  <si>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</si>
  <si>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</si>
  <si>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</si>
  <si>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</si>
  <si>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</si>
  <si>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</si>
  <si>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</si>
  <si>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</si>
  <si>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</si>
  <si>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</si>
  <si>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</si>
  <si>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</si>
  <si>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</si>
  <si>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</si>
  <si>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</si>
  <si>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</si>
  <si>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</si>
  <si>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</si>
  <si>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</si>
  <si>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</si>
  <si>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</si>
  <si>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</si>
  <si>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</si>
  <si>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</si>
  <si>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</si>
  <si>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</si>
  <si>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</si>
  <si>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</si>
  <si>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</si>
  <si>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</si>
  <si>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</si>
  <si>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</si>
  <si>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</si>
  <si>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</si>
  <si>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</si>
  <si>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</si>
  <si>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</si>
  <si>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</si>
  <si>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</si>
  <si>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</si>
  <si>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</si>
  <si>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</si>
  <si>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</si>
  <si>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</si>
  <si>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</si>
  <si>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</si>
  <si>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</si>
  <si>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</si>
  <si>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</si>
  <si>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</si>
  <si>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</si>
  <si>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</si>
  <si>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</si>
  <si>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</si>
  <si>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</si>
  <si>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</si>
  <si>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</si>
  <si>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</si>
  <si>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</si>
  <si>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</si>
  <si>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</si>
  <si>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</si>
  <si>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</si>
  <si>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</si>
  <si>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</si>
  <si>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</si>
  <si>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</si>
  <si>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</si>
  <si>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</si>
  <si>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</si>
  <si>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</si>
  <si>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</si>
  <si>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</si>
  <si>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</si>
  <si>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</si>
  <si>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</si>
  <si>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</si>
  <si>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</si>
  <si>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</si>
  <si>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</si>
  <si>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</si>
  <si>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</si>
  <si>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</si>
  <si>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</si>
  <si>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</si>
  <si>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</si>
  <si>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</si>
  <si>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</si>
  <si>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</si>
  <si>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</si>
  <si>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</si>
  <si>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</si>
  <si>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</si>
  <si>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</si>
  <si>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</si>
  <si>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</si>
  <si>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</si>
  <si>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</si>
  <si>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</si>
  <si>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</si>
  <si>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</si>
  <si>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</si>
  <si>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</si>
  <si>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</si>
  <si>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</si>
  <si>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</si>
  <si>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</si>
  <si>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</si>
  <si>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</si>
  <si>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</si>
  <si>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</si>
  <si>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</si>
  <si>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</si>
  <si>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</si>
  <si>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</si>
  <si>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</si>
  <si>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</si>
  <si>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</si>
  <si>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</si>
  <si>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</si>
  <si>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</si>
  <si>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</si>
  <si>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</si>
  <si>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</si>
  <si>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</si>
  <si>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</si>
  <si>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</si>
  <si>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</si>
  <si>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</si>
  <si>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</si>
  <si>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</si>
  <si>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</si>
  <si>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</si>
  <si>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</si>
  <si>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</si>
  <si>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</si>
  <si>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</si>
  <si>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</si>
  <si>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</si>
  <si>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</si>
  <si>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</si>
  <si>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</si>
  <si>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</si>
  <si>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</si>
  <si>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</si>
  <si>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</si>
  <si>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</si>
  <si>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</si>
  <si>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</si>
  <si>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</si>
  <si>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</si>
  <si>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</si>
  <si>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</si>
  <si>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</si>
  <si>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</si>
  <si>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</si>
  <si>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</si>
  <si>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</si>
  <si>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</si>
  <si>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</si>
  <si>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</si>
  <si>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</si>
  <si>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</si>
  <si>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</si>
  <si>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</si>
  <si>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</si>
  <si>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</si>
  <si>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</si>
  <si>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</si>
  <si>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</si>
  <si>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</si>
  <si>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</si>
  <si>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</si>
  <si>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</si>
  <si>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</si>
  <si>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</si>
  <si>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</si>
  <si>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</si>
  <si>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</si>
  <si>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</si>
  <si>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</si>
  <si>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</si>
  <si>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</si>
  <si>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</si>
  <si>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</si>
  <si>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</si>
  <si>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</si>
  <si>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</si>
  <si>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</si>
  <si>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</si>
  <si>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</si>
  <si>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</si>
  <si>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</si>
  <si>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</si>
  <si>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</si>
  <si>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</si>
  <si>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</si>
  <si>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</si>
  <si>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</si>
  <si>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</si>
  <si>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</si>
  <si>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</si>
  <si>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</si>
  <si>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</si>
  <si>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</si>
  <si>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</si>
  <si>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</si>
  <si>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</si>
  <si>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</si>
  <si>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</si>
  <si>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</si>
  <si>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</si>
  <si>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</si>
  <si>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</si>
  <si>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</si>
  <si>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</si>
  <si>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</si>
  <si>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</si>
  <si>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</si>
  <si>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</si>
  <si>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</si>
  <si>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</si>
  <si>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</si>
  <si>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</si>
  <si>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</si>
  <si>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</si>
  <si>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</si>
  <si>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</si>
  <si>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</si>
  <si>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</si>
  <si>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</si>
  <si>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</si>
  <si>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</si>
  <si>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</si>
  <si>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</si>
  <si>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</si>
  <si>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</si>
  <si>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</si>
  <si>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</si>
  <si>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</si>
  <si>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</si>
  <si>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</si>
  <si>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</si>
  <si>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</si>
  <si>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</si>
  <si>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</si>
  <si>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</si>
  <si>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</si>
  <si>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</si>
  <si>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</si>
  <si>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</si>
  <si>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</si>
  <si>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</si>
  <si>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</si>
  <si>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</si>
  <si>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</si>
  <si>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</si>
  <si>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</si>
  <si>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</si>
  <si>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</si>
  <si>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</si>
  <si>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</si>
  <si>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</si>
  <si>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</si>
  <si>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</si>
  <si>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</si>
  <si>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</si>
  <si>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</si>
  <si>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</si>
  <si>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</si>
  <si>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</si>
  <si>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</si>
  <si>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</si>
  <si>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</si>
  <si>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</si>
  <si>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</si>
  <si>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</si>
  <si>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</si>
  <si>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</si>
  <si>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</si>
  <si>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</si>
  <si>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</si>
  <si>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</si>
  <si>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</si>
  <si>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</si>
  <si>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</si>
  <si>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</si>
  <si>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</si>
  <si>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</si>
  <si>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</si>
  <si>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</si>
  <si>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</si>
  <si>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</si>
  <si>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</si>
  <si>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</si>
  <si>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</si>
  <si>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</si>
  <si>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</si>
  <si>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</si>
  <si>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</si>
  <si>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</si>
  <si>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</si>
  <si>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</si>
  <si>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</si>
  <si>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</si>
  <si>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</si>
  <si>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</si>
  <si>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</si>
  <si>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</si>
  <si>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</si>
  <si>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</si>
  <si>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</si>
  <si>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</si>
  <si>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</si>
  <si>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</si>
  <si>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</si>
  <si>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</si>
  <si>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</si>
  <si>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</si>
  <si>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</si>
  <si>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</si>
  <si>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</si>
  <si>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</si>
  <si>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</si>
  <si>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</si>
  <si>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</si>
  <si>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</si>
  <si>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</si>
  <si>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</si>
  <si>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</si>
  <si>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</si>
  <si>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</si>
  <si>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</si>
  <si>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</si>
  <si>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</si>
  <si>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</si>
  <si>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</si>
  <si>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</si>
  <si>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</si>
  <si>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</si>
  <si>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</si>
  <si>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</si>
  <si>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</si>
  <si>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</si>
  <si>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</si>
  <si>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</si>
  <si>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</si>
  <si>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</si>
  <si>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</si>
  <si>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</si>
  <si>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</si>
  <si>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</si>
  <si>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</si>
  <si>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</si>
  <si>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</si>
  <si>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</si>
  <si>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</si>
  <si>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</si>
  <si>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</si>
  <si>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</si>
  <si>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</si>
  <si>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</si>
  <si>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</si>
  <si>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</si>
  <si>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</si>
  <si>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</si>
  <si>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</si>
  <si>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</si>
  <si>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</si>
  <si>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</si>
  <si>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</si>
  <si>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</si>
  <si>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</si>
  <si>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</si>
  <si>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</si>
  <si>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</si>
  <si>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</si>
  <si>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</si>
  <si>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</si>
  <si>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</si>
  <si>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</si>
  <si>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</si>
  <si>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</si>
  <si>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</si>
  <si>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</si>
  <si>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</si>
  <si>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</si>
  <si>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</si>
  <si>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</si>
  <si>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</si>
  <si>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</si>
  <si>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</si>
  <si>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</si>
  <si>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</si>
  <si>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</si>
  <si>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</si>
  <si>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</si>
  <si>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</si>
  <si>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</si>
  <si>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</si>
  <si>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</si>
  <si>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</si>
  <si>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</si>
  <si>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</si>
  <si>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</si>
  <si>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</si>
  <si>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</si>
  <si>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</si>
  <si>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</si>
  <si>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</si>
  <si>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</si>
  <si>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</si>
  <si>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</si>
  <si>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</si>
  <si>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</si>
  <si>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</si>
  <si>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</si>
  <si>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</si>
  <si>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</si>
  <si>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</si>
  <si>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</si>
  <si>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</si>
  <si>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</si>
  <si>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</si>
  <si>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</si>
  <si>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</si>
  <si>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</si>
  <si>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</si>
  <si>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</si>
  <si>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</si>
  <si>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</si>
  <si>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</si>
  <si>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</si>
  <si>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</si>
  <si>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</si>
  <si>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</si>
  <si>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</si>
  <si>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</si>
  <si>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</si>
  <si>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</si>
  <si>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</si>
  <si>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</si>
  <si>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</si>
  <si>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</si>
  <si>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</si>
  <si>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</si>
  <si>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</si>
  <si>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</si>
  <si>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</si>
  <si>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</si>
  <si>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</si>
  <si>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</si>
  <si>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</si>
  <si>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</si>
  <si>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</si>
  <si>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</si>
  <si>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</si>
  <si>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</si>
  <si>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</si>
  <si>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</si>
  <si>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</si>
  <si>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</si>
  <si>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</si>
  <si>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</si>
  <si>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</si>
  <si>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</si>
  <si>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</si>
  <si>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</si>
  <si>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</si>
  <si>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</si>
  <si>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</si>
  <si>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</si>
  <si>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</si>
  <si>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</si>
  <si>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</si>
  <si>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</si>
  <si>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</si>
  <si>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</si>
  <si>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</si>
  <si>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</si>
  <si>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</si>
  <si>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</si>
  <si>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</si>
  <si>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</si>
  <si>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</si>
  <si>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</si>
  <si>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</si>
  <si>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</si>
  <si>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</si>
  <si>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</si>
  <si>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</si>
  <si>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</si>
  <si>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</si>
  <si>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</si>
  <si>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</si>
  <si>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</si>
  <si>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</si>
  <si>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</si>
  <si>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</si>
  <si>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</si>
  <si>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</si>
  <si>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</si>
  <si>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</si>
  <si>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</si>
  <si>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</si>
  <si>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</si>
  <si>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</si>
  <si>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</si>
  <si>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</si>
  <si>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</si>
  <si>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</si>
  <si>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</si>
  <si>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</si>
  <si>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</si>
  <si>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</si>
  <si>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</si>
  <si>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</si>
  <si>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</si>
  <si>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</si>
  <si>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</si>
  <si>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</si>
  <si>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</si>
  <si>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</si>
  <si>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</si>
  <si>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</si>
  <si>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</si>
  <si>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</si>
  <si>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</si>
  <si>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</si>
  <si>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</si>
  <si>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</si>
  <si>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</si>
  <si>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</si>
  <si>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</si>
  <si>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</si>
  <si>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</si>
  <si>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</si>
  <si>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</si>
  <si>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</si>
  <si>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</si>
  <si>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</si>
  <si>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</si>
  <si>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</si>
  <si>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</si>
  <si>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</si>
  <si>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</si>
  <si>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</si>
  <si>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</si>
  <si>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</si>
  <si>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</si>
  <si>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</si>
  <si>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</si>
  <si>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</si>
  <si>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</si>
  <si>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</si>
  <si>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</si>
  <si>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</si>
  <si>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</si>
  <si>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</si>
  <si>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</si>
  <si>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</si>
  <si>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</si>
  <si>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</si>
  <si>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</si>
  <si>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</si>
  <si>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</si>
  <si>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</si>
  <si>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</si>
  <si>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</si>
  <si>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</si>
  <si>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</si>
  <si>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</si>
  <si>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</si>
  <si>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</si>
  <si>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</si>
  <si>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</si>
  <si>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</si>
  <si>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</si>
  <si>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</si>
  <si>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</si>
  <si>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</si>
  <si>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</si>
  <si>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</si>
  <si>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</si>
  <si>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</si>
  <si>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</si>
  <si>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</si>
  <si>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</si>
  <si>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</si>
  <si>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</si>
  <si>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</si>
  <si>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</si>
  <si>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</si>
  <si>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</si>
  <si>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</si>
  <si>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</si>
  <si>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</si>
  <si>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</si>
  <si>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</si>
  <si>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</si>
  <si>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</si>
  <si>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</si>
  <si>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</si>
  <si>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</si>
  <si>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</si>
  <si>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</si>
  <si>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</si>
  <si>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</si>
  <si>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</si>
  <si>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</si>
  <si>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</si>
  <si>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</si>
  <si>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</si>
  <si>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</si>
  <si>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</si>
  <si>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</si>
  <si>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</si>
  <si>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</si>
  <si>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</si>
  <si>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</si>
  <si>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</si>
  <si>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</si>
  <si>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</si>
  <si>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</si>
  <si>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</si>
  <si>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</si>
  <si>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</si>
  <si>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</si>
  <si>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</si>
  <si>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</si>
  <si>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</si>
  <si>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</si>
  <si>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</si>
  <si>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</si>
  <si>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</si>
  <si>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</si>
  <si>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</si>
  <si>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</si>
  <si>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</si>
  <si>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</si>
  <si>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</si>
  <si>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</si>
  <si>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</si>
  <si>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</si>
  <si>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</si>
  <si>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</si>
  <si>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</si>
  <si>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</si>
  <si>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</si>
  <si>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</si>
  <si>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</si>
  <si>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</si>
  <si>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</si>
  <si>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</si>
  <si>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</si>
  <si>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</si>
  <si>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</si>
  <si>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</si>
  <si>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</si>
  <si>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</si>
  <si>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</si>
  <si>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</si>
  <si>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</si>
  <si>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</si>
  <si>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</si>
  <si>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</si>
  <si>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</si>
  <si>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</si>
  <si>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</si>
  <si>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</si>
  <si>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</si>
  <si>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</si>
  <si>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</si>
  <si>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</si>
  <si>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</si>
  <si>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</si>
  <si>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</si>
  <si>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</si>
  <si>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</si>
  <si>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</si>
  <si>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</si>
  <si>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</si>
  <si>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</si>
  <si>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</si>
  <si>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</si>
  <si>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</si>
  <si>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</si>
  <si>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</si>
  <si>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</si>
  <si>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</si>
  <si>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</si>
  <si>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</si>
  <si>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</si>
  <si>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</si>
  <si>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</si>
  <si>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</si>
  <si>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</si>
  <si>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</si>
  <si>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</si>
  <si>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</si>
  <si>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</si>
  <si>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</si>
  <si>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</si>
  <si>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</si>
  <si>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</si>
  <si>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</si>
  <si>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</si>
  <si>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</si>
  <si>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</si>
  <si>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</si>
  <si>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</si>
  <si>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</si>
  <si>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</si>
  <si>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</si>
  <si>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</si>
  <si>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</si>
  <si>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</si>
  <si>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</si>
  <si>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</si>
  <si>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</si>
  <si>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</si>
  <si>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</si>
  <si>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</si>
  <si>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</si>
  <si>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</si>
  <si>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</si>
  <si>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</si>
  <si>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</si>
  <si>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</si>
  <si>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</si>
  <si>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</si>
  <si>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</si>
  <si>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</si>
  <si>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</si>
  <si>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</si>
  <si>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</si>
  <si>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</si>
  <si>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</si>
  <si>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</si>
  <si>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</si>
  <si>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</si>
  <si>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</si>
  <si>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</si>
  <si>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</si>
  <si>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</si>
  <si>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</si>
  <si>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</si>
  <si>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</si>
  <si>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</si>
  <si>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</si>
  <si>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</si>
  <si>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</si>
  <si>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</si>
  <si>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</si>
  <si>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</si>
  <si>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</si>
  <si>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</si>
  <si>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</si>
  <si>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</si>
  <si>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</si>
  <si>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</si>
  <si>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</si>
  <si>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</si>
  <si>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</si>
  <si>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</si>
  <si>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</si>
  <si>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</si>
  <si>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</si>
  <si>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</si>
  <si>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</si>
  <si>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</si>
  <si>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</si>
  <si>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</si>
  <si>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</si>
  <si>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</si>
  <si>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</si>
  <si>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</si>
  <si>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</si>
  <si>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</si>
  <si>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</si>
  <si>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</si>
  <si>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</si>
  <si>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</si>
  <si>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</si>
  <si>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</si>
  <si>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</si>
  <si>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</si>
  <si>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</si>
  <si>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</si>
  <si>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</si>
  <si>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</si>
  <si>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</si>
  <si>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</si>
  <si>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</si>
  <si>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</si>
  <si>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</si>
  <si>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</si>
  <si>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</si>
  <si>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</si>
  <si>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</si>
  <si>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</si>
  <si>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</si>
  <si>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</si>
  <si>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</si>
  <si>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</si>
  <si>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</si>
  <si>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</si>
  <si>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</si>
  <si>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</si>
  <si>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</si>
  <si>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</si>
  <si>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</si>
  <si>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</si>
  <si>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</si>
  <si>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</si>
  <si>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</si>
  <si>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</si>
  <si>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</si>
  <si>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</si>
  <si>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</si>
  <si>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</si>
  <si>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</si>
  <si>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</si>
  <si>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</si>
  <si>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</si>
  <si>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</si>
  <si>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</si>
  <si>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</si>
  <si>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</si>
  <si>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</si>
  <si>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</si>
  <si>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</si>
  <si>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</si>
  <si>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</si>
  <si>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</si>
  <si>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</si>
  <si>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</si>
  <si>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</si>
  <si>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</si>
  <si>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</si>
  <si>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</si>
  <si>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</si>
  <si>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</si>
  <si>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</si>
  <si>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</si>
  <si>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</si>
  <si>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</si>
  <si>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</si>
  <si>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</si>
  <si>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</si>
  <si>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</si>
  <si>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</si>
  <si>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</si>
  <si>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</si>
  <si>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</si>
  <si>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</si>
  <si>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</si>
  <si>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</si>
  <si>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</si>
  <si>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</si>
  <si>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</si>
  <si>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</si>
  <si>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</si>
  <si>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</si>
  <si>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</si>
  <si>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</si>
  <si>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</si>
  <si>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</si>
  <si>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</si>
  <si>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</si>
  <si>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</si>
  <si>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</si>
  <si>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</si>
  <si>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</si>
  <si>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</si>
  <si>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</si>
  <si>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</si>
  <si>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</si>
  <si>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</si>
  <si>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</si>
  <si>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</si>
  <si>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</si>
  <si>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</si>
  <si>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</si>
  <si>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</si>
  <si>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</si>
  <si>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</si>
  <si>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</si>
  <si>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</si>
  <si>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</si>
  <si>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</si>
  <si>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</si>
  <si>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</si>
  <si>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</si>
  <si>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</si>
  <si>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</si>
  <si>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</si>
  <si>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</si>
  <si>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</si>
  <si>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</si>
  <si>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</si>
  <si>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</si>
  <si>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</si>
  <si>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</si>
  <si>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</si>
  <si>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</si>
  <si>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</si>
  <si>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</si>
  <si>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</si>
  <si>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</si>
  <si>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</si>
  <si>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</si>
  <si>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</si>
  <si>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</si>
  <si>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</si>
  <si>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</si>
  <si>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</si>
  <si>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</si>
  <si>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</si>
  <si>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</si>
  <si>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</si>
  <si>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</si>
  <si>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</si>
  <si>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</si>
  <si>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</si>
  <si>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</si>
  <si>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</si>
  <si>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</si>
  <si>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</si>
  <si>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</si>
  <si>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</si>
  <si>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</si>
  <si>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</si>
  <si>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</si>
  <si>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</si>
  <si>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</si>
  <si>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</si>
  <si>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</si>
  <si>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</si>
  <si>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</si>
  <si>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</si>
  <si>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</si>
  <si>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</si>
  <si>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</si>
  <si>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</si>
  <si>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</si>
  <si>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</si>
  <si>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</si>
  <si>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</si>
  <si>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</si>
  <si>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</si>
  <si>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</si>
  <si>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</si>
  <si>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</si>
  <si>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</si>
  <si>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</si>
  <si>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</si>
  <si>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</si>
  <si>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</si>
  <si>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</si>
  <si>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</si>
  <si>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</si>
  <si>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</si>
  <si>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</si>
  <si>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</si>
  <si>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</si>
  <si>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</si>
  <si>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</si>
  <si>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</si>
  <si>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</si>
  <si>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</si>
  <si>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</si>
  <si>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</si>
  <si>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</si>
  <si>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</si>
  <si>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</si>
  <si>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</si>
  <si>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</si>
  <si>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</si>
  <si>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</si>
  <si>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</si>
  <si>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</si>
  <si>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</si>
  <si>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</si>
  <si>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</si>
  <si>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</si>
  <si>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</si>
  <si>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</si>
  <si>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</si>
  <si>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</si>
  <si>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</si>
  <si>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</si>
  <si>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</si>
  <si>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</si>
  <si>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</si>
  <si>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</si>
  <si>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</si>
  <si>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</si>
  <si>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</si>
  <si>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</si>
  <si>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</si>
  <si>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</si>
  <si>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</si>
  <si>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</si>
  <si>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</si>
  <si>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</si>
  <si>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</si>
  <si>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</si>
  <si>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</si>
  <si>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</si>
  <si>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</si>
  <si>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</si>
  <si>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</si>
  <si>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</si>
  <si>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</si>
  <si>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</si>
  <si>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</si>
  <si>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</si>
  <si>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</si>
  <si>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</si>
  <si>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</si>
  <si>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</si>
  <si>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</si>
  <si>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</si>
  <si>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</si>
  <si>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</si>
  <si>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</si>
  <si>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</si>
  <si>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</si>
  <si>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</si>
  <si>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</si>
  <si>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</si>
  <si>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</si>
  <si>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</si>
  <si>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</si>
  <si>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</si>
  <si>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</si>
  <si>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</si>
  <si>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</si>
  <si>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</si>
  <si>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</si>
  <si>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</si>
  <si>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</si>
  <si>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</si>
  <si>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</si>
  <si>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</si>
  <si>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</si>
  <si>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</si>
  <si>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</si>
  <si>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</si>
  <si>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</si>
  <si>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</si>
  <si>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</si>
  <si>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</si>
  <si>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</si>
  <si>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</si>
  <si>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</si>
  <si>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</si>
  <si>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</si>
  <si>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</si>
  <si>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</si>
  <si>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</si>
  <si>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</si>
  <si>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</si>
  <si>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</si>
  <si>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</si>
  <si>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</si>
  <si>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</si>
  <si>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</si>
  <si>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</si>
  <si>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</si>
  <si>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</si>
  <si>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</si>
  <si>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</si>
  <si>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</si>
  <si>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</si>
  <si>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</si>
  <si>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</si>
  <si>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</si>
  <si>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</si>
  <si>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</si>
  <si>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</si>
  <si>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</si>
  <si>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</si>
  <si>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</si>
  <si>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</si>
  <si>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</si>
  <si>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</si>
  <si>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</si>
  <si>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</si>
  <si>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</si>
  <si>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</si>
  <si>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</si>
  <si>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</si>
  <si>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</si>
  <si>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</si>
  <si>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</si>
  <si>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</si>
  <si>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</si>
  <si>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</si>
  <si>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</si>
  <si>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</si>
  <si>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</si>
  <si>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</si>
  <si>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</si>
  <si>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</si>
  <si>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</si>
  <si>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</si>
  <si>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</si>
  <si>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</si>
  <si>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</si>
  <si>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</si>
  <si>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</si>
  <si>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</si>
  <si>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</si>
  <si>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</si>
  <si>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</si>
  <si>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</si>
  <si>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</si>
  <si>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</si>
  <si>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</si>
  <si>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</si>
  <si>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</si>
  <si>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</si>
  <si>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</si>
  <si>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</si>
  <si>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</si>
  <si>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</si>
  <si>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</si>
  <si>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</si>
  <si>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</si>
  <si>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</si>
  <si>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</si>
  <si>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</si>
  <si>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</si>
  <si>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</si>
  <si>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</si>
  <si>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</si>
  <si>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</si>
  <si>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</si>
  <si>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</si>
  <si>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</si>
  <si>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</si>
  <si>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</si>
  <si>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</si>
  <si>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</si>
  <si>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</si>
  <si>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</si>
  <si>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</si>
  <si>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</si>
  <si>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</si>
  <si>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</si>
  <si>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</si>
  <si>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</si>
  <si>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</si>
  <si>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</si>
  <si>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</si>
  <si>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</si>
  <si>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</si>
  <si>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</si>
  <si>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</si>
  <si>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</si>
  <si>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</si>
  <si>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</si>
  <si>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</si>
  <si>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</si>
  <si>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</si>
  <si>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</si>
  <si>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</si>
  <si>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</si>
  <si>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</si>
  <si>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</si>
  <si>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</si>
  <si>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</si>
  <si>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</si>
  <si>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</si>
  <si>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</si>
  <si>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</si>
  <si>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</si>
  <si>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</si>
  <si>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</si>
  <si>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</si>
  <si>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</si>
  <si>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</si>
  <si>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</si>
  <si>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</si>
  <si>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</si>
  <si>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</si>
  <si>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</si>
  <si>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</si>
  <si>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</si>
  <si>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</si>
  <si>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</si>
  <si>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</si>
  <si>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</si>
  <si>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</si>
  <si>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</si>
  <si>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</si>
  <si>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</si>
  <si>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</si>
  <si>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</si>
  <si>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</si>
  <si>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</si>
  <si>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</si>
  <si>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</si>
  <si>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</si>
  <si>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</si>
  <si>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</si>
  <si>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</si>
  <si>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</si>
  <si>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</si>
  <si>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</si>
  <si>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</si>
  <si>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</si>
  <si>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</si>
  <si>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</si>
  <si>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</si>
  <si>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</si>
  <si>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</si>
  <si>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</si>
  <si>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</si>
  <si>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</si>
  <si>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</si>
  <si>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</si>
  <si>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</si>
  <si>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</si>
  <si>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</si>
  <si>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</si>
  <si>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</si>
  <si>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</si>
  <si>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</si>
  <si>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</si>
  <si>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</si>
  <si>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</si>
  <si>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</si>
  <si>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</si>
  <si>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</si>
  <si>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</si>
  <si>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</si>
  <si>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</si>
  <si>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</si>
  <si>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</si>
  <si>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</si>
  <si>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</si>
  <si>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</si>
  <si>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</si>
  <si>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</si>
  <si>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</si>
  <si>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</si>
  <si>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</si>
  <si>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</si>
  <si>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</si>
  <si>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</si>
  <si>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</si>
  <si>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</si>
  <si>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</si>
  <si>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</si>
  <si>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</si>
  <si>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</si>
  <si>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</si>
  <si>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</si>
  <si>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</si>
  <si>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</si>
  <si>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</si>
  <si>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</si>
  <si>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</si>
  <si>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</si>
  <si>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</si>
  <si>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</si>
  <si>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</si>
  <si>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</si>
  <si>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</si>
  <si>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</si>
  <si>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</si>
  <si>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</si>
  <si>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</si>
  <si>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</si>
  <si>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</si>
  <si>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</si>
  <si>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</si>
  <si>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</si>
  <si>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</si>
  <si>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</si>
  <si>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</si>
  <si>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</si>
  <si>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</si>
  <si>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</si>
  <si>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</si>
  <si>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</si>
  <si>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</si>
  <si>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</si>
  <si>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</si>
  <si>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</si>
  <si>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</si>
  <si>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</si>
  <si>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</si>
  <si>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</si>
  <si>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</si>
  <si>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</si>
  <si>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</si>
  <si>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</si>
  <si>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</si>
  <si>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</si>
  <si>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</si>
  <si>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</si>
  <si>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</si>
  <si>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</si>
  <si>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</si>
  <si>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</si>
  <si>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</si>
  <si>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</si>
  <si>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</si>
  <si>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</si>
  <si>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</si>
  <si>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</si>
  <si>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</si>
  <si>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</si>
  <si>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</si>
  <si>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</si>
  <si>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</si>
  <si>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</si>
  <si>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</si>
  <si>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</si>
  <si>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</si>
  <si>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</si>
  <si>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</si>
  <si>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</si>
  <si>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</si>
  <si>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</si>
  <si>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</si>
  <si>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</si>
  <si>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</si>
  <si>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</si>
  <si>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</si>
  <si>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</si>
  <si>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</si>
  <si>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</si>
  <si>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</si>
  <si>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</si>
  <si>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</si>
  <si>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</si>
  <si>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</si>
  <si>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</si>
  <si>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</si>
  <si>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</si>
  <si>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</si>
  <si>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</si>
  <si>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</si>
  <si>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</si>
  <si>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</si>
  <si>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</si>
  <si>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</si>
  <si>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</si>
  <si>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</si>
  <si>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</si>
  <si>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</si>
  <si>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</si>
  <si>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</si>
  <si>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</si>
  <si>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</si>
  <si>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</si>
  <si>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</si>
  <si>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</si>
  <si>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</si>
  <si>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</si>
  <si>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</si>
  <si>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</si>
  <si>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</si>
  <si>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</si>
  <si>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</si>
  <si>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</si>
  <si>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</si>
  <si>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</si>
  <si>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</si>
  <si>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</si>
  <si>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</si>
  <si>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</si>
  <si>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</si>
  <si>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</si>
  <si>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</si>
  <si>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</si>
  <si>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</si>
  <si>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</si>
  <si>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</si>
  <si>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</si>
  <si>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</si>
  <si>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</si>
  <si>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</si>
  <si>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</si>
  <si>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</si>
  <si>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</si>
  <si>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</si>
  <si>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</si>
  <si>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</si>
  <si>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</si>
  <si>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</si>
  <si>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</si>
  <si>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</si>
  <si>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</si>
  <si>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</si>
  <si>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</si>
  <si>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</si>
  <si>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</si>
  <si>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</si>
  <si>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</si>
  <si>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</si>
  <si>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</si>
  <si>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</si>
  <si>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</si>
  <si>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</si>
  <si>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</si>
  <si>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</si>
  <si>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</si>
  <si>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</si>
  <si>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</si>
  <si>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</si>
  <si>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</si>
  <si>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</si>
  <si>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</si>
  <si>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</si>
  <si>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</si>
  <si>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</si>
  <si>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</si>
  <si>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</si>
  <si>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</si>
  <si>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</si>
  <si>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</si>
  <si>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</si>
  <si>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</si>
  <si>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</si>
  <si>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</si>
  <si>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</si>
  <si>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</si>
  <si>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</si>
  <si>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</si>
  <si>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</si>
  <si>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</si>
  <si>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</si>
  <si>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</si>
  <si>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</si>
  <si>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</si>
  <si>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</si>
  <si>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</si>
  <si>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</si>
  <si>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</si>
  <si>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</si>
  <si>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</si>
  <si>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</si>
  <si>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</si>
  <si>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</si>
  <si>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</si>
  <si>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</si>
  <si>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</si>
  <si>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</si>
  <si>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</si>
  <si>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</si>
  <si>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</si>
  <si>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</si>
  <si>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</si>
  <si>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</si>
  <si>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</si>
  <si>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</si>
  <si>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</si>
  <si>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</si>
  <si>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</si>
  <si>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</si>
  <si>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</si>
  <si>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</si>
  <si>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</si>
  <si>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</si>
  <si>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</si>
  <si>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</si>
  <si>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</si>
  <si>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</si>
  <si>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</si>
  <si>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</si>
  <si>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</si>
  <si>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</si>
  <si>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</si>
  <si>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</si>
  <si>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</si>
  <si>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</si>
  <si>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</si>
  <si>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</si>
  <si>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</si>
  <si>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</si>
  <si>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</si>
  <si>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</si>
  <si>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</si>
  <si>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</si>
  <si>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</si>
  <si>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</si>
  <si>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</si>
  <si>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</si>
  <si>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</si>
  <si>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</si>
  <si>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</si>
  <si>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</si>
  <si>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</si>
  <si>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</si>
  <si>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</si>
  <si>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</si>
  <si>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</si>
  <si>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</si>
  <si>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</si>
  <si>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</si>
  <si>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</si>
  <si>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</si>
  <si>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</si>
  <si>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</si>
  <si>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</si>
  <si>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</si>
  <si>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</si>
  <si>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</si>
  <si>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</si>
  <si>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</si>
  <si>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</si>
  <si>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</si>
  <si>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</si>
  <si>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</si>
  <si>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</si>
  <si>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</si>
  <si>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</si>
  <si>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</si>
  <si>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</si>
  <si>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</si>
  <si>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</si>
  <si>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</si>
  <si>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</si>
  <si>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</si>
  <si>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</si>
  <si>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</si>
  <si>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</si>
  <si>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</si>
  <si>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</si>
  <si>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</si>
  <si>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</si>
  <si>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</si>
  <si>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</si>
  <si>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</si>
  <si>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</si>
  <si>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</si>
  <si>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</si>
  <si>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</si>
  <si>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</si>
  <si>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</si>
  <si>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</si>
  <si>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</si>
  <si>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</si>
  <si>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</si>
  <si>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</si>
  <si>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</si>
  <si>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</si>
  <si>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</si>
  <si>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</si>
  <si>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</si>
  <si>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</si>
  <si>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</si>
  <si>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</si>
  <si>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</si>
  <si>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</si>
  <si>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</si>
  <si>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</si>
  <si>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</si>
  <si>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</si>
  <si>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</si>
  <si>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</si>
  <si>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</si>
  <si>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</si>
  <si>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</si>
  <si>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</si>
  <si>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</si>
  <si>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</si>
  <si>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</si>
  <si>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</si>
  <si>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</si>
  <si>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</si>
  <si>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</si>
  <si>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</si>
  <si>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</si>
  <si>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</si>
  <si>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</si>
  <si>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</si>
  <si>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</si>
  <si>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</si>
  <si>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</si>
  <si>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</si>
  <si>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</si>
  <si>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</si>
  <si>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</si>
  <si>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</si>
  <si>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</si>
  <si>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</si>
  <si>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</si>
  <si>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</si>
  <si>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</si>
  <si>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</si>
  <si>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</si>
  <si>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</si>
  <si>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</si>
  <si>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</si>
  <si>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</si>
  <si>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</si>
  <si>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</si>
  <si>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</si>
  <si>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</si>
  <si>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</si>
  <si>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</si>
  <si>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</si>
  <si>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</si>
  <si>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</si>
  <si>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</si>
  <si>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</si>
  <si>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</si>
  <si>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</si>
  <si>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</si>
  <si>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</si>
  <si>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</si>
  <si>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</si>
  <si>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</si>
  <si>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</si>
  <si>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</si>
  <si>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</si>
  <si>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</si>
  <si>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</si>
  <si>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</si>
  <si>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</si>
  <si>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</si>
  <si>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</si>
  <si>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</si>
  <si>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</si>
  <si>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</si>
  <si>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</si>
  <si>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</si>
  <si>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</si>
  <si>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</si>
  <si>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</si>
  <si>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</si>
  <si>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</si>
  <si>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</si>
  <si>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</si>
  <si>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</si>
  <si>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</si>
  <si>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</si>
  <si>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</si>
  <si>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</si>
  <si>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</si>
  <si>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</si>
  <si>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</si>
  <si>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</si>
  <si>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</si>
  <si>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</si>
  <si>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</si>
  <si>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</si>
  <si>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</si>
  <si>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</si>
  <si>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</si>
  <si>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</si>
  <si>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</si>
  <si>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</si>
  <si>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</si>
  <si>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</si>
  <si>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</si>
  <si>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</si>
  <si>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</si>
  <si>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</si>
  <si>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</si>
  <si>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</si>
  <si>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</si>
  <si>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</si>
  <si>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</si>
  <si>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</si>
  <si>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</si>
  <si>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</si>
  <si>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</si>
  <si>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</si>
  <si>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</si>
  <si>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</si>
  <si>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</si>
  <si>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</si>
  <si>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</si>
  <si>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</si>
  <si>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</si>
  <si>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</si>
  <si>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</si>
  <si>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</si>
  <si>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</si>
  <si>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</si>
  <si>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</si>
  <si>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</si>
  <si>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</si>
  <si>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</si>
  <si>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</si>
  <si>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</si>
  <si>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</si>
  <si>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</si>
  <si>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</si>
  <si>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</si>
  <si>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</si>
  <si>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</si>
  <si>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</si>
  <si>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</si>
  <si>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</si>
  <si>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</si>
  <si>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</si>
  <si>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</si>
  <si>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</si>
  <si>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</si>
  <si>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</si>
  <si>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</si>
  <si>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</si>
  <si>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</si>
  <si>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</si>
  <si>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</si>
  <si>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</si>
  <si>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</si>
  <si>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</si>
  <si>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</si>
  <si>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</si>
  <si>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</si>
  <si>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</si>
  <si>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</si>
  <si>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</si>
  <si>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</si>
  <si>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</si>
  <si>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</si>
  <si>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</si>
  <si>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</si>
  <si>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</si>
  <si>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</si>
  <si>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</si>
  <si>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</si>
  <si>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</si>
  <si>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</si>
  <si>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</si>
  <si>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</si>
  <si>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</si>
  <si>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</si>
  <si>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</si>
  <si>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</si>
  <si>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</si>
  <si>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</si>
  <si>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</si>
  <si>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</si>
  <si>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</si>
  <si>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</si>
  <si>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</si>
  <si>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</si>
  <si>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</si>
  <si>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</si>
  <si>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</si>
  <si>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</si>
  <si>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</si>
  <si>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</si>
  <si>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</si>
  <si>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</si>
  <si>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</si>
  <si>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</si>
  <si>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</si>
  <si>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</si>
  <si>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</si>
  <si>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</si>
  <si>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</si>
  <si>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</si>
  <si>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</si>
  <si>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</si>
  <si>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</si>
  <si>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</si>
  <si>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</si>
  <si>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</si>
  <si>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</si>
  <si>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</si>
  <si>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</si>
  <si>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</si>
  <si>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</si>
  <si>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</si>
  <si>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</si>
  <si>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</si>
  <si>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</si>
  <si>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</si>
  <si>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</si>
  <si>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</si>
  <si>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</si>
  <si>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</si>
  <si>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</si>
  <si>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</si>
  <si>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</si>
  <si>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</si>
  <si>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</si>
  <si>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</si>
  <si>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</si>
  <si>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</si>
  <si>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</si>
  <si>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</si>
  <si>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</si>
  <si>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</si>
  <si>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</si>
  <si>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</si>
  <si>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</si>
  <si>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</si>
  <si>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</si>
  <si>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</si>
  <si>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</si>
  <si>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</si>
  <si>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</si>
  <si>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</si>
  <si>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</si>
  <si>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</si>
  <si>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</si>
  <si>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</si>
  <si>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</si>
  <si>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</si>
  <si>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</si>
  <si>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</si>
  <si>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</si>
  <si>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</si>
  <si>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</si>
  <si>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</si>
  <si>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</si>
  <si>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</si>
  <si>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</si>
  <si>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</si>
  <si>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</si>
  <si>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</si>
  <si>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</si>
  <si>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</si>
  <si>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</si>
  <si>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</si>
  <si>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</si>
  <si>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</si>
  <si>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</si>
  <si>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</si>
  <si>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</si>
  <si>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</si>
  <si>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</si>
  <si>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</si>
  <si>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</si>
  <si>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</si>
  <si>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</si>
  <si>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</si>
  <si>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</si>
  <si>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</si>
  <si>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</si>
  <si>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</si>
  <si>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</si>
  <si>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</si>
  <si>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</si>
  <si>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</si>
  <si>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</si>
  <si>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</si>
  <si>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</si>
  <si>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</si>
  <si>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</si>
  <si>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</si>
  <si>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</si>
  <si>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</si>
  <si>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</si>
  <si>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</si>
  <si>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</si>
  <si>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</si>
  <si>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</si>
  <si>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</si>
  <si>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</si>
  <si>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</si>
  <si>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</si>
  <si>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</si>
  <si>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</si>
  <si>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</si>
  <si>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</si>
  <si>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</si>
  <si>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</si>
  <si>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</si>
  <si>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</si>
  <si>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</si>
  <si>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</si>
  <si>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</si>
  <si>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</si>
  <si>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</si>
  <si>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</si>
  <si>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</si>
  <si>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</si>
  <si>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</si>
  <si>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</si>
  <si>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</si>
  <si>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</si>
  <si>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</si>
  <si>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</si>
  <si>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</si>
  <si>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</si>
  <si>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</si>
  <si>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</si>
  <si>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</si>
  <si>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</si>
  <si>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</si>
  <si>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</si>
  <si>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</si>
  <si>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</si>
  <si>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</si>
  <si>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</si>
  <si>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</si>
  <si>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</si>
  <si>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</si>
  <si>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</si>
  <si>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</si>
  <si>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</si>
  <si>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</si>
  <si>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</si>
  <si>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</si>
  <si>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</si>
  <si>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</si>
  <si>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</si>
  <si>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</si>
  <si>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</si>
  <si>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</si>
  <si>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</si>
  <si>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</si>
  <si>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</si>
  <si>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</si>
  <si>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</si>
  <si>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</si>
  <si>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</si>
  <si>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</si>
  <si>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</si>
  <si>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</si>
  <si>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</si>
  <si>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</si>
  <si>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</si>
  <si>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</si>
  <si>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</si>
  <si>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</si>
  <si>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</si>
  <si>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</si>
  <si>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</si>
  <si>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</si>
  <si>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</si>
  <si>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</si>
  <si>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</si>
  <si>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</si>
  <si>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</si>
  <si>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</si>
  <si>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</si>
  <si>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</si>
  <si>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</si>
  <si>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</si>
  <si>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</si>
  <si>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</si>
  <si>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</si>
  <si>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</si>
  <si>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</si>
  <si>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</si>
  <si>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</si>
  <si>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</si>
  <si>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</si>
  <si>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</si>
  <si>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</si>
  <si>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</si>
  <si>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</si>
  <si>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</si>
  <si>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</si>
  <si>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</si>
  <si>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</si>
  <si>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</si>
  <si>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</si>
  <si>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</si>
  <si>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</si>
  <si>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</si>
  <si>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</si>
  <si>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</si>
  <si>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</si>
  <si>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</si>
  <si>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</si>
  <si>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</si>
  <si>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</si>
  <si>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</si>
  <si>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</si>
  <si>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</si>
  <si>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</si>
  <si>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</si>
  <si>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</si>
  <si>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</si>
  <si>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</si>
  <si>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</si>
  <si>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</si>
  <si>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</si>
  <si>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</si>
  <si>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</si>
  <si>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</si>
  <si>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</si>
  <si>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</si>
  <si>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</si>
  <si>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</si>
  <si>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</si>
  <si>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</si>
  <si>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</si>
  <si>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</si>
  <si>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</si>
  <si>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</si>
  <si>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</si>
  <si>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</si>
  <si>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</si>
  <si>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</si>
  <si>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</si>
  <si>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</si>
  <si>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</si>
  <si>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</si>
  <si>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</si>
  <si>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</si>
  <si>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</si>
  <si>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</si>
  <si>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</si>
  <si>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</si>
  <si>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</si>
  <si>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</si>
  <si>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</si>
  <si>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</si>
  <si>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</si>
  <si>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</si>
  <si>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</si>
  <si>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</si>
  <si>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</si>
  <si>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</si>
  <si>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</si>
  <si>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</si>
  <si>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</si>
  <si>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</si>
  <si>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</si>
  <si>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</si>
  <si>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</si>
  <si>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</si>
  <si>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</si>
  <si>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</si>
  <si>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</si>
  <si>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</si>
  <si>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</si>
  <si>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</si>
  <si>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</si>
  <si>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</si>
  <si>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</si>
  <si>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</si>
  <si>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</si>
  <si>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</si>
  <si>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</si>
  <si>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</si>
  <si>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</si>
  <si>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</si>
  <si>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</si>
  <si>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</si>
  <si>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</si>
  <si>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</si>
  <si>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</si>
  <si>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</si>
  <si>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</si>
  <si>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</si>
  <si>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</si>
  <si>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</si>
  <si>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</si>
  <si>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</si>
  <si>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</si>
  <si>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</si>
  <si>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</si>
  <si>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</si>
  <si>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</si>
  <si>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</si>
  <si>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</si>
  <si>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</si>
  <si>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</si>
  <si>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</si>
  <si>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</si>
  <si>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</si>
  <si>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</si>
  <si>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</si>
  <si>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</si>
  <si>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</si>
  <si>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</si>
  <si>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</si>
  <si>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</si>
  <si>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</si>
  <si>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</si>
  <si>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</si>
  <si>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</si>
  <si>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</si>
  <si>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</si>
  <si>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</si>
  <si>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</si>
  <si>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</si>
  <si>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</si>
  <si>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</si>
  <si>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</si>
  <si>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</si>
  <si>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</si>
  <si>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</si>
  <si>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</si>
  <si>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</si>
  <si>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</si>
  <si>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</si>
  <si>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</si>
  <si>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</si>
  <si>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</si>
  <si>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</si>
  <si>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</si>
  <si>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</si>
  <si>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</si>
  <si>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</si>
  <si>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</si>
  <si>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</si>
  <si>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</si>
  <si>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</si>
  <si>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</si>
  <si>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</si>
  <si>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</si>
  <si>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</si>
  <si>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</si>
  <si>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</si>
  <si>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</si>
  <si>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</si>
  <si>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</si>
  <si>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</si>
  <si>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</si>
  <si>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</si>
  <si>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</si>
  <si>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</si>
  <si>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</si>
  <si>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</si>
  <si>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</si>
  <si>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</si>
  <si>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</si>
  <si>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</si>
  <si>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</si>
  <si>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</si>
  <si>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</si>
  <si>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</si>
  <si>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</si>
  <si>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</si>
  <si>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</si>
  <si>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</si>
  <si>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</si>
  <si>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</si>
  <si>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</si>
  <si>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</si>
  <si>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</si>
  <si>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</si>
  <si>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</si>
  <si>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</si>
  <si>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</si>
  <si>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</si>
  <si>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</si>
  <si>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</si>
  <si>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</si>
  <si>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</si>
  <si>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</si>
  <si>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</si>
  <si>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</si>
  <si>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</si>
  <si>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</si>
  <si>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</si>
  <si>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</si>
  <si>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</si>
  <si>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</si>
  <si>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</si>
  <si>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</si>
  <si>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</si>
  <si>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</si>
  <si>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</si>
  <si>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</si>
  <si>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</si>
  <si>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</si>
  <si>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</si>
  <si>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</si>
  <si>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</si>
  <si>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</si>
  <si>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</si>
  <si>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</si>
  <si>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</si>
  <si>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</si>
  <si>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</si>
  <si>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</si>
  <si>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</si>
  <si>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</si>
  <si>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</si>
  <si>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</si>
  <si>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</si>
  <si>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</si>
  <si>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</si>
  <si>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</si>
  <si>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</si>
  <si>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</si>
  <si>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</si>
  <si>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</si>
  <si>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</si>
  <si>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</si>
  <si>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</si>
  <si>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</si>
  <si>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</si>
  <si>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</si>
  <si>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</si>
  <si>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</si>
  <si>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</si>
  <si>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</si>
  <si>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</si>
  <si>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</si>
  <si>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</si>
  <si>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</si>
  <si>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</si>
  <si>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</si>
  <si>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</si>
  <si>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</si>
  <si>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</si>
  <si>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</si>
  <si>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</si>
  <si>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</si>
  <si>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</si>
  <si>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</si>
  <si>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</si>
  <si>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</si>
  <si>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</si>
  <si>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</si>
  <si>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</si>
  <si>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</si>
  <si>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</si>
  <si>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</si>
  <si>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</si>
  <si>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</si>
  <si>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</si>
  <si>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</si>
  <si>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</si>
  <si>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</si>
  <si>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</si>
  <si>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</si>
  <si>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</si>
  <si>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</si>
  <si>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</si>
  <si>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</si>
  <si>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</si>
  <si>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</si>
  <si>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</si>
  <si>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</si>
  <si>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</si>
  <si>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</si>
  <si>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</si>
  <si>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</si>
  <si>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</si>
  <si>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</si>
  <si>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</si>
  <si>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</si>
  <si>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</si>
  <si>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</si>
  <si>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</si>
  <si>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</si>
  <si>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</si>
  <si>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</si>
  <si>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</si>
  <si>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</si>
  <si>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</si>
  <si>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</si>
  <si>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</si>
  <si>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</si>
  <si>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</si>
  <si>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</si>
  <si>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</si>
  <si>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</si>
  <si>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</si>
  <si>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</si>
  <si>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</si>
  <si>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</si>
  <si>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</si>
  <si>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</si>
  <si>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</si>
  <si>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</si>
  <si>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</si>
  <si>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</si>
  <si>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</si>
  <si>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</si>
  <si>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</si>
  <si>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</si>
  <si>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</si>
  <si>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</si>
  <si>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</si>
  <si>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</si>
  <si>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</si>
  <si>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</si>
  <si>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</si>
  <si>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</si>
  <si>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</si>
  <si>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</si>
  <si>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</si>
  <si>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</si>
  <si>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</si>
  <si>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</si>
  <si>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</si>
  <si>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</si>
  <si>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</si>
  <si>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</si>
  <si>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</si>
  <si>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</si>
  <si>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</si>
  <si>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</si>
  <si>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</si>
  <si>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</si>
  <si>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</si>
  <si>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</si>
  <si>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</si>
  <si>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</si>
  <si>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</si>
  <si>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</si>
  <si>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</si>
  <si>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</si>
  <si>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</si>
  <si>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</si>
  <si>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</si>
  <si>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</si>
  <si>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</si>
  <si>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</si>
  <si>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</si>
  <si>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</si>
  <si>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</si>
  <si>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</si>
  <si>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</si>
  <si>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</si>
  <si>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</si>
  <si>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</si>
  <si>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</si>
  <si>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</si>
  <si>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</si>
  <si>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</si>
  <si>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</si>
  <si>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</si>
  <si>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</si>
  <si>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</si>
  <si>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</si>
  <si>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</si>
  <si>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</si>
  <si>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</si>
  <si>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</si>
  <si>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</si>
  <si>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</si>
  <si>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</si>
  <si>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</si>
  <si>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</si>
  <si>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</si>
  <si>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</si>
  <si>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</si>
  <si>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</si>
  <si>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</si>
  <si>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</si>
  <si>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</si>
  <si>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</si>
  <si>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</si>
  <si>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</si>
  <si>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</si>
  <si>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</si>
  <si>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</si>
  <si>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</si>
  <si>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</si>
  <si>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</si>
  <si>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</si>
  <si>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</si>
  <si>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</si>
  <si>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</si>
  <si>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</si>
  <si>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</si>
  <si>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</si>
  <si>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</si>
  <si>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</si>
  <si>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</si>
  <si>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</si>
  <si>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</si>
  <si>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</si>
  <si>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</si>
  <si>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</si>
  <si>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</si>
  <si>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</si>
  <si>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</si>
  <si>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</si>
  <si>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</si>
  <si>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</si>
  <si>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</si>
  <si>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</si>
  <si>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</si>
  <si>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</si>
  <si>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</si>
  <si>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</si>
  <si>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</si>
  <si>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</si>
  <si>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</si>
  <si>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</si>
  <si>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</si>
  <si>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</si>
  <si>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</si>
  <si>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</si>
  <si>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</si>
  <si>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</si>
  <si>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</si>
  <si>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</si>
  <si>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</si>
  <si>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</si>
  <si>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</si>
  <si>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</si>
  <si>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</si>
  <si>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</si>
  <si>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</si>
  <si>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</si>
  <si>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</si>
  <si>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</si>
  <si>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</si>
  <si>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</si>
  <si>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</si>
  <si>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</si>
  <si>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</si>
  <si>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</si>
  <si>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</si>
  <si>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</si>
  <si>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</si>
  <si>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</si>
  <si>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</si>
  <si>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</si>
  <si>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</si>
  <si>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</si>
  <si>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</si>
  <si>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</si>
  <si>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</si>
  <si>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</si>
  <si>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</si>
  <si>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</si>
  <si>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</si>
  <si>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</si>
  <si>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</si>
  <si>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</si>
  <si>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</si>
  <si>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</si>
  <si>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</si>
  <si>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</si>
  <si>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</si>
  <si>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</si>
  <si>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</si>
  <si>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</si>
  <si>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</si>
  <si>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</si>
  <si>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</si>
  <si>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</si>
  <si>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</si>
  <si>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</si>
  <si>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</si>
  <si>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</si>
  <si>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</si>
  <si>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</si>
  <si>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</si>
  <si>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</si>
  <si>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</si>
  <si>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</si>
  <si>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</si>
  <si>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</si>
  <si>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</si>
  <si>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</si>
  <si>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</si>
  <si>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</si>
  <si>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</si>
  <si>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</si>
  <si>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</si>
  <si>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</si>
  <si>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</si>
  <si>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</si>
  <si>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</si>
  <si>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</si>
  <si>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</si>
  <si>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</si>
  <si>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</si>
  <si>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</si>
  <si>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</si>
  <si>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</si>
  <si>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</si>
  <si>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</si>
  <si>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</si>
  <si>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</si>
  <si>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</si>
  <si>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</si>
  <si>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</si>
  <si>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</si>
  <si>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</si>
  <si>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</si>
  <si>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</si>
  <si>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</si>
  <si>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</si>
  <si>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</si>
  <si>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</si>
  <si>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</si>
  <si>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</si>
  <si>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</si>
  <si>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</si>
  <si>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</si>
  <si>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</si>
  <si>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</si>
  <si>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</si>
  <si>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</si>
  <si>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</si>
  <si>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</si>
  <si>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</si>
  <si>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</si>
  <si>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</si>
  <si>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</si>
  <si>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</si>
  <si>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</si>
  <si>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</si>
  <si>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</si>
  <si>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</si>
  <si>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</si>
  <si>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</si>
  <si>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</si>
  <si>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</si>
  <si>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</si>
  <si>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</si>
  <si>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</si>
  <si>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</si>
  <si>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</si>
  <si>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</si>
  <si>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</si>
  <si>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</si>
  <si>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</si>
  <si>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</si>
  <si>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</si>
  <si>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</si>
  <si>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</si>
  <si>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</si>
  <si>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</si>
  <si>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</si>
  <si>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</si>
  <si>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</si>
  <si>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</si>
  <si>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</si>
  <si>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</si>
  <si>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</si>
  <si>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</si>
  <si>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</si>
  <si>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</si>
  <si>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</si>
  <si>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</si>
  <si>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</si>
  <si>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</si>
  <si>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</si>
  <si>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</si>
  <si>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</si>
  <si>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</si>
  <si>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</si>
  <si>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</si>
  <si>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</si>
  <si>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</si>
  <si>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</si>
  <si>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</si>
  <si>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</si>
  <si>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</si>
  <si>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</si>
  <si>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</si>
  <si>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</si>
  <si>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</si>
  <si>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</si>
  <si>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</si>
  <si>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</si>
  <si>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</si>
  <si>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</si>
  <si>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</si>
  <si>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</si>
  <si>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</si>
  <si>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</si>
  <si>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</si>
  <si>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</si>
  <si>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</si>
  <si>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</si>
  <si>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</si>
  <si>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</si>
  <si>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</si>
  <si>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</si>
  <si>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</si>
  <si>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</si>
  <si>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</si>
  <si>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</si>
  <si>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</si>
  <si>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</si>
  <si>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</si>
  <si>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</si>
  <si>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</si>
  <si>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</si>
  <si>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</si>
  <si>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</si>
  <si>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</si>
  <si>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</si>
  <si>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</si>
  <si>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</si>
  <si>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</si>
  <si>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</si>
  <si>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</si>
  <si>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</si>
  <si>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</si>
  <si>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</si>
  <si>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</si>
  <si>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</si>
  <si>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</si>
  <si>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</si>
  <si>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</si>
  <si>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</si>
  <si>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</si>
  <si>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</si>
  <si>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</si>
  <si>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</si>
  <si>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</si>
  <si>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</si>
  <si>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</si>
  <si>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</si>
  <si>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</si>
  <si>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</si>
  <si>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</si>
  <si>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</si>
  <si>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</si>
  <si>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</si>
  <si>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</si>
  <si>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</si>
  <si>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</si>
  <si>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</si>
  <si>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</si>
  <si>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</si>
  <si>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</si>
  <si>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</si>
  <si>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</si>
  <si>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</si>
  <si>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</si>
  <si>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</si>
  <si>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</si>
  <si>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</si>
  <si>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</si>
  <si>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</si>
  <si>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</si>
  <si>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</si>
  <si>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</si>
  <si>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</si>
  <si>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</si>
  <si>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</si>
  <si>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</si>
  <si>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</si>
  <si>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</si>
  <si>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</si>
  <si>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</si>
  <si>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</si>
  <si>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</si>
  <si>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</si>
  <si>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</si>
  <si>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</si>
  <si>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</si>
  <si>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</si>
  <si>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</si>
  <si>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</si>
  <si>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</si>
  <si>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</si>
  <si>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</si>
  <si>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</si>
  <si>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</si>
  <si>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</si>
  <si>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</si>
  <si>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</si>
  <si>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</si>
  <si>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</si>
  <si>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</si>
  <si>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</si>
  <si>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</si>
  <si>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</si>
  <si>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</si>
  <si>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</si>
  <si>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</si>
  <si>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</si>
  <si>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</si>
  <si>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</si>
  <si>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</si>
  <si>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</si>
  <si>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</si>
  <si>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</si>
  <si>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</si>
  <si>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</si>
  <si>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</si>
  <si>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</si>
  <si>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</si>
  <si>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</si>
  <si>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</si>
  <si>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</si>
  <si>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</si>
  <si>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</si>
  <si>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</si>
  <si>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</si>
  <si>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</si>
  <si>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</si>
  <si>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</si>
  <si>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</si>
  <si>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</si>
  <si>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</si>
  <si>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</si>
  <si>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</si>
  <si>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</si>
  <si>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</si>
  <si>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</si>
  <si>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</si>
  <si>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</si>
  <si>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</si>
  <si>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</si>
  <si>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</si>
  <si>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</si>
  <si>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</si>
  <si>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</si>
  <si>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</si>
  <si>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</si>
  <si>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</si>
  <si>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</si>
  <si>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</si>
  <si>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</si>
  <si>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</si>
  <si>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</si>
  <si>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</si>
  <si>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</si>
  <si>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</si>
  <si>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</si>
  <si>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</si>
  <si>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</si>
  <si>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</si>
  <si>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</si>
  <si>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</si>
  <si>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</si>
  <si>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</si>
  <si>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</si>
  <si>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</si>
  <si>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</si>
  <si>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</si>
  <si>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</si>
  <si>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</si>
  <si>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</si>
  <si>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</si>
  <si>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</si>
  <si>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</si>
  <si>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</si>
  <si>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</si>
  <si>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</si>
  <si>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</si>
  <si>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</si>
  <si>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</si>
  <si>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</si>
  <si>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</si>
  <si>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</si>
  <si>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</si>
  <si>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</si>
  <si>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</si>
  <si>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</si>
  <si>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</si>
  <si>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</si>
  <si>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</si>
  <si>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</si>
  <si>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</si>
  <si>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</si>
  <si>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</si>
  <si>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</si>
  <si>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</si>
  <si>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</si>
  <si>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</si>
  <si>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</si>
  <si>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</si>
  <si>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</si>
  <si>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</si>
  <si>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</si>
  <si>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</si>
  <si>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</si>
  <si>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</si>
  <si>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</si>
  <si>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</si>
  <si>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</si>
  <si>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</si>
  <si>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</si>
  <si>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</si>
  <si>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</si>
  <si>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</si>
  <si>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</si>
  <si>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</si>
  <si>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</si>
  <si>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</si>
  <si>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</si>
  <si>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</si>
  <si>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</si>
  <si>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</si>
  <si>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</si>
  <si>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</si>
  <si>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</si>
  <si>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</si>
  <si>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</si>
  <si>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</si>
  <si>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</si>
  <si>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</si>
  <si>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</si>
  <si>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</si>
  <si>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</si>
  <si>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</si>
  <si>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</si>
  <si>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</si>
  <si>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</si>
  <si>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</si>
  <si>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</si>
  <si>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</si>
  <si>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</si>
  <si>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</si>
  <si>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</si>
  <si>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</si>
  <si>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</si>
  <si>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</si>
  <si>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</si>
  <si>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</si>
  <si>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</si>
  <si>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</si>
  <si>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</si>
  <si>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</si>
  <si>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</si>
  <si>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</si>
  <si>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</si>
  <si>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</si>
  <si>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</si>
  <si>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</si>
  <si>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</si>
  <si>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</si>
  <si>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</si>
  <si>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</si>
  <si>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</si>
  <si>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</si>
  <si>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</si>
  <si>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</si>
  <si>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</si>
  <si>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</si>
  <si>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</si>
  <si>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</si>
  <si>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</si>
  <si>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</si>
  <si>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</si>
  <si>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</si>
  <si>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</si>
  <si>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</si>
  <si>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</si>
  <si>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</si>
  <si>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</si>
  <si>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</si>
  <si>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</si>
  <si>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</si>
  <si>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</si>
  <si>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</si>
  <si>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</si>
  <si>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</si>
  <si>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</si>
  <si>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</si>
  <si>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</si>
  <si>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</si>
  <si>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</si>
  <si>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</si>
  <si>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</si>
  <si>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</si>
  <si>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</si>
  <si>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</si>
  <si>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</si>
  <si>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</si>
  <si>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</si>
  <si>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</si>
  <si>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</si>
  <si>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</si>
  <si>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</si>
  <si>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</si>
  <si>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</si>
  <si>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</si>
  <si>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</si>
  <si>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</si>
  <si>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</si>
  <si>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</si>
  <si>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</si>
  <si>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</si>
  <si>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</si>
  <si>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</si>
  <si>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</si>
  <si>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</si>
  <si>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</si>
  <si>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</si>
  <si>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</si>
  <si>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</si>
  <si>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</si>
  <si>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</si>
  <si>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</si>
  <si>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</si>
  <si>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</si>
  <si>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</si>
  <si>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</si>
  <si>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</si>
  <si>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</si>
  <si>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</si>
  <si>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</si>
  <si>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</si>
  <si>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</si>
  <si>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</si>
  <si>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</si>
  <si>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</si>
  <si>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</si>
  <si>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</si>
  <si>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</si>
  <si>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</si>
  <si>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</si>
  <si>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</si>
  <si>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</si>
  <si>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</si>
  <si>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</si>
  <si>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</si>
  <si>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</si>
  <si>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</si>
  <si>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</si>
  <si>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</si>
  <si>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</si>
  <si>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</si>
  <si>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</si>
  <si>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</si>
  <si>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</si>
  <si>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</si>
  <si>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</si>
  <si>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</si>
  <si>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</si>
  <si>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</si>
  <si>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</si>
  <si>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</si>
  <si>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</si>
  <si>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</si>
  <si>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</si>
  <si>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</si>
  <si>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</si>
  <si>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</si>
  <si>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</si>
  <si>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</si>
  <si>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</si>
  <si>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</si>
  <si>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</si>
  <si>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</si>
  <si>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</si>
  <si>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</si>
  <si>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</si>
  <si>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</si>
  <si>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</si>
  <si>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</si>
  <si>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</si>
  <si>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</si>
  <si>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</si>
  <si>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</si>
  <si>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</si>
  <si>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</si>
  <si>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</si>
  <si>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</si>
  <si>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</si>
  <si>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</si>
  <si>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</si>
  <si>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</si>
  <si>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</si>
  <si>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</si>
  <si>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</si>
  <si>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</si>
  <si>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</si>
  <si>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</si>
  <si>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</si>
  <si>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</si>
  <si>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</si>
  <si>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</si>
  <si>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</si>
  <si>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</si>
  <si>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</si>
  <si>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</si>
  <si>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</si>
  <si>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</si>
  <si>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</si>
  <si>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</si>
  <si>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</si>
  <si>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</si>
  <si>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</si>
  <si>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</si>
  <si>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</si>
  <si>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</si>
  <si>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</si>
  <si>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</si>
  <si>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</si>
  <si>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</si>
  <si>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</si>
  <si>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</si>
  <si>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</si>
  <si>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</si>
  <si>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</si>
  <si>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</si>
  <si>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</si>
  <si>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</si>
  <si>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</si>
  <si>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</si>
  <si>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</si>
  <si>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</si>
  <si>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</si>
  <si>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</si>
  <si>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</si>
  <si>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</si>
  <si>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</si>
  <si>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</si>
  <si>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</si>
  <si>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</si>
  <si>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</si>
  <si>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</si>
  <si>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</si>
  <si>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</si>
  <si>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</si>
  <si>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</si>
  <si>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</si>
  <si>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</si>
  <si>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</si>
  <si>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</si>
  <si>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</si>
  <si>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</si>
  <si>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</si>
  <si>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</si>
  <si>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</si>
  <si>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</si>
  <si>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</si>
  <si>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</si>
  <si>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</si>
  <si>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</si>
  <si>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</si>
  <si>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</si>
  <si>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</si>
  <si>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</si>
  <si>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</si>
  <si>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</si>
  <si>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</si>
  <si>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</si>
  <si>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</si>
  <si>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</si>
  <si>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</si>
  <si>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</si>
  <si>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</si>
  <si>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</si>
  <si>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</si>
  <si>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</si>
  <si>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</si>
  <si>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</si>
  <si>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</si>
  <si>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</si>
  <si>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</si>
  <si>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</si>
  <si>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</si>
  <si>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</si>
  <si>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</si>
  <si>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</si>
  <si>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</si>
  <si>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</si>
  <si>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</si>
  <si>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</si>
  <si>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</si>
  <si>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</si>
  <si>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</si>
  <si>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</si>
  <si>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</si>
  <si>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</si>
  <si>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</si>
  <si>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</si>
  <si>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</si>
  <si>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</si>
  <si>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</si>
  <si>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</si>
  <si>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</si>
  <si>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</si>
  <si>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</si>
  <si>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</si>
  <si>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</si>
  <si>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</si>
  <si>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</si>
  <si>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</si>
  <si>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</si>
  <si>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</si>
  <si>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</si>
  <si>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</si>
  <si>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</si>
  <si>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</si>
  <si>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</si>
  <si>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</si>
  <si>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</si>
  <si>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</si>
  <si>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</si>
  <si>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</si>
  <si>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</si>
  <si>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</si>
  <si>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</si>
  <si>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</si>
  <si>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</si>
  <si>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</si>
  <si>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</si>
  <si>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</si>
  <si>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</si>
  <si>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</si>
  <si>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</si>
  <si>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</si>
  <si>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</si>
  <si>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</si>
  <si>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</si>
  <si>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</si>
  <si>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</si>
  <si>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</si>
  <si>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</si>
  <si>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</si>
  <si>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</si>
  <si>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</si>
  <si>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</si>
  <si>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</si>
  <si>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</si>
  <si>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</si>
  <si>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</si>
  <si>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</si>
  <si>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</si>
  <si>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</si>
  <si>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</si>
  <si>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</si>
  <si>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</si>
  <si>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</si>
  <si>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</si>
  <si>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</si>
  <si>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</si>
  <si>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</si>
  <si>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</si>
  <si>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</si>
  <si>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</si>
  <si>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</si>
  <si>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</si>
  <si>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</si>
  <si>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</si>
  <si>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</si>
  <si>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</si>
  <si>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</si>
  <si>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</si>
  <si>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</si>
  <si>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</si>
  <si>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</si>
  <si>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</si>
  <si>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</si>
  <si>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</si>
  <si>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</si>
  <si>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</si>
  <si>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</si>
  <si>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</si>
  <si>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</si>
  <si>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</si>
  <si>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</si>
  <si>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</si>
  <si>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</si>
  <si>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</si>
  <si>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</si>
  <si>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</si>
  <si>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</si>
  <si>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</si>
  <si>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</si>
  <si>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</si>
  <si>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</si>
  <si>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</si>
  <si>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</si>
  <si>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</si>
  <si>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</si>
  <si>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</si>
  <si>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</si>
  <si>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</si>
  <si>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</si>
  <si>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</si>
  <si>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</si>
  <si>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</si>
  <si>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</si>
  <si>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</si>
  <si>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</si>
  <si>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</si>
  <si>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</si>
  <si>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</si>
  <si>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</si>
  <si>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</si>
  <si>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</si>
  <si>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</si>
  <si>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</si>
  <si>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</si>
  <si>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</si>
  <si>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</si>
  <si>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</si>
  <si>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</si>
  <si>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</si>
  <si>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</si>
  <si>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</si>
  <si>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</si>
  <si>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</si>
  <si>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</si>
  <si>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</si>
  <si>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</si>
  <si>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</si>
  <si>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</si>
  <si>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</si>
  <si>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</si>
  <si>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</si>
  <si>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</si>
  <si>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</si>
  <si>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</si>
  <si>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</si>
  <si>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</si>
  <si>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</si>
  <si>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</si>
  <si>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</si>
  <si>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</si>
  <si>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</si>
  <si>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</si>
  <si>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</si>
  <si>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</si>
  <si>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</si>
  <si>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</si>
  <si>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</si>
  <si>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</si>
  <si>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</si>
  <si>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</si>
  <si>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</si>
  <si>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</si>
  <si>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</si>
  <si>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</si>
  <si>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</si>
  <si>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</si>
  <si>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</si>
  <si>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</si>
  <si>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</si>
  <si>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</si>
  <si>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</si>
  <si>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</si>
  <si>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</si>
  <si>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</si>
  <si>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</si>
  <si>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</si>
  <si>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</si>
  <si>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</si>
  <si>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</si>
  <si>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</si>
  <si>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</si>
  <si>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</si>
  <si>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</si>
  <si>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</si>
  <si>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</si>
  <si>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</si>
  <si>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</si>
  <si>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</si>
  <si>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</si>
  <si>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</si>
  <si>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</si>
  <si>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</si>
  <si>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</si>
  <si>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</si>
  <si>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</si>
  <si>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</si>
  <si>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</si>
  <si>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</si>
  <si>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</si>
  <si>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</si>
  <si>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</si>
  <si>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</si>
  <si>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</si>
  <si>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</si>
  <si>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</si>
  <si>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</si>
  <si>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</si>
  <si>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</si>
  <si>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</si>
  <si>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</si>
  <si>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</si>
  <si>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</si>
  <si>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</si>
  <si>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</si>
  <si>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</si>
  <si>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</si>
  <si>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</si>
  <si>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</si>
  <si>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</si>
  <si>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</si>
  <si>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</si>
  <si>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</si>
  <si>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</si>
  <si>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</si>
  <si>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</si>
  <si>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</si>
  <si>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</si>
  <si>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</si>
  <si>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</si>
  <si>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</si>
  <si>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</si>
  <si>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</si>
  <si>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</si>
  <si>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</si>
  <si>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</si>
  <si>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</si>
  <si>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</si>
  <si>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</si>
  <si>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</si>
  <si>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</si>
  <si>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</si>
  <si>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</si>
  <si>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</si>
  <si>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</si>
  <si>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</si>
  <si>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</si>
  <si>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</si>
  <si>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</si>
  <si>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</si>
  <si>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</si>
  <si>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</si>
  <si>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</si>
  <si>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</si>
  <si>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</si>
  <si>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</si>
  <si>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</si>
  <si>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</si>
  <si>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</si>
  <si>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</si>
  <si>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</si>
  <si>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</si>
  <si>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</si>
  <si>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</si>
  <si>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</si>
  <si>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</si>
  <si>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</si>
  <si>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</si>
  <si>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</si>
  <si>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</si>
  <si>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</si>
  <si>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</si>
  <si>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</si>
  <si>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</si>
  <si>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</si>
  <si>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</si>
  <si>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</si>
  <si>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</si>
  <si>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</si>
  <si>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</si>
  <si>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</si>
  <si>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</si>
  <si>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</si>
  <si>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</si>
  <si>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</si>
  <si>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</si>
  <si>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</si>
  <si>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</si>
  <si>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</si>
  <si>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</si>
  <si>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</si>
  <si>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</si>
  <si>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</si>
  <si>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</si>
  <si>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</si>
  <si>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</si>
  <si>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</si>
  <si>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</si>
  <si>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</si>
  <si>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</si>
  <si>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</si>
  <si>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</si>
  <si>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</si>
  <si>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</si>
  <si>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</si>
  <si>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</si>
  <si>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</si>
  <si>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</si>
  <si>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</si>
  <si>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</si>
  <si>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</si>
  <si>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</si>
  <si>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</si>
  <si>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</si>
  <si>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</si>
  <si>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</si>
  <si>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</si>
  <si>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</si>
  <si>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</si>
  <si>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</si>
  <si>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</si>
  <si>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</si>
  <si>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</si>
  <si>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</si>
  <si>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</si>
  <si>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</si>
  <si>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</si>
  <si>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</si>
  <si>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</si>
  <si>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</si>
  <si>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</si>
  <si>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</si>
  <si>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</si>
  <si>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</si>
  <si>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</si>
  <si>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</si>
  <si>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</si>
  <si>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</si>
  <si>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</si>
  <si>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</si>
  <si>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</si>
  <si>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</si>
  <si>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</si>
  <si>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</si>
  <si>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</si>
  <si>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</si>
  <si>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</si>
  <si>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</si>
  <si>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</si>
  <si>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</si>
  <si>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</si>
  <si>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</si>
  <si>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</si>
  <si>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</si>
  <si>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</si>
  <si>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</si>
  <si>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</si>
  <si>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</si>
  <si>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</si>
  <si>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</si>
  <si>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</si>
  <si>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</si>
  <si>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</si>
  <si>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</si>
  <si>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</si>
  <si>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</si>
  <si>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</si>
  <si>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</si>
  <si>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</si>
  <si>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</si>
  <si>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</si>
  <si>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</si>
  <si>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</si>
  <si>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</si>
  <si>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</si>
  <si>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</si>
  <si>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</si>
  <si>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</si>
  <si>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</si>
  <si>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</si>
  <si>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</si>
  <si>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</si>
  <si>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</si>
  <si>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</si>
  <si>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</si>
  <si>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</si>
  <si>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</si>
  <si>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</si>
  <si>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</si>
  <si>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</si>
  <si>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</si>
  <si>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</si>
  <si>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</si>
  <si>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</si>
  <si>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</si>
  <si>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</si>
  <si>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</si>
  <si>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</si>
  <si>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</si>
  <si>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</si>
  <si>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</si>
  <si>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</si>
  <si>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</si>
  <si>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</si>
  <si>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</si>
  <si>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</si>
  <si>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</si>
  <si>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</si>
  <si>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</si>
  <si>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</si>
  <si>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</si>
  <si>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</si>
  <si>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</si>
  <si>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</si>
  <si>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</si>
  <si>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</si>
  <si>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</si>
  <si>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</si>
  <si>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</si>
  <si>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</si>
  <si>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</si>
  <si>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</si>
  <si>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</si>
  <si>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</si>
  <si>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</si>
  <si>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</si>
  <si>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</si>
  <si>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</si>
  <si>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</si>
  <si>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</si>
  <si>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</si>
  <si>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</si>
  <si>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</si>
  <si>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</si>
  <si>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</si>
  <si>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</si>
  <si>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</si>
  <si>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</si>
  <si>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</si>
  <si>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</si>
  <si>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</si>
  <si>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</si>
  <si>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</si>
  <si>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</si>
  <si>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</si>
  <si>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</si>
  <si>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</si>
  <si>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</si>
  <si>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</si>
  <si>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</si>
  <si>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</si>
  <si>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</si>
  <si>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</si>
  <si>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</si>
  <si>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</si>
  <si>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</si>
  <si>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</si>
  <si>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</si>
  <si>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</si>
  <si>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</si>
  <si>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</si>
  <si>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</si>
  <si>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</si>
  <si>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</si>
  <si>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</si>
  <si>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</si>
  <si>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</si>
  <si>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</si>
  <si>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</si>
  <si>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</si>
  <si>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</si>
  <si>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</si>
  <si>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</si>
  <si>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</si>
  <si>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</si>
  <si>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</si>
  <si>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</si>
  <si>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</si>
  <si>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</si>
  <si>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</si>
  <si>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</si>
  <si>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</si>
  <si>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</si>
  <si>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</si>
  <si>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</si>
  <si>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</si>
  <si>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</si>
  <si>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</si>
  <si>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</si>
  <si>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</si>
  <si>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</si>
  <si>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</si>
  <si>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</si>
  <si>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</si>
  <si>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</si>
  <si>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</si>
  <si>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</si>
  <si>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</si>
  <si>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</si>
  <si>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</si>
  <si>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</si>
  <si>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</si>
  <si>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</si>
  <si>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</si>
  <si>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</si>
  <si>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</si>
  <si>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</si>
  <si>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</si>
  <si>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</si>
  <si>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</si>
  <si>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</si>
  <si>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</si>
  <si>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</si>
  <si>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</si>
  <si>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</si>
  <si>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</si>
  <si>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</si>
  <si>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</si>
  <si>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</si>
  <si>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</si>
  <si>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</si>
  <si>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</si>
  <si>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</si>
  <si>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</si>
  <si>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</si>
  <si>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</si>
  <si>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</si>
  <si>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</si>
  <si>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</si>
  <si>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</si>
  <si>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</si>
  <si>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</si>
  <si>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</si>
  <si>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</si>
  <si>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</si>
  <si>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</si>
  <si>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</si>
  <si>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</si>
  <si>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</si>
  <si>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</si>
  <si>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</si>
  <si>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</si>
  <si>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</si>
  <si>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</si>
  <si>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</si>
  <si>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</si>
  <si>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</si>
  <si>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</si>
  <si>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</si>
  <si>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</si>
  <si>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</si>
  <si>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</si>
  <si>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</si>
  <si>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</si>
  <si>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</si>
  <si>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</si>
  <si>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</si>
  <si>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</si>
  <si>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</si>
  <si>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</si>
  <si>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</si>
  <si>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</si>
  <si>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</si>
  <si>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</si>
  <si>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</si>
  <si>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</si>
  <si>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</si>
  <si>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</si>
  <si>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</si>
  <si>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</si>
  <si>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</si>
  <si>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</si>
  <si>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</si>
  <si>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</si>
  <si>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</si>
  <si>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</si>
  <si>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</si>
  <si>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</si>
  <si>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</si>
  <si>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</si>
  <si>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</si>
  <si>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</si>
  <si>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</si>
  <si>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</si>
  <si>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</si>
  <si>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</si>
  <si>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</si>
  <si>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</si>
  <si>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</si>
  <si>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</si>
  <si>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</si>
  <si>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</si>
  <si>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</si>
  <si>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</si>
  <si>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</si>
  <si>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</si>
  <si>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</si>
  <si>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</si>
  <si>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</si>
  <si>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</si>
  <si>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</si>
  <si>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</si>
  <si>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</si>
  <si>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</si>
  <si>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</si>
  <si>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</si>
  <si>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</si>
  <si>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</si>
  <si>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</si>
  <si>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</si>
  <si>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</si>
  <si>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</si>
  <si>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</si>
  <si>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</si>
  <si>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</si>
  <si>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</si>
  <si>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</si>
  <si>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</si>
  <si>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</si>
  <si>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</si>
  <si>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</si>
  <si>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</si>
  <si>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</si>
  <si>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</si>
  <si>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</si>
  <si>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</si>
  <si>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</si>
  <si>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</si>
  <si>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</si>
  <si>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</si>
  <si>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</si>
  <si>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</si>
  <si>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</si>
  <si>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</si>
  <si>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</si>
  <si>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</si>
  <si>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</si>
  <si>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</si>
  <si>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</si>
  <si>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</si>
  <si>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</si>
  <si>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</si>
  <si>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</si>
  <si>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</si>
  <si>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</si>
  <si>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</si>
  <si>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</si>
  <si>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</si>
  <si>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</si>
  <si>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</si>
  <si>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</si>
  <si>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</si>
  <si>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</si>
  <si>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</si>
  <si>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</si>
  <si>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</si>
  <si>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</si>
  <si>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</si>
  <si>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</si>
  <si>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</si>
  <si>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</si>
  <si>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</si>
  <si>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</si>
  <si>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</si>
  <si>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</si>
  <si>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</si>
  <si>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</si>
  <si>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</si>
  <si>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</si>
  <si>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</si>
  <si>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</si>
  <si>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</si>
  <si>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</si>
  <si>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</si>
  <si>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</si>
  <si>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</si>
  <si>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</si>
  <si>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</si>
  <si>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</si>
  <si>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</si>
  <si>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</si>
  <si>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</si>
  <si>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</si>
  <si>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</si>
  <si>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</si>
  <si>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</si>
  <si>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</si>
  <si>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</si>
  <si>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</si>
  <si>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</si>
  <si>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</si>
  <si>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</si>
  <si>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</si>
  <si>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</si>
  <si>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</si>
  <si>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</si>
  <si>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</si>
  <si>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</si>
  <si>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</si>
  <si>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</si>
  <si>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</si>
  <si>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</si>
  <si>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</si>
  <si>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</si>
  <si>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</si>
  <si>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</si>
  <si>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</si>
  <si>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</si>
  <si>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</si>
  <si>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</si>
  <si>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</si>
  <si>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</si>
  <si>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</si>
  <si>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</si>
  <si>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</si>
  <si>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</si>
  <si>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</si>
  <si>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</si>
  <si>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</si>
  <si>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</si>
  <si>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</si>
  <si>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</si>
  <si>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</si>
  <si>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</si>
  <si>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</si>
  <si>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</si>
  <si>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</si>
  <si>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</si>
  <si>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</si>
  <si>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</si>
  <si>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</si>
  <si>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</si>
  <si>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</si>
  <si>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</si>
  <si>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</si>
  <si>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</si>
  <si>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</si>
  <si>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</si>
  <si>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</si>
  <si>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</si>
  <si>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</si>
  <si>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</si>
  <si>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</si>
  <si>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</si>
  <si>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</si>
  <si>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</si>
  <si>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</si>
  <si>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</si>
  <si>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</si>
  <si>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</si>
  <si>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</si>
  <si>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</si>
  <si>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</si>
  <si>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</si>
  <si>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</si>
  <si>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</si>
  <si>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</si>
  <si>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</si>
  <si>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</si>
  <si>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</si>
  <si>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</si>
  <si>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</si>
  <si>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</si>
  <si>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</si>
  <si>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</si>
  <si>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</si>
  <si>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</si>
  <si>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</si>
  <si>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</si>
  <si>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</si>
  <si>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</si>
  <si>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</si>
  <si>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</si>
  <si>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</si>
  <si>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</si>
  <si>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</si>
  <si>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</si>
  <si>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</si>
  <si>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</si>
  <si>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</si>
  <si>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</si>
  <si>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</si>
  <si>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</si>
  <si>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</si>
  <si>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</si>
  <si>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</si>
  <si>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</si>
  <si>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</si>
  <si>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</si>
  <si>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</si>
  <si>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</si>
  <si>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</si>
  <si>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</si>
  <si>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</si>
  <si>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</si>
  <si>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</si>
  <si>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</si>
  <si>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</si>
  <si>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</si>
  <si>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</si>
  <si>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</si>
  <si>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</si>
  <si>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</si>
  <si>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</si>
  <si>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</si>
  <si>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</si>
  <si>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</si>
  <si>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</si>
  <si>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</si>
  <si>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</si>
  <si>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</si>
  <si>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</si>
  <si>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</si>
  <si>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</si>
  <si>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</si>
  <si>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</si>
  <si>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</si>
  <si>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</si>
  <si>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</si>
  <si>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</si>
  <si>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</si>
  <si>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</si>
  <si>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</si>
  <si>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</si>
  <si>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</si>
  <si>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</si>
  <si>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</si>
  <si>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</si>
  <si>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</si>
  <si>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</si>
  <si>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</si>
  <si>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</si>
  <si>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</si>
  <si>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</si>
  <si>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</si>
  <si>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</si>
  <si>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</si>
  <si>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</si>
  <si>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</si>
  <si>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</si>
  <si>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</si>
  <si>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</si>
  <si>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</si>
  <si>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</si>
  <si>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</si>
  <si>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</si>
  <si>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</si>
  <si>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</si>
  <si>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</si>
  <si>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</si>
  <si>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</si>
  <si>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</si>
  <si>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</si>
  <si>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</si>
  <si>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</si>
  <si>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</si>
  <si>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</si>
  <si>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</si>
  <si>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</si>
  <si>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</si>
  <si>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</si>
  <si>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</si>
  <si>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</si>
  <si>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</si>
  <si>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</si>
  <si>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</si>
  <si>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</si>
  <si>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</si>
  <si>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</si>
  <si>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</si>
  <si>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</si>
  <si>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</si>
  <si>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</si>
  <si>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</si>
  <si>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</si>
  <si>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</si>
  <si>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</si>
  <si>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</si>
  <si>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</si>
  <si>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</si>
  <si>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</si>
  <si>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</si>
  <si>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</si>
  <si>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</si>
  <si>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</si>
  <si>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</si>
  <si>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</si>
  <si>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</si>
  <si>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</si>
  <si>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</si>
  <si>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</si>
  <si>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</si>
  <si>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</si>
  <si>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</si>
  <si>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</si>
  <si>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</si>
  <si>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</si>
  <si>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</si>
  <si>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</si>
  <si>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</si>
  <si>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</si>
  <si>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</si>
  <si>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</si>
  <si>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</si>
  <si>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</si>
  <si>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</si>
  <si>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</si>
  <si>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</si>
  <si>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</si>
  <si>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</si>
  <si>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</si>
  <si>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</si>
  <si>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</si>
  <si>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</si>
  <si>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</si>
  <si>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</si>
  <si>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</si>
  <si>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</si>
  <si>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</si>
  <si>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</si>
  <si>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</si>
  <si>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</si>
  <si>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</si>
  <si>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</si>
  <si>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</si>
  <si>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</si>
  <si>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</si>
  <si>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</si>
  <si>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</si>
  <si>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</si>
  <si>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</si>
  <si>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</si>
  <si>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</si>
  <si>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</si>
  <si>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</si>
  <si>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</si>
  <si>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</si>
  <si>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</si>
  <si>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</si>
  <si>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</si>
  <si>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</si>
  <si>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</si>
  <si>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</si>
  <si>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</si>
  <si>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</si>
  <si>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</si>
  <si>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</si>
  <si>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</si>
  <si>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</si>
  <si>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</si>
  <si>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</si>
  <si>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</si>
  <si>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</si>
  <si>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</si>
  <si>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</si>
  <si>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</si>
  <si>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</si>
  <si>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</si>
  <si>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</si>
  <si>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</si>
  <si>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</si>
  <si>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</si>
  <si>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</si>
  <si>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</si>
  <si>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</si>
  <si>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</si>
  <si>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</si>
  <si>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</si>
  <si>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</si>
  <si>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</si>
  <si>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</si>
  <si>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</si>
  <si>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</si>
  <si>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</si>
  <si>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</si>
  <si>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</si>
  <si>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</si>
  <si>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</si>
  <si>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</si>
  <si>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</si>
  <si>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</si>
  <si>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</si>
  <si>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</si>
  <si>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</si>
  <si>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</si>
  <si>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</si>
  <si>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</si>
  <si>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</si>
  <si>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</si>
  <si>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</si>
  <si>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</si>
  <si>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</si>
  <si>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</si>
  <si>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</si>
  <si>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</si>
  <si>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</si>
  <si>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</si>
  <si>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</si>
  <si>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</si>
  <si>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</si>
  <si>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</si>
  <si>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</si>
  <si>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</si>
  <si>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</si>
  <si>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</si>
  <si>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</si>
  <si>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</si>
  <si>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</si>
  <si>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</si>
  <si>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</si>
  <si>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</si>
  <si>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</si>
  <si>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</si>
  <si>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</si>
  <si>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</si>
  <si>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</si>
  <si>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</si>
  <si>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</si>
  <si>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</si>
  <si>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</si>
  <si>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</si>
  <si>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</si>
  <si>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</si>
  <si>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</si>
  <si>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</si>
  <si>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</si>
  <si>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</si>
  <si>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</si>
  <si>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</si>
  <si>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</si>
  <si>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</si>
  <si>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</si>
  <si>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</si>
  <si>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</si>
  <si>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</si>
  <si>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</si>
  <si>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</si>
  <si>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</si>
  <si>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</si>
  <si>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</si>
  <si>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</si>
  <si>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</si>
  <si>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</si>
  <si>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</si>
  <si>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</si>
  <si>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</si>
  <si>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</si>
  <si>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</si>
  <si>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</si>
  <si>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</si>
  <si>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</si>
  <si>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</si>
  <si>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</si>
  <si>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</si>
  <si>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</si>
  <si>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</si>
  <si>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</si>
  <si>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</si>
  <si>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</si>
  <si>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</si>
  <si>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</si>
  <si>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</si>
  <si>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</si>
  <si>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</si>
  <si>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</si>
  <si>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</si>
  <si>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</si>
  <si>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</si>
  <si>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</si>
  <si>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</si>
  <si>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</si>
  <si>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</si>
  <si>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</si>
  <si>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</si>
  <si>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</si>
  <si>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</si>
  <si>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</si>
  <si>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</si>
  <si>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</si>
  <si>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</si>
  <si>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</si>
  <si>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</si>
  <si>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</si>
  <si>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</si>
  <si>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</si>
  <si>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</si>
  <si>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</si>
  <si>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</si>
  <si>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</si>
  <si>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</si>
  <si>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</si>
  <si>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</si>
  <si>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</si>
  <si>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</si>
  <si>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</si>
  <si>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</si>
  <si>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</si>
  <si>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</si>
  <si>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</si>
  <si>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</si>
  <si>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</si>
  <si>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</si>
  <si>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</si>
  <si>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</si>
  <si>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</si>
  <si>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</si>
  <si>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</si>
  <si>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</si>
  <si>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</si>
  <si>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</si>
  <si>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</si>
  <si>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</si>
  <si>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</si>
  <si>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</si>
  <si>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</si>
  <si>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</si>
  <si>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</si>
  <si>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</si>
  <si>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</si>
  <si>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</si>
  <si>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</si>
  <si>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</si>
  <si>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</si>
  <si>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</si>
  <si>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</si>
  <si>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</si>
  <si>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</si>
  <si>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</si>
  <si>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</si>
  <si>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</si>
  <si>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</si>
  <si>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</si>
  <si>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</si>
  <si>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</si>
  <si>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</si>
  <si>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</si>
  <si>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</si>
  <si>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</si>
  <si>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</si>
  <si>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</si>
  <si>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</si>
  <si>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</si>
  <si>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</si>
  <si>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</si>
  <si>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</si>
  <si>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</si>
  <si>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</si>
  <si>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</si>
  <si>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</si>
  <si>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</si>
  <si>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</si>
  <si>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</si>
  <si>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</si>
  <si>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</si>
  <si>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</si>
  <si>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</si>
  <si>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</si>
  <si>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</si>
  <si>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</si>
  <si>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</si>
  <si>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</si>
  <si>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</si>
  <si>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</si>
  <si>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</si>
  <si>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</si>
  <si>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</si>
  <si>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</si>
  <si>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</si>
  <si>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</si>
  <si>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</si>
  <si>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</si>
  <si>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</si>
  <si>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</si>
  <si>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</si>
  <si>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</si>
  <si>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</si>
  <si>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</si>
  <si>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</si>
  <si>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</si>
  <si>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</si>
  <si>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</si>
  <si>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</si>
  <si>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</si>
  <si>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</si>
  <si>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</si>
  <si>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</si>
  <si>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</si>
  <si>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</si>
  <si>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</si>
  <si>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</si>
  <si>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</si>
  <si>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</si>
  <si>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</si>
  <si>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</si>
  <si>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</si>
  <si>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</si>
  <si>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</si>
  <si>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</si>
  <si>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</si>
  <si>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</si>
  <si>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</si>
  <si>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</si>
  <si>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</si>
  <si>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</si>
  <si>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</si>
  <si>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</si>
  <si>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</si>
  <si>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</si>
  <si>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</si>
  <si>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</si>
  <si>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</si>
  <si>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</si>
  <si>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</si>
  <si>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</si>
  <si>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</si>
  <si>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</si>
  <si>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</si>
  <si>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</si>
  <si>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</si>
  <si>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</si>
  <si>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</si>
  <si>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</si>
  <si>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</si>
  <si>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</si>
  <si>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</si>
  <si>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</si>
  <si>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</si>
  <si>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</si>
  <si>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</si>
  <si>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</si>
  <si>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</si>
  <si>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</si>
  <si>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</si>
  <si>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</si>
  <si>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</si>
  <si>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</si>
  <si>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</si>
  <si>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</si>
  <si>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</si>
  <si>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</si>
  <si>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</si>
  <si>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</si>
  <si>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</si>
  <si>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</si>
  <si>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</si>
  <si>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</si>
  <si>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</si>
  <si>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</si>
  <si>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</si>
  <si>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</si>
  <si>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</si>
  <si>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</si>
  <si>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</si>
  <si>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</si>
  <si>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</si>
  <si>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</si>
  <si>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</si>
  <si>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</si>
  <si>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</si>
  <si>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</si>
  <si>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</si>
  <si>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</si>
  <si>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</si>
  <si>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</si>
  <si>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</si>
  <si>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</si>
  <si>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</si>
  <si>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</si>
  <si>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</si>
  <si>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</si>
  <si>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</si>
  <si>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</si>
  <si>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</si>
  <si>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</si>
  <si>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</si>
  <si>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</si>
  <si>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</si>
  <si>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</si>
  <si>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</si>
  <si>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</si>
  <si>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</si>
  <si>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</si>
  <si>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</si>
  <si>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</si>
  <si>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</si>
  <si>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</si>
  <si>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</si>
  <si>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</si>
  <si>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</si>
  <si>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</si>
  <si>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</si>
  <si>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</si>
  <si>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</si>
  <si>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</si>
  <si>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</si>
  <si>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</si>
  <si>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</si>
  <si>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</si>
  <si>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</si>
  <si>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</si>
  <si>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</si>
  <si>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</si>
  <si>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</si>
  <si>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</si>
  <si>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</si>
  <si>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</si>
  <si>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</si>
  <si>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</si>
  <si>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</si>
  <si>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</si>
  <si>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</si>
  <si>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</si>
  <si>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</si>
  <si>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</si>
  <si>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</si>
  <si>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</si>
  <si>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</si>
  <si>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</si>
  <si>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</si>
  <si>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</si>
  <si>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</si>
  <si>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</si>
  <si>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</si>
  <si>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</si>
  <si>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</si>
  <si>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</si>
  <si>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</si>
  <si>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</si>
  <si>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</si>
  <si>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</si>
  <si>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</si>
  <si>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</si>
  <si>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</si>
  <si>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</si>
  <si>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</si>
  <si>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</si>
  <si>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</si>
  <si>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</si>
  <si>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</si>
  <si>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</si>
  <si>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</si>
  <si>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</si>
  <si>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</si>
  <si>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</si>
  <si>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</si>
  <si>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</si>
  <si>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</si>
  <si>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</si>
  <si>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</si>
  <si>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</si>
  <si>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</si>
  <si>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</si>
  <si>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</si>
  <si>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</si>
  <si>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</si>
  <si>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</si>
  <si>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</si>
  <si>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</si>
  <si>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</si>
  <si>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</si>
  <si>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</si>
  <si>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</si>
  <si>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</si>
  <si>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</si>
  <si>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</si>
  <si>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</si>
  <si>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</si>
  <si>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</si>
  <si>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</si>
  <si>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</si>
  <si>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</si>
  <si>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</si>
  <si>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</si>
  <si>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</si>
  <si>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</si>
  <si>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</si>
  <si>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</si>
  <si>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</si>
  <si>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</si>
  <si>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</si>
  <si>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</si>
  <si>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</si>
  <si>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</si>
  <si>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</si>
  <si>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</si>
  <si>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</si>
  <si>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</si>
  <si>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</si>
  <si>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</si>
  <si>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</si>
  <si>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</si>
  <si>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</si>
  <si>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</si>
  <si>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</si>
  <si>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</si>
  <si>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</si>
  <si>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</si>
  <si>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</si>
  <si>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</si>
  <si>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</si>
  <si>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</si>
  <si>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</si>
  <si>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</si>
  <si>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</si>
  <si>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</si>
  <si>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</si>
  <si>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</si>
  <si>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</si>
  <si>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</si>
  <si>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</si>
  <si>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</si>
  <si>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</si>
  <si>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</si>
  <si>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</si>
  <si>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</si>
  <si>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</si>
  <si>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</si>
  <si>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</si>
  <si>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</si>
  <si>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</si>
  <si>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</si>
  <si>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</si>
  <si>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</si>
  <si>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</si>
  <si>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</si>
  <si>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</si>
  <si>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</si>
  <si>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</si>
  <si>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</si>
  <si>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</si>
  <si>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</si>
  <si>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</si>
  <si>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</si>
  <si>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</si>
  <si>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</si>
  <si>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</si>
  <si>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</si>
  <si>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</si>
  <si>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</si>
  <si>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</si>
  <si>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</si>
  <si>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</si>
  <si>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</si>
  <si>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</si>
  <si>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</si>
  <si>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</si>
  <si>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</si>
  <si>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</si>
  <si>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</si>
  <si>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</si>
  <si>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</si>
  <si>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</si>
  <si>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</si>
  <si>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</si>
  <si>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</si>
  <si>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</si>
  <si>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</si>
  <si>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</si>
  <si>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</si>
  <si>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</si>
  <si>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</si>
  <si>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</si>
  <si>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</si>
  <si>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</si>
  <si>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</si>
  <si>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</si>
  <si>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</si>
  <si>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</si>
  <si>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</si>
  <si>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</si>
  <si>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</si>
  <si>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</si>
  <si>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</si>
  <si>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</si>
  <si>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</si>
  <si>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</si>
  <si>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</si>
  <si>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</si>
  <si>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</si>
  <si>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</si>
  <si>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</si>
  <si>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</si>
  <si>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</si>
  <si>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</si>
  <si>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</si>
  <si>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</si>
  <si>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</si>
  <si>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</si>
  <si>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</si>
  <si>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</si>
  <si>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</si>
  <si>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</si>
  <si>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</si>
  <si>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</si>
  <si>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</si>
  <si>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</si>
  <si>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</si>
  <si>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</si>
  <si>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</si>
  <si>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</si>
  <si>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</si>
  <si>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</si>
  <si>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</si>
  <si>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</si>
  <si>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</si>
  <si>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</si>
  <si>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</si>
  <si>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</si>
  <si>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</si>
  <si>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</si>
  <si>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</si>
  <si>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</si>
  <si>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</si>
  <si>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</si>
  <si>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</si>
  <si>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</si>
  <si>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</si>
  <si>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</si>
  <si>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</si>
  <si>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</si>
  <si>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</si>
  <si>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</si>
  <si>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</si>
  <si>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</si>
  <si>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</si>
  <si>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</si>
  <si>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</si>
  <si>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</si>
  <si>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</si>
  <si>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</si>
  <si>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</si>
  <si>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</si>
  <si>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</si>
  <si>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</si>
  <si>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</si>
  <si>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</si>
  <si>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</si>
  <si>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</si>
  <si>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</si>
  <si>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</si>
  <si>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</si>
  <si>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</si>
  <si>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</si>
  <si>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</si>
  <si>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</si>
  <si>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</si>
  <si>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</si>
  <si>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</si>
  <si>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</si>
  <si>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</si>
  <si>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</si>
  <si>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</si>
  <si>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</si>
  <si>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</si>
  <si>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</si>
  <si>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</si>
  <si>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</si>
  <si>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</si>
  <si>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</si>
  <si>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</si>
  <si>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</si>
  <si>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</si>
  <si>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</si>
  <si>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</si>
  <si>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</si>
  <si>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</si>
  <si>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</si>
  <si>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</si>
  <si>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</si>
  <si>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</si>
  <si>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</si>
  <si>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</si>
  <si>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</si>
  <si>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</si>
  <si>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</si>
  <si>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</si>
  <si>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</si>
  <si>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</si>
  <si>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</si>
  <si>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</si>
  <si>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</si>
  <si>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</si>
  <si>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</si>
  <si>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</si>
  <si>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</si>
  <si>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</si>
  <si>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</si>
  <si>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</si>
  <si>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</si>
  <si>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</si>
  <si>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</si>
  <si>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</si>
  <si>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</si>
  <si>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</si>
  <si>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</si>
  <si>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</si>
  <si>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</si>
  <si>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</si>
  <si>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</si>
  <si>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</si>
  <si>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</si>
  <si>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</si>
  <si>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</si>
  <si>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</si>
  <si>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</si>
  <si>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</si>
  <si>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</si>
  <si>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</si>
  <si>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</si>
  <si>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</si>
  <si>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</si>
  <si>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</si>
  <si>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</si>
  <si>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</si>
  <si>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</si>
  <si>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</si>
  <si>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</si>
  <si>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</si>
  <si>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</si>
  <si>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</si>
  <si>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</si>
  <si>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</si>
  <si>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</si>
  <si>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</si>
  <si>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</si>
  <si>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</si>
  <si>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</si>
  <si>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</si>
  <si>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</si>
  <si>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</si>
  <si>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</si>
  <si>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</si>
  <si>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</si>
  <si>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</si>
  <si>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</si>
  <si>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</si>
  <si>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</si>
  <si>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</si>
  <si>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</si>
  <si>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</si>
  <si>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</si>
  <si>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</si>
  <si>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</si>
  <si>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</si>
  <si>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</si>
  <si>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</si>
  <si>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</si>
  <si>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</si>
  <si>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</si>
  <si>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</si>
  <si>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</si>
  <si>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</si>
  <si>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</si>
  <si>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</si>
  <si>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</si>
  <si>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</si>
  <si>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</si>
  <si>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</si>
  <si>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</si>
  <si>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</si>
  <si>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</si>
  <si>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</si>
  <si>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</si>
  <si>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</si>
  <si>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</si>
  <si>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</si>
  <si>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</si>
  <si>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</si>
  <si>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</si>
  <si>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</si>
  <si>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</si>
  <si>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</si>
  <si>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</si>
  <si>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</si>
  <si>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</si>
  <si>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</si>
  <si>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</si>
  <si>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</si>
  <si>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</si>
  <si>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</si>
  <si>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</si>
  <si>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</si>
  <si>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</si>
  <si>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</si>
  <si>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</si>
  <si>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</si>
  <si>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</si>
  <si>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</si>
  <si>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</si>
  <si>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</si>
  <si>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</si>
  <si>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</si>
  <si>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</si>
  <si>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</si>
  <si>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</si>
  <si>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</si>
  <si>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</si>
  <si>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</si>
  <si>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</si>
  <si>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</si>
  <si>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</si>
  <si>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</si>
  <si>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</si>
  <si>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</si>
  <si>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</si>
  <si>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</si>
  <si>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</si>
  <si>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</si>
  <si>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</si>
  <si>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</si>
  <si>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</si>
  <si>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</si>
  <si>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</si>
  <si>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</si>
  <si>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</si>
  <si>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</si>
  <si>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</si>
  <si>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</si>
  <si>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</si>
  <si>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</si>
  <si>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</si>
  <si>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</si>
  <si>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</si>
  <si>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</si>
  <si>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</si>
  <si>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</si>
  <si>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</si>
  <si>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</si>
  <si>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</si>
  <si>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</si>
  <si>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</si>
  <si>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</si>
  <si>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</si>
  <si>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</si>
  <si>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</si>
  <si>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</si>
  <si>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</si>
  <si>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</si>
  <si>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</si>
  <si>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</si>
  <si>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</si>
  <si>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</si>
  <si>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</si>
  <si>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</si>
  <si>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</si>
  <si>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</si>
  <si>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</si>
  <si>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</si>
  <si>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</si>
  <si>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</si>
  <si>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</si>
  <si>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</si>
  <si>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</si>
  <si>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</si>
  <si>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</si>
  <si>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</si>
  <si>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</si>
  <si>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</si>
  <si>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</si>
  <si>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</si>
  <si>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</si>
  <si>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</si>
  <si>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</si>
  <si>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</si>
  <si>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</si>
  <si>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</si>
  <si>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</si>
  <si>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</si>
  <si>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</si>
  <si>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</si>
  <si>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</si>
  <si>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</si>
  <si>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</si>
  <si>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</si>
  <si>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</si>
  <si>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</si>
  <si>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</si>
  <si>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</si>
  <si>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</si>
  <si>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</si>
  <si>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</si>
  <si>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</si>
  <si>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</si>
  <si>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</si>
  <si>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</si>
  <si>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</si>
  <si>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</si>
  <si>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</si>
  <si>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</si>
  <si>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</si>
  <si>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</si>
  <si>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</si>
  <si>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</si>
  <si>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</si>
  <si>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</si>
  <si>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</si>
  <si>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</si>
  <si>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</si>
  <si>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</si>
  <si>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</si>
  <si>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</si>
  <si>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</si>
  <si>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</si>
  <si>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</si>
  <si>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</si>
  <si>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</si>
  <si>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</si>
  <si>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</si>
  <si>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</si>
  <si>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</si>
  <si>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</si>
  <si>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</si>
  <si>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</si>
  <si>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</si>
  <si>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</si>
  <si>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</si>
  <si>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</si>
  <si>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</si>
  <si>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</si>
  <si>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</si>
  <si>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</si>
  <si>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</si>
  <si>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</si>
  <si>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</si>
  <si>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</si>
  <si>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</si>
  <si>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</si>
  <si>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</si>
  <si>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</si>
  <si>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</si>
  <si>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</si>
  <si>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</si>
  <si>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</si>
  <si>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</si>
  <si>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</si>
  <si>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</si>
  <si>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</si>
  <si>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</si>
  <si>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</si>
  <si>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</si>
  <si>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</si>
  <si>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</si>
  <si>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</si>
  <si>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</si>
  <si>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</si>
  <si>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</si>
  <si>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</si>
  <si>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</si>
  <si>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</si>
  <si>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</si>
  <si>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</si>
  <si>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</si>
  <si>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</si>
  <si>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</si>
  <si>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</si>
  <si>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</si>
  <si>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</si>
  <si>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</si>
  <si>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</si>
  <si>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</si>
  <si>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</si>
  <si>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</si>
  <si>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</si>
  <si>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</si>
  <si>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</si>
  <si>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</si>
  <si>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</si>
  <si>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</si>
  <si>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</si>
  <si>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</si>
  <si>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</si>
  <si>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</si>
  <si>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</si>
  <si>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</si>
  <si>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</si>
  <si>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</si>
  <si>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</si>
  <si>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</si>
  <si>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</si>
  <si>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</si>
  <si>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</si>
  <si>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</si>
  <si>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</si>
  <si>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</si>
  <si>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</si>
  <si>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</si>
  <si>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</si>
  <si>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</si>
  <si>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</si>
  <si>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</si>
  <si>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</si>
  <si>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</si>
  <si>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</si>
  <si>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</si>
  <si>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</si>
  <si>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</si>
  <si>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</si>
  <si>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</si>
  <si>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</si>
  <si>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</si>
  <si>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</si>
  <si>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</si>
  <si>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</si>
  <si>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</si>
  <si>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</si>
  <si>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</si>
  <si>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</si>
  <si>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</si>
  <si>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</si>
  <si>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</si>
  <si>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</si>
  <si>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</si>
  <si>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</si>
  <si>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</si>
  <si>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</si>
  <si>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</si>
  <si>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</si>
  <si>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</si>
  <si>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</si>
  <si>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</si>
  <si>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</si>
  <si>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</si>
  <si>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4% Credit/TE Bond</t>
  </si>
  <si>
    <t>2019PA-517</t>
  </si>
  <si>
    <t>Yes - see Comment</t>
  </si>
  <si>
    <t>Milton Terrace</t>
  </si>
  <si>
    <t>2018-007</t>
  </si>
  <si>
    <t>Prestwick Development Company</t>
  </si>
  <si>
    <t>Wiley A. Tucker, III</t>
  </si>
  <si>
    <t>Manager</t>
  </si>
  <si>
    <t>3715 Northside Parkway Bldg 200 Ste 175</t>
  </si>
  <si>
    <t>jody@prestwickcompanies.com</t>
  </si>
  <si>
    <t>Edrick Harris</t>
  </si>
  <si>
    <t>SVP</t>
  </si>
  <si>
    <t>edrick@prestwickcompanies.com</t>
  </si>
  <si>
    <t>55 Milton</t>
  </si>
  <si>
    <t>55 Milton Avenue</t>
  </si>
  <si>
    <t>0055.01</t>
  </si>
  <si>
    <t>Within City Limits</t>
  </si>
  <si>
    <t>Keisha Lance Bottoms</t>
  </si>
  <si>
    <t>Mayor</t>
  </si>
  <si>
    <t>55 Trinity Avenue</t>
  </si>
  <si>
    <t>www.atlantaga.gov</t>
  </si>
  <si>
    <t>klbottoms@atlantaga.gov</t>
  </si>
  <si>
    <t>N/A - 4% Bond</t>
  </si>
  <si>
    <t>133 Peachtree Street, NE, Suite 2900</t>
  </si>
  <si>
    <t>Dawn Luke</t>
  </si>
  <si>
    <t>dluke@investatlanta.com</t>
  </si>
  <si>
    <t>www.investatlanta.com</t>
  </si>
  <si>
    <t>The applicant was able to increase density from 136 units to 156 units from the time of pre-application to full application.
Applicant is choosing to extend its right to a qualified contract for five years, in compliance with the Bond Threshold.</t>
  </si>
  <si>
    <t>Milton Family I, LP</t>
  </si>
  <si>
    <t>3715 Northside Pkwy Bldg 200 Ste 175</t>
  </si>
  <si>
    <t>83-0567133</t>
  </si>
  <si>
    <t>For Profit</t>
  </si>
  <si>
    <t>Milton Family I GP, LLC</t>
  </si>
  <si>
    <t>SunTrust Community Capital</t>
  </si>
  <si>
    <t>1155 Peachtree Street NE Suite 300</t>
  </si>
  <si>
    <t>Brian Womble</t>
  </si>
  <si>
    <t>Vice President</t>
  </si>
  <si>
    <t>www.suntrust.com</t>
  </si>
  <si>
    <t>brian.womble@suntrust.com</t>
  </si>
  <si>
    <t>Prestwick Development Company, LLC</t>
  </si>
  <si>
    <t>3715 Northside Pkwy, Bldg 200, Ste 175</t>
  </si>
  <si>
    <t>www.prestwickcompanies.com</t>
  </si>
  <si>
    <t>Prestwick Construction Company, LLC</t>
  </si>
  <si>
    <t>3715 Northside Pkwy, Bldg 400, Ste 120</t>
  </si>
  <si>
    <t>Ray Dotson</t>
  </si>
  <si>
    <t>President</t>
  </si>
  <si>
    <t>ray@prestwickcompanies.com</t>
  </si>
  <si>
    <t>Arnall Golden Gregory</t>
  </si>
  <si>
    <t>171 17th Street</t>
  </si>
  <si>
    <t>www.agg.com</t>
  </si>
  <si>
    <t>jeff.adams@agg.com</t>
  </si>
  <si>
    <t>Jeff Adams</t>
  </si>
  <si>
    <t>Partner</t>
  </si>
  <si>
    <t>Cohn Reznick</t>
  </si>
  <si>
    <t>2560 Lenox Road, Suite 2800</t>
  </si>
  <si>
    <t>www.cohnreznick.com</t>
  </si>
  <si>
    <t>julie.mcnulty@cohnreznick.com</t>
  </si>
  <si>
    <t>Julie McNulty</t>
  </si>
  <si>
    <t>Geheber Lewis Associates LLC</t>
  </si>
  <si>
    <t>643 11th Street</t>
  </si>
  <si>
    <t>www.ghatl.com</t>
  </si>
  <si>
    <t>fgeheber@glaatl.com</t>
  </si>
  <si>
    <t>Fred Geheber</t>
  </si>
  <si>
    <t>The members of the Developer entity, Prestwick Development, LLC are also members of Prestwick Construction Company, LLC.</t>
  </si>
  <si>
    <t>The members of the Developer entity, Prestwick Development, LLC are also members of the land seller, Prestwick Land Holdings, LLC.</t>
  </si>
  <si>
    <t>The members of the General Partner entity, Milton Family I GP, LLC are also members of Prestwick Construction Company, LLC.</t>
  </si>
  <si>
    <t xml:space="preserve">Members of Prestwick Development Company, LLC are also members of both the GP entity and members of Prestwick Construction Company, the contractor </t>
  </si>
  <si>
    <t xml:space="preserve">Members of Prestwick Development Company, LLC are also members of both the GP entity and members of Prestwick Construction Company, LLC, the contractor for the project.  </t>
  </si>
  <si>
    <t>Atlanta Housing HAVEN</t>
  </si>
  <si>
    <t>HomeFirst Loan and BeltLine TAD Loan</t>
  </si>
  <si>
    <t>Partners for Home and Invest Atlanta</t>
  </si>
  <si>
    <t>ORIX Real Estate Capital Private Plcmnt Bond</t>
  </si>
  <si>
    <t>Amortizing</t>
  </si>
  <si>
    <t>BeltLine TAD Cash Flow Loan</t>
  </si>
  <si>
    <t>HomeFirst Cash Flow Loan</t>
  </si>
  <si>
    <t>Radon Testing</t>
  </si>
  <si>
    <t>Lender Commitment Fee</t>
  </si>
  <si>
    <t>Site Lighting</t>
  </si>
  <si>
    <t>DDA/QCT</t>
  </si>
  <si>
    <t>Lender Commitment Fee is a requirement of our investors</t>
  </si>
  <si>
    <t>100% of the work is related to construction work.</t>
  </si>
  <si>
    <t>Post construction radon testing is a requirement of our investors</t>
  </si>
  <si>
    <t>First Year tax and insurance reserve is a requirement of our investors.</t>
  </si>
  <si>
    <t>This item is not in basis.</t>
  </si>
  <si>
    <t>Fee required for construction of site lighting.</t>
  </si>
  <si>
    <t>HUD Utility Model</t>
  </si>
  <si>
    <t>3+ Story</t>
  </si>
  <si>
    <t>Electric Heat Pump</t>
  </si>
  <si>
    <t>Atlanta Housing Authority</t>
  </si>
  <si>
    <t>The HUD Utility Schedule Model is an allowed utility allowance for a Tax Credit Building with no HOME per Threshold Section 1 Feasibility, Subsection 7 Operating Utility Allowance. The PBRA units will be owner paid. All documentation used in the calculation has been submitted in Folder 01 Feasibility.</t>
  </si>
  <si>
    <t>PHA PBRA</t>
  </si>
  <si>
    <t>Benefits, Payroll Taxes, WC</t>
  </si>
  <si>
    <t>Other Admin, Software Cost, Compliance Fees</t>
  </si>
  <si>
    <t>Credit Reports</t>
  </si>
  <si>
    <t>See Tab 1 of the LIHTC application for a full explanation of insurance and real estate tax estimates.   As per discussion with the tax office, the income approach to value is to be used and an 7% cap rate was applied to the projected NOI to establish appraised value.  Insurance estimates were provided by our insurance company.
PBRA units are based on an Atlanta Housing contract. These units will receive 60% AMI rents, and will be 100% owner paid utilities.</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</si>
  <si>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t>
  </si>
  <si>
    <t>Construction cost estimate is based off of our historical cost to deliver similar projects that are currenlty under construction.
Local government fees were confirmed by the local government and our construction managment team. Water and Sewer Tap Fees are included in the total impact fee figure.
Construction Interest is calculated based on having to stabilize and hold the property for three months before conversion. A Draw Schedule is provided in Folder 43 Additional Documentation.</t>
  </si>
  <si>
    <t>Construction cost estimate is based off of our historical cost to deliver similar projects that are currently under construction.
Local government fees were confirmed by the local government and our construction management team.</t>
  </si>
  <si>
    <t>The 2019 HUD Cost Limit for this development is $32,700,940. DCA has previously analyzed the cost limits for developments based on the most recent HUD published cost limit. The development cost of $32,698,126 is below the 2019 HUD Cost Limit.</t>
  </si>
  <si>
    <t>This development is a family development.</t>
  </si>
  <si>
    <t>Agree</t>
  </si>
  <si>
    <t>The entity with site control and the applicant are the same. There is also an identity of interest between the owner of the land, Prestwick Land Holdings, and the applicant.</t>
  </si>
  <si>
    <t>Purchase Contract</t>
  </si>
  <si>
    <t>N/Ap</t>
  </si>
  <si>
    <t>The site is accessed off of a public street, Milton Avenue.</t>
  </si>
  <si>
    <t>The site is zoned for the intended use.  The developer, Prestwick Development Company rezoned the property on December 13, 2017 for the proposed affordable multifamily community.</t>
  </si>
  <si>
    <t>Georgia Power</t>
  </si>
  <si>
    <t>Water and sewer is provided by the City of Atlanta and is located in the public right of way adjacent to the site.</t>
  </si>
  <si>
    <t>Room</t>
  </si>
  <si>
    <t>Yes - W&amp;D hookups installed in each unit</t>
  </si>
  <si>
    <t>On-site laundry</t>
  </si>
  <si>
    <t>The project scope will include the development of the required site amenities and unit amenities.  None of the proposed amenities require a waiver.</t>
  </si>
  <si>
    <t>This is not a rehab development.</t>
  </si>
  <si>
    <t>Theresa Kitay at Law</t>
  </si>
  <si>
    <t>The development will comply with the above standards. The development is a Family development.</t>
  </si>
  <si>
    <t>The development will comply with the above selected standards.</t>
  </si>
  <si>
    <t>Applicant was deemed qualified without conditions on the pre-application qualification determination request. The required documentation is included in Tab 19.</t>
  </si>
  <si>
    <t>The compliance history summary was submitted at pre-application in the Performance Workbook.</t>
  </si>
  <si>
    <t>No legal opinions are required.</t>
  </si>
  <si>
    <t>The site is currently undeveloped and vacant.</t>
  </si>
  <si>
    <t>The Applicant agrees to submit a marketing plan for AFFH.</t>
  </si>
  <si>
    <t>N/a</t>
  </si>
  <si>
    <t>The Applicant has received 18 vouchers from Atlanta Housing through Partners for Home for Permanent Supportive Housing. The Applicant cannot set more than 20% of the units aside for permanent supportive housing. We request that DCA does not require the development to receive 811 units.</t>
  </si>
  <si>
    <t>The project is an effective, efficient, and lawful allocation and utilization of the Housing Credit Program.</t>
  </si>
  <si>
    <t xml:space="preserve">55 Milton is a Southeast Atlanta BeltLine loop site that was originally submitted as a 9% award in 2018. Prestwick will develop a market quality product consistent with The Manor at Scott’s Crossing and Gateway Capitol View in the City of Atlanta off of Milton Avenue. The multifamily complex will showcase 156 units (46-one bedroom, 63-two bedroom, and 27-three bedroom).  Eighteen (18) of the units will be reserved for persons facing homelessness through the Atlanta Housing HAVEN program.   All units will be in one individual building and there will be an integrated community center. The building’s attractive, modern exterior will consist of brick or stone complemented by hardi-plank façade providing maximum architectural appeal.  The project will seek the Southface Energy Institute’s Earth Craft certification.  
For the enjoyment and convenience of all residents, central common areas will include a community room with a kitchen, fitness center, business center with computer stations, a playground, community garden, wellness room, interior gathering areas and a laundry room. We will also offer a gazebo / picnic area and other green space.  Resident activities will be ongoing and designed to meet the needs of the changing community.  
The site's best amenity, however, might be its location.  The site is located within the Southeast corridor of the Atlanta Beltline.  This is a rapidly changing part of the city that has recently seen land sales increase significantly and multiple market rate multifamily developments approved. The site is within a short walking distance to several parks and other community amenities.
</t>
  </si>
  <si>
    <t>The development will meet the requirements of the National Green Building Standard certification.</t>
  </si>
  <si>
    <t>Covered Porch</t>
  </si>
  <si>
    <t>Brad Cather</t>
  </si>
  <si>
    <t>118 16th Ave S #200</t>
  </si>
  <si>
    <t>www.oneelmington.com</t>
  </si>
  <si>
    <t>bcather@elmingtonpm.com</t>
  </si>
  <si>
    <t>Elmington Property Management</t>
  </si>
  <si>
    <t>Elmington Property Management will identify the needs of the community and provide social and recreational programming.</t>
  </si>
  <si>
    <t>Geotechnical &amp; Environmental Consulting, Inc.</t>
  </si>
  <si>
    <t>The phase I recommended a phase II.  The prospective purchaser corrective action plan (CAP) has been received from the Georgia Environmental Protection Division.  The Noise levels are below the maximum threshold.</t>
  </si>
  <si>
    <t>Brian Neukam</t>
  </si>
  <si>
    <t>The subject property for 55 Milton Avenue was rezoned by Prestwick Development Company on December 13, 2017 while under contract by Prestwick Land Holdings.  Prestwick Land Holdings, LLC an affiliated entity of Prestwick Development Company and Milton Family I, LP is under contract with Milton Family I, LP for the sale of the subject property.</t>
  </si>
  <si>
    <t>Real Property Research Group</t>
  </si>
  <si>
    <t>7-8 months</t>
  </si>
  <si>
    <t>The subject property is located in the middle of a revitalizing area.  It should not have any issues leasing up as it is only a few feet away from the Beltline.  There is a high demand for tax credit units based on the market study and has a capture rate of 2.9%.</t>
  </si>
  <si>
    <t>2006-504</t>
  </si>
  <si>
    <t>Columbia Sylvan Hills</t>
  </si>
  <si>
    <t>2009-019</t>
  </si>
  <si>
    <t>Villas at Lakewood</t>
  </si>
  <si>
    <t>2013-501</t>
  </si>
  <si>
    <t>Trestletree</t>
  </si>
  <si>
    <t>2005-026</t>
  </si>
  <si>
    <t>Columbia at Mechanicsville</t>
  </si>
  <si>
    <t>2009-029</t>
  </si>
  <si>
    <t>Columbia Parkside at Mechanicsville</t>
  </si>
  <si>
    <t>2013-051</t>
  </si>
  <si>
    <t>Stanton Oaks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</si>
</sst>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18">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D9" sqref="D9"/>
    </sheetView>
  </sheetViews>
  <sheetFormatPr defaultColWidth="9.140625" defaultRowHeight="12.75"/>
  <cols>
    <col min="1" max="1" width="171.42578125" style="27" customWidth="1"/>
    <col min="2" max="16384" width="9.140625" style="27"/>
  </cols>
  <sheetData>
    <row r="1" spans="1:6" ht="15" customHeight="1">
      <c r="A1" s="982" t="s">
        <v>979</v>
      </c>
    </row>
    <row r="2" spans="1:6" ht="15" customHeight="1">
      <c r="A2" s="983" t="str">
        <f>'Part I-Project Information'!F34</f>
        <v>55 Milton</v>
      </c>
    </row>
    <row r="3" spans="1:6" ht="15" customHeight="1">
      <c r="A3" s="983" t="str">
        <f>CONCATENATE('Part I-Project Information'!F38,", ", 'Part I-Project Information'!J39," County")</f>
        <v>Atlanta, Fulton County</v>
      </c>
    </row>
    <row r="4" spans="1:6" ht="12" customHeight="1">
      <c r="A4" s="2330"/>
    </row>
    <row r="5" spans="1:6" ht="72" customHeight="1">
      <c r="A5" s="2880" t="s">
        <v>5333</v>
      </c>
      <c r="B5" s="2881" t="s">
        <v>5046</v>
      </c>
      <c r="C5" s="2881"/>
      <c r="D5" s="2881"/>
      <c r="E5" s="2881"/>
      <c r="F5" s="2881"/>
    </row>
    <row r="6" spans="1:6" ht="6.6" customHeight="1">
      <c r="A6" s="2880"/>
      <c r="B6" s="2881"/>
      <c r="C6" s="2881"/>
      <c r="D6" s="2881"/>
      <c r="E6" s="2881"/>
      <c r="F6" s="2881"/>
    </row>
    <row r="7" spans="1:6" ht="72" customHeight="1">
      <c r="A7" s="2880"/>
      <c r="B7" s="2881"/>
      <c r="C7" s="2881"/>
      <c r="D7" s="2881"/>
      <c r="E7" s="2881"/>
      <c r="F7" s="2881"/>
    </row>
    <row r="8" spans="1:6" ht="6.6" customHeight="1">
      <c r="A8" s="2880"/>
    </row>
    <row r="9" spans="1:6" ht="72" customHeight="1">
      <c r="A9" s="2880"/>
    </row>
    <row r="10" spans="1:6" ht="6.6" customHeight="1">
      <c r="A10" s="2880"/>
    </row>
    <row r="11" spans="1:6" ht="72" customHeight="1">
      <c r="A11" s="2880"/>
    </row>
    <row r="12" spans="1:6" ht="6.6" customHeight="1">
      <c r="A12" s="2880"/>
    </row>
    <row r="13" spans="1:6" ht="72" customHeight="1">
      <c r="A13" s="2880"/>
    </row>
    <row r="14" spans="1:6" ht="6.6" customHeight="1">
      <c r="A14" s="2880"/>
    </row>
    <row r="15" spans="1:6" ht="72" customHeight="1">
      <c r="A15" s="2880"/>
    </row>
    <row r="16" spans="1:6" ht="6.6" customHeight="1">
      <c r="A16" s="2880"/>
    </row>
    <row r="17" spans="1:1" ht="72" customHeight="1">
      <c r="A17" s="2880"/>
    </row>
    <row r="18" spans="1:1" ht="6.6" customHeight="1">
      <c r="A18" s="2880"/>
    </row>
    <row r="19" spans="1:1" ht="72" customHeight="1">
      <c r="A19" s="2880"/>
    </row>
    <row r="20" spans="1:1" ht="6.6" customHeight="1">
      <c r="A20" s="2880"/>
    </row>
    <row r="21" spans="1:1" ht="72" customHeight="1">
      <c r="A21" s="2880"/>
    </row>
    <row r="22" spans="1:1" ht="6.6" customHeight="1">
      <c r="A22" s="2880"/>
    </row>
    <row r="23" spans="1:1" ht="72" customHeight="1">
      <c r="A23" s="2880"/>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X291"/>
  <sheetViews>
    <sheetView showGridLines="0" topLeftCell="A202" zoomScaleNormal="100" workbookViewId="0">
      <selection activeCell="P217" sqref="P217"/>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96" t="str">
        <f>CONCATENATE("PART SIX - PROJECTED REVENUES &amp; EXPENSES","  -  ",'Part I-Project Information'!$O$6," ",'Part I-Project Information'!$F$34,", ",'Part I-Project Information'!F38,", ",'Part I-Project Information'!J39," County")</f>
        <v>PART SIX - PROJECTED REVENUES &amp; EXPENSES  -  2019-5 55 Milton, Atlanta, Fulton County</v>
      </c>
      <c r="B1" s="3297"/>
      <c r="C1" s="3297"/>
      <c r="D1" s="3297"/>
      <c r="E1" s="3297"/>
      <c r="F1" s="3297"/>
      <c r="G1" s="3297"/>
      <c r="H1" s="3297"/>
      <c r="I1" s="3297"/>
      <c r="J1" s="3297"/>
      <c r="K1" s="3297"/>
      <c r="L1" s="3297"/>
      <c r="M1" s="3297"/>
      <c r="N1" s="3297"/>
      <c r="O1" s="3297"/>
      <c r="P1" s="3298"/>
      <c r="U1" s="3503" t="str">
        <f>A1</f>
        <v>PART SIX - PROJECTED REVENUES &amp; EXPENSES  -  2019-5 55 Milton, Atlanta, Fulton County</v>
      </c>
      <c r="V1" s="3503"/>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2365</v>
      </c>
      <c r="C3" s="1"/>
      <c r="D3" s="1064" t="s">
        <v>3569</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2439</v>
      </c>
      <c r="IF3" s="516" t="s">
        <v>2440</v>
      </c>
      <c r="IG3" s="516" t="s">
        <v>2441</v>
      </c>
      <c r="IH3" s="516" t="s">
        <v>2442</v>
      </c>
      <c r="II3" s="516" t="s">
        <v>485</v>
      </c>
      <c r="IJ3" s="516" t="s">
        <v>2439</v>
      </c>
      <c r="IK3" s="516" t="s">
        <v>2440</v>
      </c>
      <c r="IL3" s="516" t="s">
        <v>2441</v>
      </c>
      <c r="IM3" s="516" t="s">
        <v>2442</v>
      </c>
      <c r="IN3" s="2713"/>
      <c r="IO3" s="2713"/>
      <c r="IP3" s="2713"/>
      <c r="IQ3" s="2713"/>
      <c r="IR3" s="2713"/>
      <c r="IS3" s="2713"/>
      <c r="IT3" s="2713"/>
      <c r="IU3" s="2713"/>
      <c r="IV3" s="2713"/>
      <c r="IW3" s="2713"/>
      <c r="IX3" s="516" t="s">
        <v>485</v>
      </c>
      <c r="IY3" s="516" t="s">
        <v>2439</v>
      </c>
      <c r="IZ3" s="516" t="s">
        <v>2440</v>
      </c>
      <c r="JA3" s="516" t="s">
        <v>2441</v>
      </c>
      <c r="JB3" s="516" t="s">
        <v>2442</v>
      </c>
      <c r="JC3" s="516" t="s">
        <v>485</v>
      </c>
      <c r="JD3" s="516" t="s">
        <v>2439</v>
      </c>
      <c r="JE3" s="516" t="s">
        <v>2440</v>
      </c>
      <c r="JF3" s="516" t="s">
        <v>2441</v>
      </c>
      <c r="JG3" s="516" t="s">
        <v>2442</v>
      </c>
      <c r="JH3" s="516" t="s">
        <v>485</v>
      </c>
      <c r="JI3" s="516" t="s">
        <v>2439</v>
      </c>
      <c r="JJ3" s="516" t="s">
        <v>2440</v>
      </c>
      <c r="JK3" s="516" t="s">
        <v>2441</v>
      </c>
      <c r="JL3" s="516" t="s">
        <v>2442</v>
      </c>
      <c r="JM3" s="516" t="s">
        <v>485</v>
      </c>
      <c r="JN3" s="516" t="s">
        <v>2439</v>
      </c>
      <c r="JO3" s="516" t="s">
        <v>2440</v>
      </c>
      <c r="JP3" s="516" t="s">
        <v>2441</v>
      </c>
      <c r="JQ3" s="516" t="s">
        <v>2442</v>
      </c>
      <c r="JR3" s="516" t="s">
        <v>485</v>
      </c>
      <c r="JS3" s="516" t="s">
        <v>2439</v>
      </c>
      <c r="JT3" s="516" t="s">
        <v>2440</v>
      </c>
      <c r="JU3" s="516" t="s">
        <v>2441</v>
      </c>
      <c r="JV3" s="516" t="s">
        <v>2442</v>
      </c>
      <c r="JW3" s="516" t="s">
        <v>485</v>
      </c>
      <c r="JX3" s="516" t="s">
        <v>2439</v>
      </c>
      <c r="JY3" s="516" t="s">
        <v>2440</v>
      </c>
      <c r="JZ3" s="516" t="s">
        <v>2441</v>
      </c>
      <c r="KA3" s="516" t="s">
        <v>2442</v>
      </c>
      <c r="KB3" s="516" t="s">
        <v>485</v>
      </c>
      <c r="KC3" s="516" t="s">
        <v>2439</v>
      </c>
      <c r="KD3" s="516" t="s">
        <v>2440</v>
      </c>
      <c r="KE3" s="516" t="s">
        <v>2441</v>
      </c>
      <c r="KF3" s="516" t="s">
        <v>2442</v>
      </c>
      <c r="KG3" s="516" t="s">
        <v>485</v>
      </c>
      <c r="KH3" s="516" t="s">
        <v>2439</v>
      </c>
      <c r="KI3" s="516" t="s">
        <v>2440</v>
      </c>
      <c r="KJ3" s="516" t="s">
        <v>2441</v>
      </c>
      <c r="KK3" s="516" t="s">
        <v>2442</v>
      </c>
      <c r="KL3" s="516" t="s">
        <v>485</v>
      </c>
      <c r="KM3" s="516" t="s">
        <v>2439</v>
      </c>
      <c r="KN3" s="516" t="s">
        <v>2440</v>
      </c>
      <c r="KO3" s="516" t="s">
        <v>2441</v>
      </c>
      <c r="KP3" s="516" t="s">
        <v>2442</v>
      </c>
      <c r="KQ3" s="516" t="s">
        <v>485</v>
      </c>
      <c r="KR3" s="516" t="s">
        <v>2439</v>
      </c>
      <c r="KS3" s="516" t="s">
        <v>2440</v>
      </c>
      <c r="KT3" s="516" t="s">
        <v>2441</v>
      </c>
      <c r="KU3" s="516" t="s">
        <v>2442</v>
      </c>
      <c r="KV3" s="516" t="s">
        <v>485</v>
      </c>
      <c r="KW3" s="516" t="s">
        <v>2439</v>
      </c>
      <c r="KX3" s="516" t="s">
        <v>2440</v>
      </c>
      <c r="KY3" s="516" t="s">
        <v>2441</v>
      </c>
      <c r="KZ3" s="516" t="s">
        <v>2442</v>
      </c>
      <c r="LA3" s="516" t="s">
        <v>485</v>
      </c>
      <c r="LB3" s="516" t="s">
        <v>2439</v>
      </c>
      <c r="LC3" s="516" t="s">
        <v>2440</v>
      </c>
      <c r="LD3" s="516" t="s">
        <v>2441</v>
      </c>
      <c r="LE3" s="516" t="s">
        <v>2442</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01" t="s">
        <v>3422</v>
      </c>
      <c r="MF3" s="3501" t="s">
        <v>3423</v>
      </c>
      <c r="MG3" s="3501" t="s">
        <v>3424</v>
      </c>
      <c r="MH3" s="3501" t="s">
        <v>3425</v>
      </c>
      <c r="MI3" s="3501" t="s">
        <v>3426</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05" t="s">
        <v>3699</v>
      </c>
      <c r="Q4" s="1254"/>
      <c r="R4" s="479"/>
      <c r="S4" s="479"/>
      <c r="T4" s="479"/>
      <c r="U4" s="479"/>
      <c r="V4" s="480"/>
      <c r="W4" s="3502" t="s">
        <v>4623</v>
      </c>
      <c r="X4" s="3502" t="s">
        <v>4624</v>
      </c>
      <c r="Y4" s="3502" t="s">
        <v>4625</v>
      </c>
      <c r="Z4" s="3502" t="s">
        <v>4626</v>
      </c>
      <c r="AA4" s="3502" t="s">
        <v>4627</v>
      </c>
      <c r="AB4" s="3502" t="s">
        <v>4628</v>
      </c>
      <c r="AC4" s="3502" t="s">
        <v>4629</v>
      </c>
      <c r="AD4" s="3502" t="s">
        <v>4630</v>
      </c>
      <c r="AE4" s="3502" t="s">
        <v>4631</v>
      </c>
      <c r="AF4" s="3502" t="s">
        <v>4632</v>
      </c>
      <c r="AG4" s="3502" t="s">
        <v>919</v>
      </c>
      <c r="AH4" s="3502" t="s">
        <v>756</v>
      </c>
      <c r="AI4" s="3502" t="s">
        <v>757</v>
      </c>
      <c r="AJ4" s="3502" t="s">
        <v>758</v>
      </c>
      <c r="AK4" s="3502" t="s">
        <v>759</v>
      </c>
      <c r="AL4" s="3502" t="s">
        <v>920</v>
      </c>
      <c r="AM4" s="3502" t="s">
        <v>2309</v>
      </c>
      <c r="AN4" s="3502" t="s">
        <v>2310</v>
      </c>
      <c r="AO4" s="3502" t="s">
        <v>2311</v>
      </c>
      <c r="AP4" s="3502" t="s">
        <v>2312</v>
      </c>
      <c r="AQ4" s="3502" t="s">
        <v>4634</v>
      </c>
      <c r="AR4" s="3502" t="s">
        <v>4635</v>
      </c>
      <c r="AS4" s="3502" t="s">
        <v>4636</v>
      </c>
      <c r="AT4" s="3502" t="s">
        <v>4637</v>
      </c>
      <c r="AU4" s="3502" t="s">
        <v>4633</v>
      </c>
      <c r="AV4" s="3502" t="s">
        <v>921</v>
      </c>
      <c r="AW4" s="3502" t="s">
        <v>2313</v>
      </c>
      <c r="AX4" s="3502" t="s">
        <v>2314</v>
      </c>
      <c r="AY4" s="3502" t="s">
        <v>2315</v>
      </c>
      <c r="AZ4" s="3502" t="s">
        <v>2316</v>
      </c>
      <c r="BA4" s="3502" t="s">
        <v>4638</v>
      </c>
      <c r="BB4" s="3502" t="s">
        <v>4639</v>
      </c>
      <c r="BC4" s="3502" t="s">
        <v>4640</v>
      </c>
      <c r="BD4" s="3502" t="s">
        <v>4641</v>
      </c>
      <c r="BE4" s="3502" t="s">
        <v>4642</v>
      </c>
      <c r="BF4" s="3502" t="s">
        <v>129</v>
      </c>
      <c r="BG4" s="3502" t="s">
        <v>2317</v>
      </c>
      <c r="BH4" s="3502" t="s">
        <v>2318</v>
      </c>
      <c r="BI4" s="3502" t="s">
        <v>2319</v>
      </c>
      <c r="BJ4" s="3502" t="s">
        <v>1148</v>
      </c>
      <c r="BK4" s="3502" t="s">
        <v>4643</v>
      </c>
      <c r="BL4" s="3502" t="s">
        <v>4644</v>
      </c>
      <c r="BM4" s="3502" t="s">
        <v>4645</v>
      </c>
      <c r="BN4" s="3502" t="s">
        <v>4646</v>
      </c>
      <c r="BO4" s="3502" t="s">
        <v>4647</v>
      </c>
      <c r="BP4" s="3502" t="s">
        <v>556</v>
      </c>
      <c r="BQ4" s="3502" t="s">
        <v>557</v>
      </c>
      <c r="BR4" s="3502" t="s">
        <v>577</v>
      </c>
      <c r="BS4" s="3502" t="s">
        <v>578</v>
      </c>
      <c r="BT4" s="3502" t="s">
        <v>579</v>
      </c>
      <c r="BU4" s="3502" t="s">
        <v>4648</v>
      </c>
      <c r="BV4" s="3502" t="s">
        <v>4649</v>
      </c>
      <c r="BW4" s="3502" t="s">
        <v>4650</v>
      </c>
      <c r="BX4" s="3502" t="s">
        <v>4651</v>
      </c>
      <c r="BY4" s="3502" t="s">
        <v>4652</v>
      </c>
      <c r="BZ4" s="3502" t="s">
        <v>580</v>
      </c>
      <c r="CA4" s="3502" t="s">
        <v>581</v>
      </c>
      <c r="CB4" s="3502" t="s">
        <v>582</v>
      </c>
      <c r="CC4" s="3502" t="s">
        <v>583</v>
      </c>
      <c r="CD4" s="3502" t="s">
        <v>584</v>
      </c>
      <c r="CE4" s="3502" t="s">
        <v>585</v>
      </c>
      <c r="CF4" s="3502" t="s">
        <v>586</v>
      </c>
      <c r="CG4" s="3502" t="s">
        <v>931</v>
      </c>
      <c r="CH4" s="3502" t="s">
        <v>932</v>
      </c>
      <c r="CI4" s="3502" t="s">
        <v>933</v>
      </c>
      <c r="CJ4" s="3502" t="s">
        <v>4658</v>
      </c>
      <c r="CK4" s="3502" t="s">
        <v>4659</v>
      </c>
      <c r="CL4" s="3502" t="s">
        <v>4660</v>
      </c>
      <c r="CM4" s="3502" t="s">
        <v>4661</v>
      </c>
      <c r="CN4" s="3502" t="s">
        <v>4662</v>
      </c>
      <c r="CO4" s="3502" t="s">
        <v>4653</v>
      </c>
      <c r="CP4" s="3502" t="s">
        <v>4654</v>
      </c>
      <c r="CQ4" s="3502" t="s">
        <v>4655</v>
      </c>
      <c r="CR4" s="3502" t="s">
        <v>4656</v>
      </c>
      <c r="CS4" s="3502" t="s">
        <v>4657</v>
      </c>
      <c r="CT4" s="3502" t="s">
        <v>4663</v>
      </c>
      <c r="CU4" s="3502" t="s">
        <v>4664</v>
      </c>
      <c r="CV4" s="3502" t="s">
        <v>4665</v>
      </c>
      <c r="CW4" s="3502" t="s">
        <v>4666</v>
      </c>
      <c r="CX4" s="3502" t="s">
        <v>4667</v>
      </c>
      <c r="CY4" s="3502" t="s">
        <v>496</v>
      </c>
      <c r="CZ4" s="3502" t="s">
        <v>497</v>
      </c>
      <c r="DA4" s="3502" t="s">
        <v>498</v>
      </c>
      <c r="DB4" s="3502" t="s">
        <v>499</v>
      </c>
      <c r="DC4" s="3502" t="s">
        <v>500</v>
      </c>
      <c r="DD4" s="3502" t="s">
        <v>4668</v>
      </c>
      <c r="DE4" s="3502" t="s">
        <v>4669</v>
      </c>
      <c r="DF4" s="3502" t="s">
        <v>4670</v>
      </c>
      <c r="DG4" s="3502" t="s">
        <v>4671</v>
      </c>
      <c r="DH4" s="3502" t="s">
        <v>4672</v>
      </c>
      <c r="DI4" s="3502" t="s">
        <v>880</v>
      </c>
      <c r="DJ4" s="3502" t="s">
        <v>881</v>
      </c>
      <c r="DK4" s="3502" t="s">
        <v>882</v>
      </c>
      <c r="DL4" s="3502" t="s">
        <v>883</v>
      </c>
      <c r="DM4" s="3502" t="s">
        <v>884</v>
      </c>
      <c r="DN4" s="3502" t="s">
        <v>885</v>
      </c>
      <c r="DO4" s="3502" t="s">
        <v>886</v>
      </c>
      <c r="DP4" s="3502" t="s">
        <v>887</v>
      </c>
      <c r="DQ4" s="3502" t="s">
        <v>888</v>
      </c>
      <c r="DR4" s="3502" t="s">
        <v>889</v>
      </c>
      <c r="DS4" s="3502" t="s">
        <v>4673</v>
      </c>
      <c r="DT4" s="3502" t="s">
        <v>4674</v>
      </c>
      <c r="DU4" s="3502" t="s">
        <v>4675</v>
      </c>
      <c r="DV4" s="3502" t="s">
        <v>4676</v>
      </c>
      <c r="DW4" s="3502" t="s">
        <v>4677</v>
      </c>
      <c r="DX4" s="3502" t="s">
        <v>4678</v>
      </c>
      <c r="DY4" s="3502" t="s">
        <v>4679</v>
      </c>
      <c r="DZ4" s="3502" t="s">
        <v>4680</v>
      </c>
      <c r="EA4" s="3502" t="s">
        <v>4681</v>
      </c>
      <c r="EB4" s="3502" t="s">
        <v>4682</v>
      </c>
      <c r="EC4" s="3502" t="s">
        <v>2429</v>
      </c>
      <c r="ED4" s="3502" t="s">
        <v>2430</v>
      </c>
      <c r="EE4" s="3502" t="s">
        <v>2431</v>
      </c>
      <c r="EF4" s="3502" t="s">
        <v>2432</v>
      </c>
      <c r="EG4" s="3502" t="s">
        <v>2433</v>
      </c>
      <c r="EH4" s="3502" t="s">
        <v>4683</v>
      </c>
      <c r="EI4" s="3502" t="s">
        <v>4684</v>
      </c>
      <c r="EJ4" s="3502" t="s">
        <v>4685</v>
      </c>
      <c r="EK4" s="3502" t="s">
        <v>4686</v>
      </c>
      <c r="EL4" s="3502" t="s">
        <v>4687</v>
      </c>
      <c r="EM4" s="3502" t="s">
        <v>4688</v>
      </c>
      <c r="EN4" s="3502" t="s">
        <v>4689</v>
      </c>
      <c r="EO4" s="3502" t="s">
        <v>4690</v>
      </c>
      <c r="EP4" s="3502" t="s">
        <v>4691</v>
      </c>
      <c r="EQ4" s="3502" t="s">
        <v>4692</v>
      </c>
      <c r="ER4" s="3501" t="s">
        <v>117</v>
      </c>
      <c r="ES4" s="3501" t="s">
        <v>1151</v>
      </c>
      <c r="ET4" s="3501" t="s">
        <v>1152</v>
      </c>
      <c r="EU4" s="3501" t="s">
        <v>1213</v>
      </c>
      <c r="EV4" s="3501" t="s">
        <v>1214</v>
      </c>
      <c r="EW4" s="3501" t="s">
        <v>132</v>
      </c>
      <c r="EX4" s="3501" t="s">
        <v>1215</v>
      </c>
      <c r="EY4" s="3501" t="s">
        <v>1216</v>
      </c>
      <c r="EZ4" s="3501" t="s">
        <v>1217</v>
      </c>
      <c r="FA4" s="3501" t="s">
        <v>1218</v>
      </c>
      <c r="FB4" s="3502" t="s">
        <v>4693</v>
      </c>
      <c r="FC4" s="3502" t="s">
        <v>4694</v>
      </c>
      <c r="FD4" s="3502" t="s">
        <v>4695</v>
      </c>
      <c r="FE4" s="3502" t="s">
        <v>4696</v>
      </c>
      <c r="FF4" s="3502" t="s">
        <v>4697</v>
      </c>
      <c r="FG4" s="3501" t="s">
        <v>131</v>
      </c>
      <c r="FH4" s="3501" t="s">
        <v>911</v>
      </c>
      <c r="FI4" s="3501" t="s">
        <v>912</v>
      </c>
      <c r="FJ4" s="3501" t="s">
        <v>913</v>
      </c>
      <c r="FK4" s="3501" t="s">
        <v>914</v>
      </c>
      <c r="FL4" s="3502" t="s">
        <v>4698</v>
      </c>
      <c r="FM4" s="3502" t="s">
        <v>4699</v>
      </c>
      <c r="FN4" s="3502" t="s">
        <v>4700</v>
      </c>
      <c r="FO4" s="3502" t="s">
        <v>4701</v>
      </c>
      <c r="FP4" s="3502" t="s">
        <v>4702</v>
      </c>
      <c r="FQ4" s="3501" t="s">
        <v>130</v>
      </c>
      <c r="FR4" s="3501" t="s">
        <v>915</v>
      </c>
      <c r="FS4" s="3501" t="s">
        <v>916</v>
      </c>
      <c r="FT4" s="3501" t="s">
        <v>917</v>
      </c>
      <c r="FU4" s="3501" t="s">
        <v>918</v>
      </c>
      <c r="FV4" s="3501" t="s">
        <v>809</v>
      </c>
      <c r="FW4" s="3501" t="s">
        <v>810</v>
      </c>
      <c r="FX4" s="3501" t="s">
        <v>811</v>
      </c>
      <c r="FY4" s="3501" t="s">
        <v>812</v>
      </c>
      <c r="FZ4" s="3501" t="s">
        <v>813</v>
      </c>
      <c r="GA4" s="3501" t="s">
        <v>957</v>
      </c>
      <c r="GB4" s="3501" t="s">
        <v>958</v>
      </c>
      <c r="GC4" s="3501" t="s">
        <v>959</v>
      </c>
      <c r="GD4" s="3501" t="s">
        <v>960</v>
      </c>
      <c r="GE4" s="3501" t="s">
        <v>2428</v>
      </c>
      <c r="GF4" s="3501" t="s">
        <v>1433</v>
      </c>
      <c r="GG4" s="3501" t="s">
        <v>1434</v>
      </c>
      <c r="GH4" s="3501" t="s">
        <v>1435</v>
      </c>
      <c r="GI4" s="3501" t="s">
        <v>1436</v>
      </c>
      <c r="GJ4" s="3501" t="s">
        <v>1437</v>
      </c>
      <c r="GK4" s="3501" t="s">
        <v>436</v>
      </c>
      <c r="GL4" s="3501" t="s">
        <v>437</v>
      </c>
      <c r="GM4" s="3501" t="s">
        <v>438</v>
      </c>
      <c r="GN4" s="3501" t="s">
        <v>439</v>
      </c>
      <c r="GO4" s="3501" t="s">
        <v>440</v>
      </c>
      <c r="GP4" s="3501" t="s">
        <v>17</v>
      </c>
      <c r="GQ4" s="3501" t="s">
        <v>18</v>
      </c>
      <c r="GR4" s="3501" t="s">
        <v>19</v>
      </c>
      <c r="GS4" s="3501" t="s">
        <v>20</v>
      </c>
      <c r="GT4" s="3501" t="s">
        <v>21</v>
      </c>
      <c r="GU4" s="3501" t="s">
        <v>222</v>
      </c>
      <c r="GV4" s="3501" t="s">
        <v>223</v>
      </c>
      <c r="GW4" s="3501" t="s">
        <v>224</v>
      </c>
      <c r="GX4" s="3501" t="s">
        <v>1811</v>
      </c>
      <c r="GY4" s="3501" t="s">
        <v>1812</v>
      </c>
      <c r="GZ4" s="3501" t="s">
        <v>1813</v>
      </c>
      <c r="HA4" s="3501" t="s">
        <v>592</v>
      </c>
      <c r="HB4" s="3501" t="s">
        <v>593</v>
      </c>
      <c r="HC4" s="3501" t="s">
        <v>594</v>
      </c>
      <c r="HD4" s="3501" t="s">
        <v>595</v>
      </c>
      <c r="HE4" s="3501" t="s">
        <v>22</v>
      </c>
      <c r="HF4" s="3501" t="s">
        <v>23</v>
      </c>
      <c r="HG4" s="3501" t="s">
        <v>24</v>
      </c>
      <c r="HH4" s="3501" t="s">
        <v>25</v>
      </c>
      <c r="HI4" s="3501" t="s">
        <v>26</v>
      </c>
      <c r="HJ4" s="3501" t="s">
        <v>495</v>
      </c>
      <c r="HK4" s="3501" t="s">
        <v>432</v>
      </c>
      <c r="HL4" s="3501" t="s">
        <v>433</v>
      </c>
      <c r="HM4" s="3501" t="s">
        <v>434</v>
      </c>
      <c r="HN4" s="3501" t="s">
        <v>435</v>
      </c>
      <c r="HO4" s="3501" t="s">
        <v>2207</v>
      </c>
      <c r="HP4" s="3501" t="s">
        <v>2208</v>
      </c>
      <c r="HQ4" s="3501" t="s">
        <v>2209</v>
      </c>
      <c r="HR4" s="3501" t="s">
        <v>1479</v>
      </c>
      <c r="HS4" s="3501" t="s">
        <v>1480</v>
      </c>
      <c r="HT4" s="3501" t="s">
        <v>27</v>
      </c>
      <c r="HU4" s="3501" t="s">
        <v>28</v>
      </c>
      <c r="HV4" s="3501" t="s">
        <v>29</v>
      </c>
      <c r="HW4" s="3501" t="s">
        <v>30</v>
      </c>
      <c r="HX4" s="3501"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01" t="s">
        <v>1625</v>
      </c>
      <c r="LG4" s="3501" t="s">
        <v>2522</v>
      </c>
      <c r="LH4" s="3501" t="s">
        <v>2523</v>
      </c>
      <c r="LI4" s="3501" t="s">
        <v>386</v>
      </c>
      <c r="LJ4" s="3501" t="s">
        <v>387</v>
      </c>
      <c r="LK4" s="3501" t="s">
        <v>388</v>
      </c>
      <c r="LL4" s="3501" t="s">
        <v>389</v>
      </c>
      <c r="LM4" s="3501" t="s">
        <v>390</v>
      </c>
      <c r="LN4" s="3501" t="s">
        <v>391</v>
      </c>
      <c r="LO4" s="3501" t="s">
        <v>392</v>
      </c>
      <c r="LP4" s="3501" t="s">
        <v>202</v>
      </c>
      <c r="LQ4" s="3501" t="s">
        <v>203</v>
      </c>
      <c r="LR4" s="3501" t="s">
        <v>204</v>
      </c>
      <c r="LS4" s="3501" t="s">
        <v>205</v>
      </c>
      <c r="LT4" s="3501" t="s">
        <v>206</v>
      </c>
      <c r="LU4" s="3501" t="s">
        <v>207</v>
      </c>
      <c r="LV4" s="3501" t="s">
        <v>208</v>
      </c>
      <c r="LW4" s="3501" t="s">
        <v>209</v>
      </c>
      <c r="LX4" s="3501" t="s">
        <v>210</v>
      </c>
      <c r="LY4" s="3501" t="s">
        <v>211</v>
      </c>
      <c r="LZ4" s="3501" t="s">
        <v>212</v>
      </c>
      <c r="MA4" s="3501" t="s">
        <v>213</v>
      </c>
      <c r="MB4" s="3501" t="s">
        <v>214</v>
      </c>
      <c r="MC4" s="3501" t="s">
        <v>215</v>
      </c>
      <c r="MD4" s="3501" t="s">
        <v>216</v>
      </c>
      <c r="ME4" s="3501"/>
      <c r="MF4" s="3501"/>
      <c r="MG4" s="3501"/>
      <c r="MH4" s="3501"/>
      <c r="MI4" s="3501"/>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07" t="str">
        <f>IF(A48&gt;0,"Finish Row!","")</f>
        <v/>
      </c>
      <c r="B5" s="4" t="s">
        <v>1845</v>
      </c>
      <c r="D5" s="1"/>
      <c r="E5" s="4"/>
      <c r="F5" s="1"/>
      <c r="G5" s="2542" t="s">
        <v>201</v>
      </c>
      <c r="J5" s="1255" t="s">
        <v>3564</v>
      </c>
      <c r="K5" s="3508" t="str">
        <f>'Part I-Project Information'!$B$6</f>
        <v>May 2019 Final</v>
      </c>
      <c r="L5" s="3509"/>
      <c r="M5" s="1260" t="s">
        <v>576</v>
      </c>
      <c r="O5" s="1257" t="s">
        <v>4718</v>
      </c>
      <c r="P5" s="3505"/>
      <c r="Q5" s="1254"/>
      <c r="R5" s="96"/>
      <c r="S5" s="96"/>
      <c r="T5" s="96"/>
      <c r="W5" s="3502"/>
      <c r="X5" s="3502"/>
      <c r="Y5" s="3502"/>
      <c r="Z5" s="3502"/>
      <c r="AA5" s="3502"/>
      <c r="AB5" s="3502"/>
      <c r="AC5" s="3502"/>
      <c r="AD5" s="3502"/>
      <c r="AE5" s="3502"/>
      <c r="AF5" s="3502"/>
      <c r="AG5" s="3502"/>
      <c r="AH5" s="3502"/>
      <c r="AI5" s="3502"/>
      <c r="AJ5" s="3502"/>
      <c r="AK5" s="3502"/>
      <c r="AL5" s="3502"/>
      <c r="AM5" s="3502"/>
      <c r="AN5" s="3502"/>
      <c r="AO5" s="3502"/>
      <c r="AP5" s="3502"/>
      <c r="AQ5" s="3502"/>
      <c r="AR5" s="3502"/>
      <c r="AS5" s="3502"/>
      <c r="AT5" s="3502"/>
      <c r="AU5" s="3502"/>
      <c r="AV5" s="3502"/>
      <c r="AW5" s="3502"/>
      <c r="AX5" s="3502"/>
      <c r="AY5" s="3502"/>
      <c r="AZ5" s="3502"/>
      <c r="BA5" s="3502"/>
      <c r="BB5" s="3502"/>
      <c r="BC5" s="3502"/>
      <c r="BD5" s="3502"/>
      <c r="BE5" s="3502"/>
      <c r="BF5" s="3502"/>
      <c r="BG5" s="3502"/>
      <c r="BH5" s="3502"/>
      <c r="BI5" s="3502"/>
      <c r="BJ5" s="3502"/>
      <c r="BK5" s="3502"/>
      <c r="BL5" s="3502"/>
      <c r="BM5" s="3502"/>
      <c r="BN5" s="3502"/>
      <c r="BO5" s="3502"/>
      <c r="BP5" s="3502"/>
      <c r="BQ5" s="3502"/>
      <c r="BR5" s="3502"/>
      <c r="BS5" s="3502"/>
      <c r="BT5" s="3502"/>
      <c r="BU5" s="3502"/>
      <c r="BV5" s="3502"/>
      <c r="BW5" s="3502"/>
      <c r="BX5" s="3502"/>
      <c r="BY5" s="3502"/>
      <c r="BZ5" s="3502"/>
      <c r="CA5" s="3502"/>
      <c r="CB5" s="3502"/>
      <c r="CC5" s="3502"/>
      <c r="CD5" s="3502"/>
      <c r="CE5" s="3502"/>
      <c r="CF5" s="3502"/>
      <c r="CG5" s="3502"/>
      <c r="CH5" s="3502"/>
      <c r="CI5" s="3502"/>
      <c r="CJ5" s="3502"/>
      <c r="CK5" s="3502"/>
      <c r="CL5" s="3502"/>
      <c r="CM5" s="3502"/>
      <c r="CN5" s="3502"/>
      <c r="CO5" s="3502"/>
      <c r="CP5" s="3502"/>
      <c r="CQ5" s="3502"/>
      <c r="CR5" s="3502"/>
      <c r="CS5" s="3502"/>
      <c r="CT5" s="3502"/>
      <c r="CU5" s="3502"/>
      <c r="CV5" s="3502"/>
      <c r="CW5" s="3502"/>
      <c r="CX5" s="3502"/>
      <c r="CY5" s="3502"/>
      <c r="CZ5" s="3502"/>
      <c r="DA5" s="3502"/>
      <c r="DB5" s="3502"/>
      <c r="DC5" s="3502"/>
      <c r="DD5" s="3502"/>
      <c r="DE5" s="3502"/>
      <c r="DF5" s="3502"/>
      <c r="DG5" s="3502"/>
      <c r="DH5" s="3502"/>
      <c r="DI5" s="3502"/>
      <c r="DJ5" s="3502"/>
      <c r="DK5" s="3502"/>
      <c r="DL5" s="3502"/>
      <c r="DM5" s="3502"/>
      <c r="DN5" s="3502"/>
      <c r="DO5" s="3502"/>
      <c r="DP5" s="3502"/>
      <c r="DQ5" s="3502"/>
      <c r="DR5" s="3502"/>
      <c r="DS5" s="3502"/>
      <c r="DT5" s="3502"/>
      <c r="DU5" s="3502"/>
      <c r="DV5" s="3502"/>
      <c r="DW5" s="3502"/>
      <c r="DX5" s="3502"/>
      <c r="DY5" s="3502"/>
      <c r="DZ5" s="3502"/>
      <c r="EA5" s="3502"/>
      <c r="EB5" s="3502"/>
      <c r="EC5" s="3502"/>
      <c r="ED5" s="3502"/>
      <c r="EE5" s="3502"/>
      <c r="EF5" s="3502"/>
      <c r="EG5" s="3502"/>
      <c r="EH5" s="3502"/>
      <c r="EI5" s="3502"/>
      <c r="EJ5" s="3502"/>
      <c r="EK5" s="3502"/>
      <c r="EL5" s="3502"/>
      <c r="EM5" s="3502"/>
      <c r="EN5" s="3502"/>
      <c r="EO5" s="3502"/>
      <c r="EP5" s="3502"/>
      <c r="EQ5" s="3502"/>
      <c r="ER5" s="3501"/>
      <c r="ES5" s="3501"/>
      <c r="ET5" s="3501"/>
      <c r="EU5" s="3501"/>
      <c r="EV5" s="3501"/>
      <c r="EW5" s="3501"/>
      <c r="EX5" s="3501"/>
      <c r="EY5" s="3501"/>
      <c r="EZ5" s="3501"/>
      <c r="FA5" s="3501"/>
      <c r="FB5" s="3502"/>
      <c r="FC5" s="3502"/>
      <c r="FD5" s="3502"/>
      <c r="FE5" s="3502"/>
      <c r="FF5" s="3502"/>
      <c r="FG5" s="3501"/>
      <c r="FH5" s="3501"/>
      <c r="FI5" s="3501"/>
      <c r="FJ5" s="3501"/>
      <c r="FK5" s="3501"/>
      <c r="FL5" s="3502"/>
      <c r="FM5" s="3502"/>
      <c r="FN5" s="3502"/>
      <c r="FO5" s="3502"/>
      <c r="FP5" s="3502"/>
      <c r="FQ5" s="3501"/>
      <c r="FR5" s="3501"/>
      <c r="FS5" s="3501"/>
      <c r="FT5" s="3501"/>
      <c r="FU5" s="3501"/>
      <c r="FV5" s="3501"/>
      <c r="FW5" s="3501"/>
      <c r="FX5" s="3501"/>
      <c r="FY5" s="3501"/>
      <c r="FZ5" s="3501"/>
      <c r="GA5" s="3501"/>
      <c r="GB5" s="3501"/>
      <c r="GC5" s="3501"/>
      <c r="GD5" s="3501"/>
      <c r="GE5" s="3501"/>
      <c r="GF5" s="3501"/>
      <c r="GG5" s="3501"/>
      <c r="GH5" s="3501"/>
      <c r="GI5" s="3501"/>
      <c r="GJ5" s="3501"/>
      <c r="GK5" s="3501"/>
      <c r="GL5" s="3501"/>
      <c r="GM5" s="3501"/>
      <c r="GN5" s="3501"/>
      <c r="GO5" s="3501"/>
      <c r="GP5" s="3501"/>
      <c r="GQ5" s="3501"/>
      <c r="GR5" s="3501"/>
      <c r="GS5" s="3501"/>
      <c r="GT5" s="3501"/>
      <c r="GU5" s="3501"/>
      <c r="GV5" s="3501"/>
      <c r="GW5" s="3501"/>
      <c r="GX5" s="3501"/>
      <c r="GY5" s="3501"/>
      <c r="GZ5" s="3501"/>
      <c r="HA5" s="3501"/>
      <c r="HB5" s="3501"/>
      <c r="HC5" s="3501"/>
      <c r="HD5" s="3501"/>
      <c r="HE5" s="3501"/>
      <c r="HF5" s="3501"/>
      <c r="HG5" s="3501"/>
      <c r="HH5" s="3501"/>
      <c r="HI5" s="3501"/>
      <c r="HJ5" s="3501"/>
      <c r="HK5" s="3501"/>
      <c r="HL5" s="3501"/>
      <c r="HM5" s="3501"/>
      <c r="HN5" s="3501"/>
      <c r="HO5" s="3501"/>
      <c r="HP5" s="3501"/>
      <c r="HQ5" s="3501"/>
      <c r="HR5" s="3501"/>
      <c r="HS5" s="3501"/>
      <c r="HT5" s="3501"/>
      <c r="HU5" s="3501"/>
      <c r="HV5" s="3501"/>
      <c r="HW5" s="3501"/>
      <c r="HX5" s="3501"/>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01"/>
      <c r="LG5" s="3501"/>
      <c r="LH5" s="3501"/>
      <c r="LI5" s="3501"/>
      <c r="LJ5" s="3501"/>
      <c r="LK5" s="3501"/>
      <c r="LL5" s="3501"/>
      <c r="LM5" s="3501"/>
      <c r="LN5" s="3501"/>
      <c r="LO5" s="3501"/>
      <c r="LP5" s="3501"/>
      <c r="LQ5" s="3501"/>
      <c r="LR5" s="3501"/>
      <c r="LS5" s="3501"/>
      <c r="LT5" s="3501"/>
      <c r="LU5" s="3501"/>
      <c r="LV5" s="3501"/>
      <c r="LW5" s="3501"/>
      <c r="LX5" s="3501"/>
      <c r="LY5" s="3501"/>
      <c r="LZ5" s="3501"/>
      <c r="MA5" s="3501"/>
      <c r="MB5" s="3501"/>
      <c r="MC5" s="3501"/>
      <c r="MD5" s="3501"/>
      <c r="ME5" s="3501"/>
      <c r="MF5" s="3501"/>
      <c r="MG5" s="3501"/>
      <c r="MH5" s="3501"/>
      <c r="MI5" s="3501"/>
      <c r="MJ5" s="3514" t="s">
        <v>3417</v>
      </c>
      <c r="MK5" s="3514" t="s">
        <v>3418</v>
      </c>
      <c r="ML5" s="3514" t="s">
        <v>3419</v>
      </c>
      <c r="MM5" s="3514" t="s">
        <v>3420</v>
      </c>
      <c r="MN5" s="3514" t="s">
        <v>3421</v>
      </c>
      <c r="MO5" s="3501" t="s">
        <v>3431</v>
      </c>
      <c r="MP5" s="3501" t="s">
        <v>3433</v>
      </c>
      <c r="MQ5" s="3501" t="s">
        <v>3434</v>
      </c>
      <c r="MR5" s="3501" t="s">
        <v>3435</v>
      </c>
      <c r="MS5" s="3501" t="s">
        <v>3436</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07"/>
      <c r="B6" s="29" t="s">
        <v>1805</v>
      </c>
      <c r="D6" s="1"/>
      <c r="E6" s="4"/>
      <c r="F6" s="2639" t="s">
        <v>201</v>
      </c>
      <c r="G6" s="1255" t="s">
        <v>3664</v>
      </c>
      <c r="H6" s="3505" t="s">
        <v>3888</v>
      </c>
      <c r="I6" s="1255" t="s">
        <v>798</v>
      </c>
      <c r="J6" s="1255" t="s">
        <v>3667</v>
      </c>
      <c r="K6" s="3509"/>
      <c r="L6" s="3509"/>
      <c r="M6" s="3504" t="str">
        <f>'Part I-Project Information'!$O$40</f>
        <v>Atlanta-Sandy Springs-Marietta</v>
      </c>
      <c r="N6" s="3504"/>
      <c r="O6" s="995">
        <f>VLOOKUP('Part I-Project Information'!$O$40,'DCA Underwriting Assumptions'!$C$158:$D$268,2)</f>
        <v>74800</v>
      </c>
      <c r="P6" s="3505"/>
      <c r="Q6" s="1254"/>
      <c r="R6" s="96"/>
      <c r="S6" s="3512" t="s">
        <v>2697</v>
      </c>
      <c r="T6" s="3512"/>
      <c r="W6" s="3502"/>
      <c r="X6" s="3502"/>
      <c r="Y6" s="3502"/>
      <c r="Z6" s="3502"/>
      <c r="AA6" s="3502"/>
      <c r="AB6" s="3502"/>
      <c r="AC6" s="3502"/>
      <c r="AD6" s="3502"/>
      <c r="AE6" s="3502"/>
      <c r="AF6" s="3502"/>
      <c r="AG6" s="3502"/>
      <c r="AH6" s="3502"/>
      <c r="AI6" s="3502"/>
      <c r="AJ6" s="3502"/>
      <c r="AK6" s="3502"/>
      <c r="AL6" s="3502"/>
      <c r="AM6" s="3502"/>
      <c r="AN6" s="3502"/>
      <c r="AO6" s="3502"/>
      <c r="AP6" s="3502"/>
      <c r="AQ6" s="3502"/>
      <c r="AR6" s="3502"/>
      <c r="AS6" s="3502"/>
      <c r="AT6" s="3502"/>
      <c r="AU6" s="3502"/>
      <c r="AV6" s="3502"/>
      <c r="AW6" s="3502"/>
      <c r="AX6" s="3502"/>
      <c r="AY6" s="3502"/>
      <c r="AZ6" s="3502"/>
      <c r="BA6" s="3502"/>
      <c r="BB6" s="3502"/>
      <c r="BC6" s="3502"/>
      <c r="BD6" s="3502"/>
      <c r="BE6" s="3502"/>
      <c r="BF6" s="3502"/>
      <c r="BG6" s="3502"/>
      <c r="BH6" s="3502"/>
      <c r="BI6" s="3502"/>
      <c r="BJ6" s="3502"/>
      <c r="BK6" s="3502"/>
      <c r="BL6" s="3502"/>
      <c r="BM6" s="3502"/>
      <c r="BN6" s="3502"/>
      <c r="BO6" s="3502"/>
      <c r="BP6" s="3502"/>
      <c r="BQ6" s="3502"/>
      <c r="BR6" s="3502"/>
      <c r="BS6" s="3502"/>
      <c r="BT6" s="3502"/>
      <c r="BU6" s="3502"/>
      <c r="BV6" s="3502"/>
      <c r="BW6" s="3502"/>
      <c r="BX6" s="3502"/>
      <c r="BY6" s="3502"/>
      <c r="BZ6" s="3502"/>
      <c r="CA6" s="3502"/>
      <c r="CB6" s="3502"/>
      <c r="CC6" s="3502"/>
      <c r="CD6" s="3502"/>
      <c r="CE6" s="3502"/>
      <c r="CF6" s="3502"/>
      <c r="CG6" s="3502"/>
      <c r="CH6" s="3502"/>
      <c r="CI6" s="3502"/>
      <c r="CJ6" s="3502"/>
      <c r="CK6" s="3502"/>
      <c r="CL6" s="3502"/>
      <c r="CM6" s="3502"/>
      <c r="CN6" s="3502"/>
      <c r="CO6" s="3502"/>
      <c r="CP6" s="3502"/>
      <c r="CQ6" s="3502"/>
      <c r="CR6" s="3502"/>
      <c r="CS6" s="3502"/>
      <c r="CT6" s="3502"/>
      <c r="CU6" s="3502"/>
      <c r="CV6" s="3502"/>
      <c r="CW6" s="3502"/>
      <c r="CX6" s="3502"/>
      <c r="CY6" s="3502"/>
      <c r="CZ6" s="3502"/>
      <c r="DA6" s="3502"/>
      <c r="DB6" s="3502"/>
      <c r="DC6" s="3502"/>
      <c r="DD6" s="3502"/>
      <c r="DE6" s="3502"/>
      <c r="DF6" s="3502"/>
      <c r="DG6" s="3502"/>
      <c r="DH6" s="3502"/>
      <c r="DI6" s="3502"/>
      <c r="DJ6" s="3502"/>
      <c r="DK6" s="3502"/>
      <c r="DL6" s="3502"/>
      <c r="DM6" s="3502"/>
      <c r="DN6" s="3502"/>
      <c r="DO6" s="3502"/>
      <c r="DP6" s="3502"/>
      <c r="DQ6" s="3502"/>
      <c r="DR6" s="3502"/>
      <c r="DS6" s="3502"/>
      <c r="DT6" s="3502"/>
      <c r="DU6" s="3502"/>
      <c r="DV6" s="3502"/>
      <c r="DW6" s="3502"/>
      <c r="DX6" s="3502"/>
      <c r="DY6" s="3502"/>
      <c r="DZ6" s="3502"/>
      <c r="EA6" s="3502"/>
      <c r="EB6" s="3502"/>
      <c r="EC6" s="3502"/>
      <c r="ED6" s="3502"/>
      <c r="EE6" s="3502"/>
      <c r="EF6" s="3502"/>
      <c r="EG6" s="3502"/>
      <c r="EH6" s="3502"/>
      <c r="EI6" s="3502"/>
      <c r="EJ6" s="3502"/>
      <c r="EK6" s="3502"/>
      <c r="EL6" s="3502"/>
      <c r="EM6" s="3502"/>
      <c r="EN6" s="3502"/>
      <c r="EO6" s="3502"/>
      <c r="EP6" s="3502"/>
      <c r="EQ6" s="3502"/>
      <c r="ER6" s="3501"/>
      <c r="ES6" s="3501"/>
      <c r="ET6" s="3501"/>
      <c r="EU6" s="3501"/>
      <c r="EV6" s="3501"/>
      <c r="EW6" s="3501"/>
      <c r="EX6" s="3501"/>
      <c r="EY6" s="3501"/>
      <c r="EZ6" s="3501"/>
      <c r="FA6" s="3501"/>
      <c r="FB6" s="3502"/>
      <c r="FC6" s="3502"/>
      <c r="FD6" s="3502"/>
      <c r="FE6" s="3502"/>
      <c r="FF6" s="3502"/>
      <c r="FG6" s="3501"/>
      <c r="FH6" s="3501"/>
      <c r="FI6" s="3501"/>
      <c r="FJ6" s="3501"/>
      <c r="FK6" s="3501"/>
      <c r="FL6" s="3502"/>
      <c r="FM6" s="3502"/>
      <c r="FN6" s="3502"/>
      <c r="FO6" s="3502"/>
      <c r="FP6" s="3502"/>
      <c r="FQ6" s="3501"/>
      <c r="FR6" s="3501"/>
      <c r="FS6" s="3501"/>
      <c r="FT6" s="3501"/>
      <c r="FU6" s="3501"/>
      <c r="FV6" s="3501"/>
      <c r="FW6" s="3501"/>
      <c r="FX6" s="3501"/>
      <c r="FY6" s="3501"/>
      <c r="FZ6" s="3501"/>
      <c r="GA6" s="3501"/>
      <c r="GB6" s="3501"/>
      <c r="GC6" s="3501"/>
      <c r="GD6" s="3501"/>
      <c r="GE6" s="3501"/>
      <c r="GF6" s="3501"/>
      <c r="GG6" s="3501"/>
      <c r="GH6" s="3501"/>
      <c r="GI6" s="3501"/>
      <c r="GJ6" s="3501"/>
      <c r="GK6" s="3501"/>
      <c r="GL6" s="3501"/>
      <c r="GM6" s="3501"/>
      <c r="GN6" s="3501"/>
      <c r="GO6" s="3501"/>
      <c r="GP6" s="3501"/>
      <c r="GQ6" s="3501"/>
      <c r="GR6" s="3501"/>
      <c r="GS6" s="3501"/>
      <c r="GT6" s="3501"/>
      <c r="GU6" s="3501"/>
      <c r="GV6" s="3501"/>
      <c r="GW6" s="3501"/>
      <c r="GX6" s="3501"/>
      <c r="GY6" s="3501"/>
      <c r="GZ6" s="3501"/>
      <c r="HA6" s="3501"/>
      <c r="HB6" s="3501"/>
      <c r="HC6" s="3501"/>
      <c r="HD6" s="3501"/>
      <c r="HE6" s="3501"/>
      <c r="HF6" s="3501"/>
      <c r="HG6" s="3501"/>
      <c r="HH6" s="3501"/>
      <c r="HI6" s="3501"/>
      <c r="HJ6" s="3501"/>
      <c r="HK6" s="3501"/>
      <c r="HL6" s="3501"/>
      <c r="HM6" s="3501"/>
      <c r="HN6" s="3501"/>
      <c r="HO6" s="3501"/>
      <c r="HP6" s="3501"/>
      <c r="HQ6" s="3501"/>
      <c r="HR6" s="3501"/>
      <c r="HS6" s="3501"/>
      <c r="HT6" s="3501"/>
      <c r="HU6" s="3501"/>
      <c r="HV6" s="3501"/>
      <c r="HW6" s="3501"/>
      <c r="HX6" s="3501"/>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01"/>
      <c r="LG6" s="3501"/>
      <c r="LH6" s="3501"/>
      <c r="LI6" s="3501"/>
      <c r="LJ6" s="3501"/>
      <c r="LK6" s="3501"/>
      <c r="LL6" s="3501"/>
      <c r="LM6" s="3501"/>
      <c r="LN6" s="3501"/>
      <c r="LO6" s="3501"/>
      <c r="LP6" s="3501"/>
      <c r="LQ6" s="3501"/>
      <c r="LR6" s="3501"/>
      <c r="LS6" s="3501"/>
      <c r="LT6" s="3501"/>
      <c r="LU6" s="3501"/>
      <c r="LV6" s="3501"/>
      <c r="LW6" s="3501"/>
      <c r="LX6" s="3501"/>
      <c r="LY6" s="3501"/>
      <c r="LZ6" s="3501"/>
      <c r="MA6" s="3501"/>
      <c r="MB6" s="3501"/>
      <c r="MC6" s="3501"/>
      <c r="MD6" s="3501"/>
      <c r="ME6" s="3501"/>
      <c r="MF6" s="3501"/>
      <c r="MG6" s="3501"/>
      <c r="MH6" s="3501"/>
      <c r="MI6" s="3501"/>
      <c r="MJ6" s="3514"/>
      <c r="MK6" s="3514"/>
      <c r="ML6" s="3514"/>
      <c r="MM6" s="3514"/>
      <c r="MN6" s="3514"/>
      <c r="MO6" s="3501"/>
      <c r="MP6" s="3501"/>
      <c r="MQ6" s="3501"/>
      <c r="MR6" s="3501"/>
      <c r="MS6" s="3501"/>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07"/>
      <c r="B7" s="1256" t="s">
        <v>4705</v>
      </c>
      <c r="C7" s="1"/>
      <c r="D7" s="4"/>
      <c r="E7" s="1"/>
      <c r="F7" s="1"/>
      <c r="G7" s="1255" t="s">
        <v>3665</v>
      </c>
      <c r="H7" s="3505"/>
      <c r="I7" s="1255" t="s">
        <v>799</v>
      </c>
      <c r="J7" s="1255" t="s">
        <v>3668</v>
      </c>
      <c r="K7" s="987"/>
      <c r="L7" s="987"/>
      <c r="M7" s="3504"/>
      <c r="N7" s="3504"/>
      <c r="P7" s="3505"/>
      <c r="Q7" s="1254"/>
      <c r="R7" s="987"/>
      <c r="S7" s="988"/>
      <c r="T7" s="992" t="s">
        <v>2694</v>
      </c>
      <c r="U7" s="479"/>
      <c r="V7" s="480"/>
      <c r="W7" s="3502"/>
      <c r="X7" s="3502"/>
      <c r="Y7" s="3502"/>
      <c r="Z7" s="3502"/>
      <c r="AA7" s="3502"/>
      <c r="AB7" s="3502"/>
      <c r="AC7" s="3502"/>
      <c r="AD7" s="3502"/>
      <c r="AE7" s="3502"/>
      <c r="AF7" s="3502"/>
      <c r="AG7" s="3502"/>
      <c r="AH7" s="3502"/>
      <c r="AI7" s="3502"/>
      <c r="AJ7" s="3502"/>
      <c r="AK7" s="3502"/>
      <c r="AL7" s="3502"/>
      <c r="AM7" s="3502"/>
      <c r="AN7" s="3502"/>
      <c r="AO7" s="3502"/>
      <c r="AP7" s="3502"/>
      <c r="AQ7" s="3502"/>
      <c r="AR7" s="3502"/>
      <c r="AS7" s="3502"/>
      <c r="AT7" s="3502"/>
      <c r="AU7" s="3502"/>
      <c r="AV7" s="3502"/>
      <c r="AW7" s="3502"/>
      <c r="AX7" s="3502"/>
      <c r="AY7" s="3502"/>
      <c r="AZ7" s="3502"/>
      <c r="BA7" s="3502"/>
      <c r="BB7" s="3502"/>
      <c r="BC7" s="3502"/>
      <c r="BD7" s="3502"/>
      <c r="BE7" s="3502"/>
      <c r="BF7" s="3502"/>
      <c r="BG7" s="3502"/>
      <c r="BH7" s="3502"/>
      <c r="BI7" s="3502"/>
      <c r="BJ7" s="3502"/>
      <c r="BK7" s="3502"/>
      <c r="BL7" s="3502"/>
      <c r="BM7" s="3502"/>
      <c r="BN7" s="3502"/>
      <c r="BO7" s="3502"/>
      <c r="BP7" s="3502"/>
      <c r="BQ7" s="3502"/>
      <c r="BR7" s="3502"/>
      <c r="BS7" s="3502"/>
      <c r="BT7" s="3502"/>
      <c r="BU7" s="3502"/>
      <c r="BV7" s="3502"/>
      <c r="BW7" s="3502"/>
      <c r="BX7" s="3502"/>
      <c r="BY7" s="3502"/>
      <c r="BZ7" s="3502"/>
      <c r="CA7" s="3502"/>
      <c r="CB7" s="3502"/>
      <c r="CC7" s="3502"/>
      <c r="CD7" s="3502"/>
      <c r="CE7" s="3502"/>
      <c r="CF7" s="3502"/>
      <c r="CG7" s="3502"/>
      <c r="CH7" s="3502"/>
      <c r="CI7" s="3502"/>
      <c r="CJ7" s="3502"/>
      <c r="CK7" s="3502"/>
      <c r="CL7" s="3502"/>
      <c r="CM7" s="3502"/>
      <c r="CN7" s="3502"/>
      <c r="CO7" s="3502"/>
      <c r="CP7" s="3502"/>
      <c r="CQ7" s="3502"/>
      <c r="CR7" s="3502"/>
      <c r="CS7" s="3502"/>
      <c r="CT7" s="3502"/>
      <c r="CU7" s="3502"/>
      <c r="CV7" s="3502"/>
      <c r="CW7" s="3502"/>
      <c r="CX7" s="3502"/>
      <c r="CY7" s="3502"/>
      <c r="CZ7" s="3502"/>
      <c r="DA7" s="3502"/>
      <c r="DB7" s="3502"/>
      <c r="DC7" s="3502"/>
      <c r="DD7" s="3502"/>
      <c r="DE7" s="3502"/>
      <c r="DF7" s="3502"/>
      <c r="DG7" s="3502"/>
      <c r="DH7" s="3502"/>
      <c r="DI7" s="3502"/>
      <c r="DJ7" s="3502"/>
      <c r="DK7" s="3502"/>
      <c r="DL7" s="3502"/>
      <c r="DM7" s="3502"/>
      <c r="DN7" s="3502"/>
      <c r="DO7" s="3502"/>
      <c r="DP7" s="3502"/>
      <c r="DQ7" s="3502"/>
      <c r="DR7" s="3502"/>
      <c r="DS7" s="3502"/>
      <c r="DT7" s="3502"/>
      <c r="DU7" s="3502"/>
      <c r="DV7" s="3502"/>
      <c r="DW7" s="3502"/>
      <c r="DX7" s="3502"/>
      <c r="DY7" s="3502"/>
      <c r="DZ7" s="3502"/>
      <c r="EA7" s="3502"/>
      <c r="EB7" s="3502"/>
      <c r="EC7" s="3502"/>
      <c r="ED7" s="3502"/>
      <c r="EE7" s="3502"/>
      <c r="EF7" s="3502"/>
      <c r="EG7" s="3502"/>
      <c r="EH7" s="3502"/>
      <c r="EI7" s="3502"/>
      <c r="EJ7" s="3502"/>
      <c r="EK7" s="3502"/>
      <c r="EL7" s="3502"/>
      <c r="EM7" s="3502"/>
      <c r="EN7" s="3502"/>
      <c r="EO7" s="3502"/>
      <c r="EP7" s="3502"/>
      <c r="EQ7" s="3502"/>
      <c r="ER7" s="3501"/>
      <c r="ES7" s="3501"/>
      <c r="ET7" s="3501"/>
      <c r="EU7" s="3501"/>
      <c r="EV7" s="3501"/>
      <c r="EW7" s="3501"/>
      <c r="EX7" s="3501"/>
      <c r="EY7" s="3501"/>
      <c r="EZ7" s="3501"/>
      <c r="FA7" s="3501"/>
      <c r="FB7" s="3502"/>
      <c r="FC7" s="3502"/>
      <c r="FD7" s="3502"/>
      <c r="FE7" s="3502"/>
      <c r="FF7" s="3502"/>
      <c r="FG7" s="3501"/>
      <c r="FH7" s="3501"/>
      <c r="FI7" s="3501"/>
      <c r="FJ7" s="3501"/>
      <c r="FK7" s="3501"/>
      <c r="FL7" s="3502"/>
      <c r="FM7" s="3502"/>
      <c r="FN7" s="3502"/>
      <c r="FO7" s="3502"/>
      <c r="FP7" s="3502"/>
      <c r="FQ7" s="3501"/>
      <c r="FR7" s="3501"/>
      <c r="FS7" s="3501"/>
      <c r="FT7" s="3501"/>
      <c r="FU7" s="3501"/>
      <c r="FV7" s="3501"/>
      <c r="FW7" s="3501"/>
      <c r="FX7" s="3501"/>
      <c r="FY7" s="3501"/>
      <c r="FZ7" s="3501"/>
      <c r="GA7" s="3501"/>
      <c r="GB7" s="3501"/>
      <c r="GC7" s="3501"/>
      <c r="GD7" s="3501"/>
      <c r="GE7" s="3501"/>
      <c r="GF7" s="3501"/>
      <c r="GG7" s="3501"/>
      <c r="GH7" s="3501"/>
      <c r="GI7" s="3501"/>
      <c r="GJ7" s="3501"/>
      <c r="GK7" s="3501"/>
      <c r="GL7" s="3501"/>
      <c r="GM7" s="3501"/>
      <c r="GN7" s="3501"/>
      <c r="GO7" s="3501"/>
      <c r="GP7" s="3501"/>
      <c r="GQ7" s="3501"/>
      <c r="GR7" s="3501"/>
      <c r="GS7" s="3501"/>
      <c r="GT7" s="3501"/>
      <c r="GU7" s="3501"/>
      <c r="GV7" s="3501"/>
      <c r="GW7" s="3501"/>
      <c r="GX7" s="3501"/>
      <c r="GY7" s="3501"/>
      <c r="GZ7" s="3501"/>
      <c r="HA7" s="3501"/>
      <c r="HB7" s="3501"/>
      <c r="HC7" s="3501"/>
      <c r="HD7" s="3501"/>
      <c r="HE7" s="3501"/>
      <c r="HF7" s="3501"/>
      <c r="HG7" s="3501"/>
      <c r="HH7" s="3501"/>
      <c r="HI7" s="3501"/>
      <c r="HJ7" s="3501"/>
      <c r="HK7" s="3501"/>
      <c r="HL7" s="3501"/>
      <c r="HM7" s="3501"/>
      <c r="HN7" s="3501"/>
      <c r="HO7" s="3501"/>
      <c r="HP7" s="3501"/>
      <c r="HQ7" s="3501"/>
      <c r="HR7" s="3501"/>
      <c r="HS7" s="3501"/>
      <c r="HT7" s="3501"/>
      <c r="HU7" s="3501"/>
      <c r="HV7" s="3501"/>
      <c r="HW7" s="3501"/>
      <c r="HX7" s="3501"/>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01"/>
      <c r="LG7" s="3501"/>
      <c r="LH7" s="3501"/>
      <c r="LI7" s="3501"/>
      <c r="LJ7" s="3501"/>
      <c r="LK7" s="3501"/>
      <c r="LL7" s="3501"/>
      <c r="LM7" s="3501"/>
      <c r="LN7" s="3501"/>
      <c r="LO7" s="3501"/>
      <c r="LP7" s="3501"/>
      <c r="LQ7" s="3501"/>
      <c r="LR7" s="3501"/>
      <c r="LS7" s="3501"/>
      <c r="LT7" s="3501"/>
      <c r="LU7" s="3501"/>
      <c r="LV7" s="3501"/>
      <c r="LW7" s="3501"/>
      <c r="LX7" s="3501"/>
      <c r="LY7" s="3501"/>
      <c r="LZ7" s="3501"/>
      <c r="MA7" s="3501"/>
      <c r="MB7" s="3501"/>
      <c r="MC7" s="3501"/>
      <c r="MD7" s="3501"/>
      <c r="ME7" s="3501"/>
      <c r="MF7" s="3501"/>
      <c r="MG7" s="3501"/>
      <c r="MH7" s="3501"/>
      <c r="MI7" s="3501"/>
      <c r="MJ7" s="3514"/>
      <c r="MK7" s="3514"/>
      <c r="ML7" s="3514"/>
      <c r="MM7" s="3514"/>
      <c r="MN7" s="3514"/>
      <c r="MO7" s="3501"/>
      <c r="MP7" s="3501"/>
      <c r="MQ7" s="3501"/>
      <c r="MR7" s="3501"/>
      <c r="MS7" s="3501"/>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07"/>
      <c r="B8" s="2312" t="s">
        <v>4706</v>
      </c>
      <c r="C8" s="1255" t="s">
        <v>172</v>
      </c>
      <c r="D8" s="1255" t="s">
        <v>545</v>
      </c>
      <c r="E8" s="1255" t="s">
        <v>1476</v>
      </c>
      <c r="F8" s="1255" t="s">
        <v>1476</v>
      </c>
      <c r="G8" s="1255" t="s">
        <v>1478</v>
      </c>
      <c r="H8" s="1255" t="s">
        <v>3665</v>
      </c>
      <c r="I8" s="3510" t="s">
        <v>5067</v>
      </c>
      <c r="J8" s="1255" t="s">
        <v>2405</v>
      </c>
      <c r="K8" s="3513" t="s">
        <v>145</v>
      </c>
      <c r="L8" s="3513"/>
      <c r="M8" s="1255" t="s">
        <v>2366</v>
      </c>
      <c r="N8" s="1255" t="s">
        <v>532</v>
      </c>
      <c r="O8" s="1255" t="s">
        <v>383</v>
      </c>
      <c r="P8" s="3505"/>
      <c r="Q8" s="3513" t="s">
        <v>3573</v>
      </c>
      <c r="R8" s="3513"/>
      <c r="S8" s="1255" t="s">
        <v>2693</v>
      </c>
      <c r="T8" s="1255" t="s">
        <v>2695</v>
      </c>
      <c r="U8" s="481"/>
      <c r="V8" s="482"/>
      <c r="W8" s="3502"/>
      <c r="X8" s="3502"/>
      <c r="Y8" s="3502"/>
      <c r="Z8" s="3502"/>
      <c r="AA8" s="3502"/>
      <c r="AB8" s="3502"/>
      <c r="AC8" s="3502"/>
      <c r="AD8" s="3502"/>
      <c r="AE8" s="3502"/>
      <c r="AF8" s="3502"/>
      <c r="AG8" s="3502"/>
      <c r="AH8" s="3502"/>
      <c r="AI8" s="3502"/>
      <c r="AJ8" s="3502"/>
      <c r="AK8" s="3502"/>
      <c r="AL8" s="3502"/>
      <c r="AM8" s="3502"/>
      <c r="AN8" s="3502"/>
      <c r="AO8" s="3502"/>
      <c r="AP8" s="3502"/>
      <c r="AQ8" s="3502"/>
      <c r="AR8" s="3502"/>
      <c r="AS8" s="3502"/>
      <c r="AT8" s="3502"/>
      <c r="AU8" s="3502"/>
      <c r="AV8" s="3502"/>
      <c r="AW8" s="3502"/>
      <c r="AX8" s="3502"/>
      <c r="AY8" s="3502"/>
      <c r="AZ8" s="3502"/>
      <c r="BA8" s="3502"/>
      <c r="BB8" s="3502"/>
      <c r="BC8" s="3502"/>
      <c r="BD8" s="3502"/>
      <c r="BE8" s="3502"/>
      <c r="BF8" s="3502"/>
      <c r="BG8" s="3502"/>
      <c r="BH8" s="3502"/>
      <c r="BI8" s="3502"/>
      <c r="BJ8" s="3502"/>
      <c r="BK8" s="3502"/>
      <c r="BL8" s="3502"/>
      <c r="BM8" s="3502"/>
      <c r="BN8" s="3502"/>
      <c r="BO8" s="3502"/>
      <c r="BP8" s="3502"/>
      <c r="BQ8" s="3502"/>
      <c r="BR8" s="3502"/>
      <c r="BS8" s="3502"/>
      <c r="BT8" s="3502"/>
      <c r="BU8" s="3502"/>
      <c r="BV8" s="3502"/>
      <c r="BW8" s="3502"/>
      <c r="BX8" s="3502"/>
      <c r="BY8" s="3502"/>
      <c r="BZ8" s="3502"/>
      <c r="CA8" s="3502"/>
      <c r="CB8" s="3502"/>
      <c r="CC8" s="3502"/>
      <c r="CD8" s="3502"/>
      <c r="CE8" s="3502"/>
      <c r="CF8" s="3502"/>
      <c r="CG8" s="3502"/>
      <c r="CH8" s="3502"/>
      <c r="CI8" s="3502"/>
      <c r="CJ8" s="3502"/>
      <c r="CK8" s="3502"/>
      <c r="CL8" s="3502"/>
      <c r="CM8" s="3502"/>
      <c r="CN8" s="3502"/>
      <c r="CO8" s="3502"/>
      <c r="CP8" s="3502"/>
      <c r="CQ8" s="3502"/>
      <c r="CR8" s="3502"/>
      <c r="CS8" s="3502"/>
      <c r="CT8" s="3502"/>
      <c r="CU8" s="3502"/>
      <c r="CV8" s="3502"/>
      <c r="CW8" s="3502"/>
      <c r="CX8" s="3502"/>
      <c r="CY8" s="3502"/>
      <c r="CZ8" s="3502"/>
      <c r="DA8" s="3502"/>
      <c r="DB8" s="3502"/>
      <c r="DC8" s="3502"/>
      <c r="DD8" s="3502"/>
      <c r="DE8" s="3502"/>
      <c r="DF8" s="3502"/>
      <c r="DG8" s="3502"/>
      <c r="DH8" s="3502"/>
      <c r="DI8" s="3502"/>
      <c r="DJ8" s="3502"/>
      <c r="DK8" s="3502"/>
      <c r="DL8" s="3502"/>
      <c r="DM8" s="3502"/>
      <c r="DN8" s="3502"/>
      <c r="DO8" s="3502"/>
      <c r="DP8" s="3502"/>
      <c r="DQ8" s="3502"/>
      <c r="DR8" s="3502"/>
      <c r="DS8" s="3502"/>
      <c r="DT8" s="3502"/>
      <c r="DU8" s="3502"/>
      <c r="DV8" s="3502"/>
      <c r="DW8" s="3502"/>
      <c r="DX8" s="3502"/>
      <c r="DY8" s="3502"/>
      <c r="DZ8" s="3502"/>
      <c r="EA8" s="3502"/>
      <c r="EB8" s="3502"/>
      <c r="EC8" s="3502"/>
      <c r="ED8" s="3502"/>
      <c r="EE8" s="3502"/>
      <c r="EF8" s="3502"/>
      <c r="EG8" s="3502"/>
      <c r="EH8" s="3502"/>
      <c r="EI8" s="3502"/>
      <c r="EJ8" s="3502"/>
      <c r="EK8" s="3502"/>
      <c r="EL8" s="3502"/>
      <c r="EM8" s="3502"/>
      <c r="EN8" s="3502"/>
      <c r="EO8" s="3502"/>
      <c r="EP8" s="3502"/>
      <c r="EQ8" s="3502"/>
      <c r="ER8" s="3501"/>
      <c r="ES8" s="3501"/>
      <c r="ET8" s="3501"/>
      <c r="EU8" s="3501"/>
      <c r="EV8" s="3501"/>
      <c r="EW8" s="3501"/>
      <c r="EX8" s="3501"/>
      <c r="EY8" s="3501"/>
      <c r="EZ8" s="3501"/>
      <c r="FA8" s="3501"/>
      <c r="FB8" s="3502"/>
      <c r="FC8" s="3502"/>
      <c r="FD8" s="3502"/>
      <c r="FE8" s="3502"/>
      <c r="FF8" s="3502"/>
      <c r="FG8" s="3501"/>
      <c r="FH8" s="3501"/>
      <c r="FI8" s="3501"/>
      <c r="FJ8" s="3501"/>
      <c r="FK8" s="3501"/>
      <c r="FL8" s="3502"/>
      <c r="FM8" s="3502"/>
      <c r="FN8" s="3502"/>
      <c r="FO8" s="3502"/>
      <c r="FP8" s="3502"/>
      <c r="FQ8" s="3501"/>
      <c r="FR8" s="3501"/>
      <c r="FS8" s="3501"/>
      <c r="FT8" s="3501"/>
      <c r="FU8" s="3501"/>
      <c r="FV8" s="3501"/>
      <c r="FW8" s="3501"/>
      <c r="FX8" s="3501"/>
      <c r="FY8" s="3501"/>
      <c r="FZ8" s="3501"/>
      <c r="GA8" s="3501"/>
      <c r="GB8" s="3501"/>
      <c r="GC8" s="3501"/>
      <c r="GD8" s="3501"/>
      <c r="GE8" s="3501"/>
      <c r="GF8" s="3501"/>
      <c r="GG8" s="3501"/>
      <c r="GH8" s="3501"/>
      <c r="GI8" s="3501"/>
      <c r="GJ8" s="3501"/>
      <c r="GK8" s="3501"/>
      <c r="GL8" s="3501"/>
      <c r="GM8" s="3501"/>
      <c r="GN8" s="3501"/>
      <c r="GO8" s="3501"/>
      <c r="GP8" s="3501"/>
      <c r="GQ8" s="3501"/>
      <c r="GR8" s="3501"/>
      <c r="GS8" s="3501"/>
      <c r="GT8" s="3501"/>
      <c r="GU8" s="3501"/>
      <c r="GV8" s="3501"/>
      <c r="GW8" s="3501"/>
      <c r="GX8" s="3501"/>
      <c r="GY8" s="3501"/>
      <c r="GZ8" s="3501"/>
      <c r="HA8" s="3501"/>
      <c r="HB8" s="3501"/>
      <c r="HC8" s="3501"/>
      <c r="HD8" s="3501"/>
      <c r="HE8" s="3501"/>
      <c r="HF8" s="3501"/>
      <c r="HG8" s="3501"/>
      <c r="HH8" s="3501"/>
      <c r="HI8" s="3501"/>
      <c r="HJ8" s="3501"/>
      <c r="HK8" s="3501"/>
      <c r="HL8" s="3501"/>
      <c r="HM8" s="3501"/>
      <c r="HN8" s="3501"/>
      <c r="HO8" s="3501"/>
      <c r="HP8" s="3501"/>
      <c r="HQ8" s="3501"/>
      <c r="HR8" s="3501"/>
      <c r="HS8" s="3501"/>
      <c r="HT8" s="3501"/>
      <c r="HU8" s="3501"/>
      <c r="HV8" s="3501"/>
      <c r="HW8" s="3501"/>
      <c r="HX8" s="3501"/>
      <c r="HY8" s="3501" t="s">
        <v>1462</v>
      </c>
      <c r="HZ8" s="517" t="s">
        <v>2439</v>
      </c>
      <c r="IA8" s="517" t="s">
        <v>2440</v>
      </c>
      <c r="IB8" s="517" t="s">
        <v>2441</v>
      </c>
      <c r="IC8" s="517" t="s">
        <v>2442</v>
      </c>
      <c r="ID8" s="3501" t="s">
        <v>2496</v>
      </c>
      <c r="IE8" s="3501" t="s">
        <v>2496</v>
      </c>
      <c r="IF8" s="3501" t="s">
        <v>2496</v>
      </c>
      <c r="IG8" s="3501" t="s">
        <v>2496</v>
      </c>
      <c r="IH8" s="3501" t="s">
        <v>2496</v>
      </c>
      <c r="II8" s="3501" t="s">
        <v>3365</v>
      </c>
      <c r="IJ8" s="3501" t="s">
        <v>3365</v>
      </c>
      <c r="IK8" s="3501" t="s">
        <v>3365</v>
      </c>
      <c r="IL8" s="3501" t="s">
        <v>3365</v>
      </c>
      <c r="IM8" s="3501" t="s">
        <v>3365</v>
      </c>
      <c r="IN8" s="517" t="s">
        <v>568</v>
      </c>
      <c r="IO8" s="517" t="s">
        <v>2439</v>
      </c>
      <c r="IP8" s="517" t="s">
        <v>2440</v>
      </c>
      <c r="IQ8" s="517" t="s">
        <v>2441</v>
      </c>
      <c r="IR8" s="517" t="s">
        <v>2442</v>
      </c>
      <c r="IS8" s="517" t="s">
        <v>568</v>
      </c>
      <c r="IT8" s="517" t="s">
        <v>2439</v>
      </c>
      <c r="IU8" s="517" t="s">
        <v>2440</v>
      </c>
      <c r="IV8" s="517" t="s">
        <v>2441</v>
      </c>
      <c r="IW8" s="517" t="s">
        <v>2442</v>
      </c>
      <c r="IX8" s="3501" t="s">
        <v>2498</v>
      </c>
      <c r="IY8" s="3501" t="s">
        <v>2498</v>
      </c>
      <c r="IZ8" s="3501" t="s">
        <v>2498</v>
      </c>
      <c r="JA8" s="3501" t="s">
        <v>2498</v>
      </c>
      <c r="JB8" s="3501" t="s">
        <v>2498</v>
      </c>
      <c r="JC8" s="3501" t="s">
        <v>3361</v>
      </c>
      <c r="JD8" s="3501" t="s">
        <v>3361</v>
      </c>
      <c r="JE8" s="3501" t="s">
        <v>3361</v>
      </c>
      <c r="JF8" s="3501" t="s">
        <v>3361</v>
      </c>
      <c r="JG8" s="3501" t="s">
        <v>3361</v>
      </c>
      <c r="JH8" s="3501" t="s">
        <v>358</v>
      </c>
      <c r="JI8" s="3501" t="s">
        <v>358</v>
      </c>
      <c r="JJ8" s="3501" t="s">
        <v>358</v>
      </c>
      <c r="JK8" s="3501" t="s">
        <v>358</v>
      </c>
      <c r="JL8" s="3501" t="s">
        <v>358</v>
      </c>
      <c r="JM8" s="3501" t="s">
        <v>3360</v>
      </c>
      <c r="JN8" s="3501" t="s">
        <v>3360</v>
      </c>
      <c r="JO8" s="3501" t="s">
        <v>3360</v>
      </c>
      <c r="JP8" s="3501" t="s">
        <v>3360</v>
      </c>
      <c r="JQ8" s="3501" t="s">
        <v>3360</v>
      </c>
      <c r="JR8" s="3501" t="s">
        <v>359</v>
      </c>
      <c r="JS8" s="3501" t="s">
        <v>359</v>
      </c>
      <c r="JT8" s="3501" t="s">
        <v>359</v>
      </c>
      <c r="JU8" s="3501" t="s">
        <v>359</v>
      </c>
      <c r="JV8" s="3501" t="s">
        <v>359</v>
      </c>
      <c r="JW8" s="3501" t="s">
        <v>3359</v>
      </c>
      <c r="JX8" s="3501" t="s">
        <v>3359</v>
      </c>
      <c r="JY8" s="3501" t="s">
        <v>3359</v>
      </c>
      <c r="JZ8" s="3501" t="s">
        <v>3359</v>
      </c>
      <c r="KA8" s="3501" t="s">
        <v>3359</v>
      </c>
      <c r="KB8" s="3501" t="s">
        <v>360</v>
      </c>
      <c r="KC8" s="3501" t="s">
        <v>360</v>
      </c>
      <c r="KD8" s="3501" t="s">
        <v>360</v>
      </c>
      <c r="KE8" s="3501" t="s">
        <v>360</v>
      </c>
      <c r="KF8" s="3501" t="s">
        <v>360</v>
      </c>
      <c r="KG8" s="3501" t="s">
        <v>3362</v>
      </c>
      <c r="KH8" s="3501" t="s">
        <v>3362</v>
      </c>
      <c r="KI8" s="3501" t="s">
        <v>3362</v>
      </c>
      <c r="KJ8" s="3501" t="s">
        <v>3362</v>
      </c>
      <c r="KK8" s="3501" t="s">
        <v>3362</v>
      </c>
      <c r="KL8" s="3501" t="s">
        <v>361</v>
      </c>
      <c r="KM8" s="3501" t="s">
        <v>361</v>
      </c>
      <c r="KN8" s="3501" t="s">
        <v>361</v>
      </c>
      <c r="KO8" s="3501" t="s">
        <v>361</v>
      </c>
      <c r="KP8" s="3501" t="s">
        <v>361</v>
      </c>
      <c r="KQ8" s="3501" t="s">
        <v>3363</v>
      </c>
      <c r="KR8" s="3501" t="s">
        <v>3363</v>
      </c>
      <c r="KS8" s="3501" t="s">
        <v>3363</v>
      </c>
      <c r="KT8" s="3501" t="s">
        <v>3363</v>
      </c>
      <c r="KU8" s="3501" t="s">
        <v>3363</v>
      </c>
      <c r="KV8" s="3501" t="s">
        <v>1461</v>
      </c>
      <c r="KW8" s="3501" t="s">
        <v>1461</v>
      </c>
      <c r="KX8" s="3501" t="s">
        <v>1461</v>
      </c>
      <c r="KY8" s="3501" t="s">
        <v>1461</v>
      </c>
      <c r="KZ8" s="3501" t="s">
        <v>1461</v>
      </c>
      <c r="LA8" s="3501" t="s">
        <v>3364</v>
      </c>
      <c r="LB8" s="3501" t="s">
        <v>3364</v>
      </c>
      <c r="LC8" s="3501" t="s">
        <v>3364</v>
      </c>
      <c r="LD8" s="3501" t="s">
        <v>3364</v>
      </c>
      <c r="LE8" s="3501" t="s">
        <v>3364</v>
      </c>
      <c r="LF8" s="3501"/>
      <c r="LG8" s="3501"/>
      <c r="LH8" s="3501"/>
      <c r="LI8" s="3501"/>
      <c r="LJ8" s="3501"/>
      <c r="LK8" s="3501"/>
      <c r="LL8" s="3501"/>
      <c r="LM8" s="3501"/>
      <c r="LN8" s="3501"/>
      <c r="LO8" s="3501"/>
      <c r="LP8" s="3501"/>
      <c r="LQ8" s="3501"/>
      <c r="LR8" s="3501"/>
      <c r="LS8" s="3501"/>
      <c r="LT8" s="3501"/>
      <c r="LU8" s="3501"/>
      <c r="LV8" s="3501"/>
      <c r="LW8" s="3501"/>
      <c r="LX8" s="3501"/>
      <c r="LY8" s="3501"/>
      <c r="LZ8" s="3501"/>
      <c r="MA8" s="3501"/>
      <c r="MB8" s="3501"/>
      <c r="MC8" s="3501"/>
      <c r="MD8" s="3501"/>
      <c r="ME8" s="3501"/>
      <c r="MF8" s="3501"/>
      <c r="MG8" s="3501"/>
      <c r="MH8" s="3501"/>
      <c r="MI8" s="3501"/>
      <c r="MJ8" s="3514"/>
      <c r="MK8" s="3514"/>
      <c r="ML8" s="3514"/>
      <c r="MM8" s="3514"/>
      <c r="MN8" s="3514"/>
      <c r="MO8" s="3501"/>
      <c r="MP8" s="3501"/>
      <c r="MQ8" s="3501"/>
      <c r="MR8" s="3501"/>
      <c r="MS8" s="3501"/>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07"/>
      <c r="B9" s="2682" t="s">
        <v>5069</v>
      </c>
      <c r="C9" s="1255" t="s">
        <v>171</v>
      </c>
      <c r="D9" s="1255" t="s">
        <v>173</v>
      </c>
      <c r="E9" s="1255" t="s">
        <v>1477</v>
      </c>
      <c r="F9" s="1255" t="s">
        <v>1279</v>
      </c>
      <c r="G9" s="1255" t="s">
        <v>3666</v>
      </c>
      <c r="H9" s="1255" t="s">
        <v>1478</v>
      </c>
      <c r="I9" s="3511"/>
      <c r="J9" s="513" t="s">
        <v>350</v>
      </c>
      <c r="K9" s="1255" t="s">
        <v>1530</v>
      </c>
      <c r="L9" s="1255" t="s">
        <v>539</v>
      </c>
      <c r="M9" s="1255" t="s">
        <v>1476</v>
      </c>
      <c r="N9" s="1255" t="s">
        <v>3314</v>
      </c>
      <c r="O9" s="1255" t="s">
        <v>384</v>
      </c>
      <c r="P9" s="3506"/>
      <c r="Q9" s="1255" t="s">
        <v>3574</v>
      </c>
      <c r="R9" s="1255" t="s">
        <v>1040</v>
      </c>
      <c r="S9" s="1255" t="s">
        <v>1478</v>
      </c>
      <c r="T9" s="1255" t="s">
        <v>2696</v>
      </c>
      <c r="U9" s="3168" t="s">
        <v>1844</v>
      </c>
      <c r="V9" s="3168"/>
      <c r="W9" s="3502"/>
      <c r="X9" s="3502"/>
      <c r="Y9" s="3502"/>
      <c r="Z9" s="3502"/>
      <c r="AA9" s="3502"/>
      <c r="AB9" s="3502"/>
      <c r="AC9" s="3502"/>
      <c r="AD9" s="3502"/>
      <c r="AE9" s="3502"/>
      <c r="AF9" s="3502"/>
      <c r="AG9" s="3502"/>
      <c r="AH9" s="3502"/>
      <c r="AI9" s="3502"/>
      <c r="AJ9" s="3502"/>
      <c r="AK9" s="3502"/>
      <c r="AL9" s="3502"/>
      <c r="AM9" s="3502"/>
      <c r="AN9" s="3502"/>
      <c r="AO9" s="3502"/>
      <c r="AP9" s="3502"/>
      <c r="AQ9" s="3502"/>
      <c r="AR9" s="3502"/>
      <c r="AS9" s="3502"/>
      <c r="AT9" s="3502"/>
      <c r="AU9" s="3502"/>
      <c r="AV9" s="3502"/>
      <c r="AW9" s="3502"/>
      <c r="AX9" s="3502"/>
      <c r="AY9" s="3502"/>
      <c r="AZ9" s="3502"/>
      <c r="BA9" s="3502"/>
      <c r="BB9" s="3502"/>
      <c r="BC9" s="3502"/>
      <c r="BD9" s="3502"/>
      <c r="BE9" s="3502"/>
      <c r="BF9" s="3502"/>
      <c r="BG9" s="3502"/>
      <c r="BH9" s="3502"/>
      <c r="BI9" s="3502"/>
      <c r="BJ9" s="3502"/>
      <c r="BK9" s="3502"/>
      <c r="BL9" s="3502"/>
      <c r="BM9" s="3502"/>
      <c r="BN9" s="3502"/>
      <c r="BO9" s="3502"/>
      <c r="BP9" s="3502"/>
      <c r="BQ9" s="3502"/>
      <c r="BR9" s="3502"/>
      <c r="BS9" s="3502"/>
      <c r="BT9" s="3502"/>
      <c r="BU9" s="3502"/>
      <c r="BV9" s="3502"/>
      <c r="BW9" s="3502"/>
      <c r="BX9" s="3502"/>
      <c r="BY9" s="3502"/>
      <c r="BZ9" s="3502"/>
      <c r="CA9" s="3502"/>
      <c r="CB9" s="3502"/>
      <c r="CC9" s="3502"/>
      <c r="CD9" s="3502"/>
      <c r="CE9" s="3502"/>
      <c r="CF9" s="3502"/>
      <c r="CG9" s="3502"/>
      <c r="CH9" s="3502"/>
      <c r="CI9" s="3502"/>
      <c r="CJ9" s="3502"/>
      <c r="CK9" s="3502"/>
      <c r="CL9" s="3502"/>
      <c r="CM9" s="3502"/>
      <c r="CN9" s="3502"/>
      <c r="CO9" s="3502"/>
      <c r="CP9" s="3502"/>
      <c r="CQ9" s="3502"/>
      <c r="CR9" s="3502"/>
      <c r="CS9" s="3502"/>
      <c r="CT9" s="3502"/>
      <c r="CU9" s="3502"/>
      <c r="CV9" s="3502"/>
      <c r="CW9" s="3502"/>
      <c r="CX9" s="3502"/>
      <c r="CY9" s="3502"/>
      <c r="CZ9" s="3502"/>
      <c r="DA9" s="3502"/>
      <c r="DB9" s="3502"/>
      <c r="DC9" s="3502"/>
      <c r="DD9" s="3502"/>
      <c r="DE9" s="3502"/>
      <c r="DF9" s="3502"/>
      <c r="DG9" s="3502"/>
      <c r="DH9" s="3502"/>
      <c r="DI9" s="3502"/>
      <c r="DJ9" s="3502"/>
      <c r="DK9" s="3502"/>
      <c r="DL9" s="3502"/>
      <c r="DM9" s="3502"/>
      <c r="DN9" s="3502"/>
      <c r="DO9" s="3502"/>
      <c r="DP9" s="3502"/>
      <c r="DQ9" s="3502"/>
      <c r="DR9" s="3502"/>
      <c r="DS9" s="3502"/>
      <c r="DT9" s="3502"/>
      <c r="DU9" s="3502"/>
      <c r="DV9" s="3502"/>
      <c r="DW9" s="3502"/>
      <c r="DX9" s="3502"/>
      <c r="DY9" s="3502"/>
      <c r="DZ9" s="3502"/>
      <c r="EA9" s="3502"/>
      <c r="EB9" s="3502"/>
      <c r="EC9" s="3502"/>
      <c r="ED9" s="3502"/>
      <c r="EE9" s="3502"/>
      <c r="EF9" s="3502"/>
      <c r="EG9" s="3502"/>
      <c r="EH9" s="3502"/>
      <c r="EI9" s="3502"/>
      <c r="EJ9" s="3502"/>
      <c r="EK9" s="3502"/>
      <c r="EL9" s="3502"/>
      <c r="EM9" s="3502"/>
      <c r="EN9" s="3502"/>
      <c r="EO9" s="3502"/>
      <c r="EP9" s="3502"/>
      <c r="EQ9" s="3502"/>
      <c r="ER9" s="3501"/>
      <c r="ES9" s="3501"/>
      <c r="ET9" s="3501"/>
      <c r="EU9" s="3501"/>
      <c r="EV9" s="3501"/>
      <c r="EW9" s="3501"/>
      <c r="EX9" s="3501"/>
      <c r="EY9" s="3501"/>
      <c r="EZ9" s="3501"/>
      <c r="FA9" s="3501"/>
      <c r="FB9" s="3502"/>
      <c r="FC9" s="3502"/>
      <c r="FD9" s="3502"/>
      <c r="FE9" s="3502"/>
      <c r="FF9" s="3502"/>
      <c r="FG9" s="3501"/>
      <c r="FH9" s="3501"/>
      <c r="FI9" s="3501"/>
      <c r="FJ9" s="3501"/>
      <c r="FK9" s="3501"/>
      <c r="FL9" s="3502"/>
      <c r="FM9" s="3502"/>
      <c r="FN9" s="3502"/>
      <c r="FO9" s="3502"/>
      <c r="FP9" s="3502"/>
      <c r="FQ9" s="3501"/>
      <c r="FR9" s="3501"/>
      <c r="FS9" s="3501"/>
      <c r="FT9" s="3501"/>
      <c r="FU9" s="3501"/>
      <c r="FV9" s="3501"/>
      <c r="FW9" s="3501"/>
      <c r="FX9" s="3501"/>
      <c r="FY9" s="3501"/>
      <c r="FZ9" s="3501"/>
      <c r="GA9" s="3501"/>
      <c r="GB9" s="3501"/>
      <c r="GC9" s="3501"/>
      <c r="GD9" s="3501"/>
      <c r="GE9" s="3501"/>
      <c r="GF9" s="3501"/>
      <c r="GG9" s="3501"/>
      <c r="GH9" s="3501"/>
      <c r="GI9" s="3501"/>
      <c r="GJ9" s="3501"/>
      <c r="GK9" s="3501"/>
      <c r="GL9" s="3501"/>
      <c r="GM9" s="3501"/>
      <c r="GN9" s="3501"/>
      <c r="GO9" s="3501"/>
      <c r="GP9" s="3501"/>
      <c r="GQ9" s="3501"/>
      <c r="GR9" s="3501"/>
      <c r="GS9" s="3501"/>
      <c r="GT9" s="3501"/>
      <c r="GU9" s="3501"/>
      <c r="GV9" s="3501"/>
      <c r="GW9" s="3501"/>
      <c r="GX9" s="3501"/>
      <c r="GY9" s="3501"/>
      <c r="GZ9" s="3501"/>
      <c r="HA9" s="3501"/>
      <c r="HB9" s="3501"/>
      <c r="HC9" s="3501"/>
      <c r="HD9" s="3501"/>
      <c r="HE9" s="3501"/>
      <c r="HF9" s="3501"/>
      <c r="HG9" s="3501"/>
      <c r="HH9" s="3501"/>
      <c r="HI9" s="3501"/>
      <c r="HJ9" s="3501"/>
      <c r="HK9" s="3501"/>
      <c r="HL9" s="3501"/>
      <c r="HM9" s="3501"/>
      <c r="HN9" s="3501"/>
      <c r="HO9" s="3501"/>
      <c r="HP9" s="3501"/>
      <c r="HQ9" s="3501"/>
      <c r="HR9" s="3501"/>
      <c r="HS9" s="3501"/>
      <c r="HT9" s="3501"/>
      <c r="HU9" s="3501"/>
      <c r="HV9" s="3501"/>
      <c r="HW9" s="3501"/>
      <c r="HX9" s="3501"/>
      <c r="HY9" s="3501"/>
      <c r="HZ9" s="517" t="s">
        <v>2495</v>
      </c>
      <c r="IA9" s="517" t="s">
        <v>2495</v>
      </c>
      <c r="IB9" s="517" t="s">
        <v>2495</v>
      </c>
      <c r="IC9" s="517" t="s">
        <v>2495</v>
      </c>
      <c r="ID9" s="3501"/>
      <c r="IE9" s="3501"/>
      <c r="IF9" s="3501"/>
      <c r="IG9" s="3501"/>
      <c r="IH9" s="3501"/>
      <c r="II9" s="3501"/>
      <c r="IJ9" s="3501"/>
      <c r="IK9" s="3501"/>
      <c r="IL9" s="3501"/>
      <c r="IM9" s="3501"/>
      <c r="IN9" s="517" t="s">
        <v>2497</v>
      </c>
      <c r="IO9" s="517" t="s">
        <v>2497</v>
      </c>
      <c r="IP9" s="517" t="s">
        <v>2497</v>
      </c>
      <c r="IQ9" s="517" t="s">
        <v>2497</v>
      </c>
      <c r="IR9" s="517" t="s">
        <v>2497</v>
      </c>
      <c r="IS9" s="517" t="s">
        <v>3366</v>
      </c>
      <c r="IT9" s="517" t="s">
        <v>3366</v>
      </c>
      <c r="IU9" s="517" t="s">
        <v>3366</v>
      </c>
      <c r="IV9" s="517" t="s">
        <v>3366</v>
      </c>
      <c r="IW9" s="517" t="s">
        <v>3366</v>
      </c>
      <c r="IX9" s="3501"/>
      <c r="IY9" s="3501"/>
      <c r="IZ9" s="3501"/>
      <c r="JA9" s="3501"/>
      <c r="JB9" s="3501"/>
      <c r="JC9" s="3501"/>
      <c r="JD9" s="3501"/>
      <c r="JE9" s="3501"/>
      <c r="JF9" s="3501"/>
      <c r="JG9" s="3501"/>
      <c r="JH9" s="3501"/>
      <c r="JI9" s="3501"/>
      <c r="JJ9" s="3501"/>
      <c r="JK9" s="3501"/>
      <c r="JL9" s="3501"/>
      <c r="JM9" s="3501"/>
      <c r="JN9" s="3501"/>
      <c r="JO9" s="3501"/>
      <c r="JP9" s="3501"/>
      <c r="JQ9" s="3501"/>
      <c r="JR9" s="3501"/>
      <c r="JS9" s="3501"/>
      <c r="JT9" s="3501"/>
      <c r="JU9" s="3501"/>
      <c r="JV9" s="3501"/>
      <c r="JW9" s="3501"/>
      <c r="JX9" s="3501"/>
      <c r="JY9" s="3501"/>
      <c r="JZ9" s="3501"/>
      <c r="KA9" s="3501"/>
      <c r="KB9" s="3501"/>
      <c r="KC9" s="3501"/>
      <c r="KD9" s="3501"/>
      <c r="KE9" s="3501"/>
      <c r="KF9" s="3501"/>
      <c r="KG9" s="3501"/>
      <c r="KH9" s="3501"/>
      <c r="KI9" s="3501"/>
      <c r="KJ9" s="3501"/>
      <c r="KK9" s="3501"/>
      <c r="KL9" s="3501"/>
      <c r="KM9" s="3501"/>
      <c r="KN9" s="3501"/>
      <c r="KO9" s="3501"/>
      <c r="KP9" s="3501"/>
      <c r="KQ9" s="3501"/>
      <c r="KR9" s="3501"/>
      <c r="KS9" s="3501"/>
      <c r="KT9" s="3501"/>
      <c r="KU9" s="3501"/>
      <c r="KV9" s="3501"/>
      <c r="KW9" s="3501"/>
      <c r="KX9" s="3501"/>
      <c r="KY9" s="3501"/>
      <c r="KZ9" s="3501"/>
      <c r="LA9" s="3501"/>
      <c r="LB9" s="3501"/>
      <c r="LC9" s="3501"/>
      <c r="LD9" s="3501"/>
      <c r="LE9" s="3501"/>
      <c r="LF9" s="3501"/>
      <c r="LG9" s="3501"/>
      <c r="LH9" s="3501"/>
      <c r="LI9" s="3501"/>
      <c r="LJ9" s="3501"/>
      <c r="LK9" s="3501"/>
      <c r="LL9" s="3501"/>
      <c r="LM9" s="3501"/>
      <c r="LN9" s="3501"/>
      <c r="LO9" s="3501"/>
      <c r="LP9" s="3501"/>
      <c r="LQ9" s="3501"/>
      <c r="LR9" s="3501"/>
      <c r="LS9" s="3501"/>
      <c r="LT9" s="3501"/>
      <c r="LU9" s="3501"/>
      <c r="LV9" s="3501"/>
      <c r="LW9" s="3501"/>
      <c r="LX9" s="3501"/>
      <c r="LY9" s="3501"/>
      <c r="LZ9" s="3501"/>
      <c r="MA9" s="3501"/>
      <c r="MB9" s="3501"/>
      <c r="MC9" s="3501"/>
      <c r="MD9" s="3501"/>
      <c r="ME9" s="3501"/>
      <c r="MF9" s="3501"/>
      <c r="MG9" s="3501"/>
      <c r="MH9" s="3501"/>
      <c r="MI9" s="3501"/>
      <c r="MJ9" s="3514"/>
      <c r="MK9" s="3514"/>
      <c r="ML9" s="3514"/>
      <c r="MM9" s="3514"/>
      <c r="MN9" s="3514"/>
      <c r="MO9" s="3501"/>
      <c r="MP9" s="3501"/>
      <c r="MQ9" s="3501"/>
      <c r="MR9" s="3501"/>
      <c r="MS9" s="3501"/>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4616</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23"/>
      <c r="V10" s="3524"/>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4616</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15"/>
      <c r="V11" s="3516"/>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15"/>
      <c r="V12" s="3516"/>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15"/>
      <c r="V13" s="3516"/>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15"/>
      <c r="V14" s="3516"/>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15"/>
      <c r="V15" s="3516"/>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15"/>
      <c r="V16" s="3516"/>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50</v>
      </c>
      <c r="C17" s="2281">
        <v>1</v>
      </c>
      <c r="D17" s="2282">
        <v>1</v>
      </c>
      <c r="E17" s="2283">
        <v>18</v>
      </c>
      <c r="F17" s="2283">
        <v>653</v>
      </c>
      <c r="G17" s="2283">
        <v>747</v>
      </c>
      <c r="H17" s="2283">
        <v>897</v>
      </c>
      <c r="I17" s="2302">
        <v>0</v>
      </c>
      <c r="J17" s="2303" t="s">
        <v>5299</v>
      </c>
      <c r="K17" s="2304">
        <f t="shared" si="1"/>
        <v>897</v>
      </c>
      <c r="L17" s="2304">
        <f t="shared" si="2"/>
        <v>16146</v>
      </c>
      <c r="M17" s="2305" t="s">
        <v>2992</v>
      </c>
      <c r="N17" s="2305" t="s">
        <v>5295</v>
      </c>
      <c r="O17" s="2305" t="s">
        <v>2294</v>
      </c>
      <c r="P17" s="2306" t="s">
        <v>2992</v>
      </c>
      <c r="Q17" s="1031">
        <f t="shared" si="3"/>
        <v>35880</v>
      </c>
      <c r="R17" s="1032">
        <f>IF(H17="","",IF(C17="Efficiency",Q17/($O$6*VLOOKUP(0,'DCA Underwriting Assumptions'!$J$146:$K$151,2,FALSE)),Q17/($O$6*VLOOKUP(C17,'DCA Underwriting Assumptions'!$J$146:$K$151,2,FALSE))))</f>
        <v>0.63957219251336894</v>
      </c>
      <c r="S17" s="1103"/>
      <c r="T17" s="1104"/>
      <c r="U17" s="3515"/>
      <c r="V17" s="3516"/>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f t="shared" si="20"/>
        <v>18</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f t="shared" si="60"/>
        <v>18</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f t="shared" si="315"/>
        <v>11754</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f t="shared" si="149"/>
        <v>11754</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18</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18</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18</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18</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50</v>
      </c>
      <c r="C18" s="172">
        <v>2</v>
      </c>
      <c r="D18" s="173">
        <v>2</v>
      </c>
      <c r="E18" s="174">
        <v>20</v>
      </c>
      <c r="F18" s="174">
        <v>963</v>
      </c>
      <c r="G18" s="174">
        <v>897</v>
      </c>
      <c r="H18" s="174">
        <v>897</v>
      </c>
      <c r="I18" s="1127">
        <f>IF(C18="",0,HLOOKUP(C18,'Part V-Utility Allowances'!$I$11:$M$22,12))</f>
        <v>94</v>
      </c>
      <c r="J18" s="953"/>
      <c r="K18" s="685">
        <f t="shared" si="1"/>
        <v>803</v>
      </c>
      <c r="L18" s="685">
        <f t="shared" si="2"/>
        <v>16060</v>
      </c>
      <c r="M18" s="2305" t="s">
        <v>2992</v>
      </c>
      <c r="N18" s="1045" t="s">
        <v>5295</v>
      </c>
      <c r="O18" s="1045" t="s">
        <v>2294</v>
      </c>
      <c r="P18" s="175" t="s">
        <v>2992</v>
      </c>
      <c r="Q18" s="1031">
        <f t="shared" si="3"/>
        <v>35880</v>
      </c>
      <c r="R18" s="1032">
        <f>IF(H18="","",IF(C18="Efficiency",Q18/($O$6*VLOOKUP(0,'DCA Underwriting Assumptions'!$J$146:$K$151,2,FALSE)),Q18/($O$6*VLOOKUP(C18,'DCA Underwriting Assumptions'!$J$146:$K$151,2,FALSE))))</f>
        <v>0.53297682709447414</v>
      </c>
      <c r="S18" s="1103"/>
      <c r="T18" s="1104"/>
      <c r="U18" s="3515"/>
      <c r="V18" s="3516"/>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f t="shared" si="21"/>
        <v>20</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f t="shared" si="316"/>
        <v>19260</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f t="shared" si="160"/>
        <v>20</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20</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f t="shared" si="280"/>
        <v>20</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20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50</v>
      </c>
      <c r="C19" s="172">
        <v>3</v>
      </c>
      <c r="D19" s="173">
        <v>2</v>
      </c>
      <c r="E19" s="174">
        <v>8</v>
      </c>
      <c r="F19" s="174">
        <v>1115</v>
      </c>
      <c r="G19" s="174">
        <v>1036</v>
      </c>
      <c r="H19" s="174">
        <v>1036</v>
      </c>
      <c r="I19" s="1127">
        <f>IF(C19="",0,HLOOKUP(C19,'Part V-Utility Allowances'!$I$11:$M$22,12))</f>
        <v>118</v>
      </c>
      <c r="J19" s="953"/>
      <c r="K19" s="685">
        <f t="shared" si="1"/>
        <v>918</v>
      </c>
      <c r="L19" s="685">
        <f t="shared" si="2"/>
        <v>7344</v>
      </c>
      <c r="M19" s="2305" t="s">
        <v>2992</v>
      </c>
      <c r="N19" s="1045" t="s">
        <v>5295</v>
      </c>
      <c r="O19" s="1045" t="s">
        <v>2294</v>
      </c>
      <c r="P19" s="175" t="s">
        <v>2992</v>
      </c>
      <c r="Q19" s="1031">
        <f t="shared" si="3"/>
        <v>41440</v>
      </c>
      <c r="R19" s="1032">
        <f>IF(H19="","",IF(C19="Efficiency",Q19/($O$6*VLOOKUP(0,'DCA Underwriting Assumptions'!$J$146:$K$151,2,FALSE)),Q19/($O$6*VLOOKUP(C19,'DCA Underwriting Assumptions'!$J$146:$K$151,2,FALSE))))</f>
        <v>0.53270259152612098</v>
      </c>
      <c r="S19" s="1103"/>
      <c r="T19" s="1104"/>
      <c r="U19" s="3515"/>
      <c r="V19" s="3516"/>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f t="shared" si="22"/>
        <v>8</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f t="shared" si="317"/>
        <v>8920</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f t="shared" si="161"/>
        <v>8</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f t="shared" si="206"/>
        <v>8</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f t="shared" si="281"/>
        <v>8</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8</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v>60</v>
      </c>
      <c r="C20" s="172">
        <v>1</v>
      </c>
      <c r="D20" s="173">
        <v>1</v>
      </c>
      <c r="E20" s="174">
        <v>34</v>
      </c>
      <c r="F20" s="2283">
        <v>653</v>
      </c>
      <c r="G20" s="174">
        <v>897</v>
      </c>
      <c r="H20" s="174">
        <v>822</v>
      </c>
      <c r="I20" s="1127">
        <f>IF(C20="",0,HLOOKUP(C20,'Part V-Utility Allowances'!$I$11:$M$22,12))</f>
        <v>72</v>
      </c>
      <c r="J20" s="953"/>
      <c r="K20" s="685">
        <f t="shared" si="1"/>
        <v>750</v>
      </c>
      <c r="L20" s="685">
        <f t="shared" si="2"/>
        <v>25500</v>
      </c>
      <c r="M20" s="2305" t="s">
        <v>2992</v>
      </c>
      <c r="N20" s="1045" t="s">
        <v>5295</v>
      </c>
      <c r="O20" s="1045" t="s">
        <v>2294</v>
      </c>
      <c r="P20" s="175" t="s">
        <v>2992</v>
      </c>
      <c r="Q20" s="1031">
        <f t="shared" si="3"/>
        <v>32880</v>
      </c>
      <c r="R20" s="1032">
        <f>IF(H20="","",IF(C20="Efficiency",Q20/($O$6*VLOOKUP(0,'DCA Underwriting Assumptions'!$J$146:$K$151,2,FALSE)),Q20/($O$6*VLOOKUP(C20,'DCA Underwriting Assumptions'!$J$146:$K$151,2,FALSE))))</f>
        <v>0.58609625668449195</v>
      </c>
      <c r="S20" s="1103"/>
      <c r="T20" s="1104"/>
      <c r="U20" s="3515"/>
      <c r="V20" s="3516"/>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34</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22202</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f t="shared" si="159"/>
        <v>34</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34</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34</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34</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v>60</v>
      </c>
      <c r="C21" s="172">
        <v>2</v>
      </c>
      <c r="D21" s="173">
        <v>2</v>
      </c>
      <c r="E21" s="174">
        <v>38</v>
      </c>
      <c r="F21" s="174">
        <v>963</v>
      </c>
      <c r="G21" s="174">
        <v>1077</v>
      </c>
      <c r="H21" s="174">
        <v>994</v>
      </c>
      <c r="I21" s="1127">
        <f>IF(C21="",0,HLOOKUP(C21,'Part V-Utility Allowances'!$I$11:$M$22,12))</f>
        <v>94</v>
      </c>
      <c r="J21" s="953"/>
      <c r="K21" s="685">
        <f t="shared" si="1"/>
        <v>900</v>
      </c>
      <c r="L21" s="685">
        <f t="shared" si="2"/>
        <v>34200</v>
      </c>
      <c r="M21" s="2305" t="s">
        <v>2992</v>
      </c>
      <c r="N21" s="1045" t="s">
        <v>5295</v>
      </c>
      <c r="O21" s="1045" t="s">
        <v>2294</v>
      </c>
      <c r="P21" s="175" t="s">
        <v>2992</v>
      </c>
      <c r="Q21" s="1031">
        <f t="shared" si="3"/>
        <v>39760</v>
      </c>
      <c r="R21" s="1032">
        <f>IF(H21="","",IF(C21="Efficiency",Q21/($O$6*VLOOKUP(0,'DCA Underwriting Assumptions'!$J$146:$K$151,2,FALSE)),Q21/($O$6*VLOOKUP(C21,'DCA Underwriting Assumptions'!$J$146:$K$151,2,FALSE))))</f>
        <v>0.5906120023767083</v>
      </c>
      <c r="S21" s="1103"/>
      <c r="T21" s="1104"/>
      <c r="U21" s="3515"/>
      <c r="V21" s="3516"/>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f t="shared" si="16"/>
        <v>38</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f t="shared" si="130"/>
        <v>36594</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f t="shared" si="160"/>
        <v>38</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38</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f t="shared" si="280"/>
        <v>38</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38</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v>60</v>
      </c>
      <c r="C22" s="172">
        <v>3</v>
      </c>
      <c r="D22" s="173">
        <v>2</v>
      </c>
      <c r="E22" s="174">
        <v>15</v>
      </c>
      <c r="F22" s="174">
        <v>1115</v>
      </c>
      <c r="G22" s="174">
        <v>1243</v>
      </c>
      <c r="H22" s="174">
        <v>1143</v>
      </c>
      <c r="I22" s="1127">
        <f>IF(C22="",0,HLOOKUP(C22,'Part V-Utility Allowances'!$I$11:$M$22,12))</f>
        <v>118</v>
      </c>
      <c r="J22" s="953"/>
      <c r="K22" s="685">
        <f t="shared" si="1"/>
        <v>1025</v>
      </c>
      <c r="L22" s="685">
        <f t="shared" si="2"/>
        <v>15375</v>
      </c>
      <c r="M22" s="2305" t="s">
        <v>2992</v>
      </c>
      <c r="N22" s="1045" t="s">
        <v>5295</v>
      </c>
      <c r="O22" s="1045" t="s">
        <v>2294</v>
      </c>
      <c r="P22" s="175" t="s">
        <v>2992</v>
      </c>
      <c r="Q22" s="1031">
        <f t="shared" si="3"/>
        <v>45720</v>
      </c>
      <c r="R22" s="1032">
        <f>IF(H22="","",IF(C22="Efficiency",Q22/($O$6*VLOOKUP(0,'DCA Underwriting Assumptions'!$J$146:$K$151,2,FALSE)),Q22/($O$6*VLOOKUP(C22,'DCA Underwriting Assumptions'!$J$146:$K$151,2,FALSE))))</f>
        <v>0.58772110242698483</v>
      </c>
      <c r="S22" s="1103"/>
      <c r="T22" s="1104"/>
      <c r="U22" s="3515"/>
      <c r="V22" s="3516"/>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f t="shared" si="17"/>
        <v>15</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f t="shared" si="131"/>
        <v>16725</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f t="shared" si="161"/>
        <v>15</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f t="shared" si="206"/>
        <v>15</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f t="shared" si="281"/>
        <v>15</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15</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v>80</v>
      </c>
      <c r="C23" s="172">
        <v>1</v>
      </c>
      <c r="D23" s="173">
        <v>1</v>
      </c>
      <c r="E23" s="174">
        <v>9</v>
      </c>
      <c r="F23" s="2283">
        <v>653</v>
      </c>
      <c r="G23" s="174">
        <v>1196</v>
      </c>
      <c r="H23" s="174">
        <v>972</v>
      </c>
      <c r="I23" s="1127">
        <f>IF(C23="",0,HLOOKUP(C23,'Part V-Utility Allowances'!$I$11:$M$22,12))</f>
        <v>72</v>
      </c>
      <c r="J23" s="953"/>
      <c r="K23" s="685">
        <f t="shared" si="1"/>
        <v>900</v>
      </c>
      <c r="L23" s="685">
        <f t="shared" si="2"/>
        <v>8100</v>
      </c>
      <c r="M23" s="2305" t="s">
        <v>2992</v>
      </c>
      <c r="N23" s="1045" t="s">
        <v>5295</v>
      </c>
      <c r="O23" s="1045" t="s">
        <v>2294</v>
      </c>
      <c r="P23" s="175" t="s">
        <v>2992</v>
      </c>
      <c r="Q23" s="1031">
        <f t="shared" si="3"/>
        <v>38880</v>
      </c>
      <c r="R23" s="1032">
        <f>IF(H23="","",IF(C23="Efficiency",Q23/($O$6*VLOOKUP(0,'DCA Underwriting Assumptions'!$J$146:$K$151,2,FALSE)),Q23/($O$6*VLOOKUP(C23,'DCA Underwriting Assumptions'!$J$146:$K$151,2,FALSE))))</f>
        <v>0.69304812834224594</v>
      </c>
      <c r="S23" s="1103"/>
      <c r="T23" s="1104"/>
      <c r="U23" s="3515"/>
      <c r="V23" s="3516"/>
      <c r="W23" s="512" t="str">
        <f t="shared" si="4"/>
        <v/>
      </c>
      <c r="X23" s="512">
        <f t="shared" si="5"/>
        <v>9</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f t="shared" si="119"/>
        <v>5877</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f t="shared" si="159"/>
        <v>9</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f t="shared" si="204"/>
        <v>9</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f t="shared" si="279"/>
        <v>9</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9</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v>80</v>
      </c>
      <c r="C24" s="172">
        <v>2</v>
      </c>
      <c r="D24" s="173">
        <v>2</v>
      </c>
      <c r="E24" s="174">
        <v>10</v>
      </c>
      <c r="F24" s="174">
        <v>963</v>
      </c>
      <c r="G24" s="174">
        <v>1436</v>
      </c>
      <c r="H24" s="174">
        <v>1194</v>
      </c>
      <c r="I24" s="1127">
        <f>IF(C24="",0,HLOOKUP(C24,'Part V-Utility Allowances'!$I$11:$M$22,12))</f>
        <v>94</v>
      </c>
      <c r="J24" s="953"/>
      <c r="K24" s="685">
        <f t="shared" si="1"/>
        <v>1100</v>
      </c>
      <c r="L24" s="685">
        <f t="shared" si="2"/>
        <v>11000</v>
      </c>
      <c r="M24" s="2305" t="s">
        <v>2992</v>
      </c>
      <c r="N24" s="1045" t="s">
        <v>5295</v>
      </c>
      <c r="O24" s="1045" t="s">
        <v>2294</v>
      </c>
      <c r="P24" s="175" t="s">
        <v>2992</v>
      </c>
      <c r="Q24" s="1031">
        <f t="shared" si="3"/>
        <v>47760</v>
      </c>
      <c r="R24" s="1032">
        <f>IF(H24="","",IF(C24="Efficiency",Q24/($O$6*VLOOKUP(0,'DCA Underwriting Assumptions'!$J$146:$K$151,2,FALSE)),Q24/($O$6*VLOOKUP(C24,'DCA Underwriting Assumptions'!$J$146:$K$151,2,FALSE))))</f>
        <v>0.70944741532976829</v>
      </c>
      <c r="S24" s="1103"/>
      <c r="T24" s="1104"/>
      <c r="U24" s="3515"/>
      <c r="V24" s="3516"/>
      <c r="W24" s="512" t="str">
        <f t="shared" si="4"/>
        <v/>
      </c>
      <c r="X24" s="512" t="str">
        <f t="shared" si="5"/>
        <v/>
      </c>
      <c r="Y24" s="512">
        <f t="shared" si="6"/>
        <v>10</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f t="shared" si="120"/>
        <v>9630</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f t="shared" si="160"/>
        <v>10</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f t="shared" si="205"/>
        <v>10</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f t="shared" si="280"/>
        <v>10</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10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v>80</v>
      </c>
      <c r="C25" s="172">
        <v>3</v>
      </c>
      <c r="D25" s="173">
        <v>2</v>
      </c>
      <c r="E25" s="174">
        <v>4</v>
      </c>
      <c r="F25" s="174">
        <v>1115</v>
      </c>
      <c r="G25" s="174">
        <v>1658</v>
      </c>
      <c r="H25" s="174">
        <v>1363</v>
      </c>
      <c r="I25" s="1127">
        <f>IF(C25="",0,HLOOKUP(C25,'Part V-Utility Allowances'!$I$11:$M$22,12))</f>
        <v>118</v>
      </c>
      <c r="J25" s="953"/>
      <c r="K25" s="685">
        <f t="shared" si="1"/>
        <v>1245</v>
      </c>
      <c r="L25" s="685">
        <f t="shared" si="2"/>
        <v>4980</v>
      </c>
      <c r="M25" s="2305" t="s">
        <v>2992</v>
      </c>
      <c r="N25" s="1045" t="s">
        <v>5295</v>
      </c>
      <c r="O25" s="1045" t="s">
        <v>2294</v>
      </c>
      <c r="P25" s="175" t="s">
        <v>2992</v>
      </c>
      <c r="Q25" s="1031">
        <f t="shared" si="3"/>
        <v>54520</v>
      </c>
      <c r="R25" s="1032">
        <f>IF(H25="","",IF(C25="Efficiency",Q25/($O$6*VLOOKUP(0,'DCA Underwriting Assumptions'!$J$146:$K$151,2,FALSE)),Q25/($O$6*VLOOKUP(C25,'DCA Underwriting Assumptions'!$J$146:$K$151,2,FALSE))))</f>
        <v>0.70084327437268612</v>
      </c>
      <c r="S25" s="1103"/>
      <c r="T25" s="1104"/>
      <c r="U25" s="3515"/>
      <c r="V25" s="3516"/>
      <c r="W25" s="512" t="str">
        <f t="shared" si="4"/>
        <v/>
      </c>
      <c r="X25" s="512" t="str">
        <f t="shared" si="5"/>
        <v/>
      </c>
      <c r="Y25" s="512" t="str">
        <f t="shared" si="6"/>
        <v/>
      </c>
      <c r="Z25" s="512">
        <f t="shared" si="7"/>
        <v>4</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f t="shared" si="121"/>
        <v>4460</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f t="shared" si="161"/>
        <v>4</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f t="shared" si="206"/>
        <v>4</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f t="shared" si="281"/>
        <v>4</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4</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15"/>
      <c r="V26" s="3516"/>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15"/>
      <c r="V27" s="3516"/>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15"/>
      <c r="V28" s="3516"/>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15"/>
      <c r="V29" s="3516"/>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15"/>
      <c r="V30" s="3516"/>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15"/>
      <c r="V31" s="3516"/>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15"/>
      <c r="V32" s="3516"/>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15"/>
      <c r="V33" s="3516"/>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15"/>
      <c r="V34" s="3516"/>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15"/>
      <c r="V35" s="3516"/>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15"/>
      <c r="V36" s="3516"/>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15"/>
      <c r="V37" s="3516"/>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15"/>
      <c r="V38" s="3516"/>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15"/>
      <c r="V39" s="3516"/>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15"/>
      <c r="V40" s="3516"/>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15"/>
      <c r="V41" s="3516"/>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15"/>
      <c r="V42" s="3516"/>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15"/>
      <c r="V43" s="3516"/>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15"/>
      <c r="V44" s="3516"/>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15"/>
      <c r="V45" s="3516"/>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15"/>
      <c r="V46" s="3516"/>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57"/>
      <c r="V47" s="3559"/>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19" t="s">
        <v>4710</v>
      </c>
      <c r="C48" s="3520"/>
      <c r="D48" s="142" t="s">
        <v>1018</v>
      </c>
      <c r="E48" s="2316">
        <f>SUM(E10:E47)</f>
        <v>156</v>
      </c>
      <c r="F48" s="2314">
        <f>(E10*F10+E11*F11+E12*F12+E13*F13+E14*F14+E15*F15+E16*F16+E17*F17+E18*F18+E19*F19+E20*F20+E21*F21+E22*F22+E23*F23+E24*F24+E25*F25+E26*F26+E27*F27+E28*F28+E29*F29+E30*F30+E31*F31+E32*F32+E33*F33+E34*F34+E35*F35+E36*F36+E37*F37+E38*F38+E39*F39+E40*F40+E41*F41+E42*F42+E43*F43+E44*F44+E45*F45+E46*F46+E47*F47)</f>
        <v>135422</v>
      </c>
      <c r="G48" s="3573" t="s">
        <v>4707</v>
      </c>
      <c r="H48" s="2317" t="s">
        <v>4708</v>
      </c>
      <c r="I48" s="2318" t="str">
        <f>IF(O67=0,"",IF(SUM(O56:O62)/O67&gt;=0.4,"Pass","Fail"))</f>
        <v>Pass</v>
      </c>
      <c r="J48" s="659"/>
      <c r="K48" s="1049" t="s">
        <v>1302</v>
      </c>
      <c r="L48" s="127">
        <f>SUM(L10:L47)</f>
        <v>138705</v>
      </c>
      <c r="M48" s="96"/>
      <c r="N48" s="660"/>
      <c r="O48" s="96"/>
      <c r="P48" s="533"/>
      <c r="Q48" s="533"/>
      <c r="R48" s="533"/>
      <c r="S48" s="533"/>
      <c r="T48" s="533"/>
      <c r="U48" s="1020"/>
      <c r="V48" s="661"/>
      <c r="W48" s="2714">
        <f t="shared" ref="W48:EZ48" si="339">SUM(W10:W47)</f>
        <v>0</v>
      </c>
      <c r="X48" s="2714">
        <f t="shared" si="339"/>
        <v>9</v>
      </c>
      <c r="Y48" s="2714">
        <f t="shared" si="339"/>
        <v>10</v>
      </c>
      <c r="Z48" s="2714">
        <f t="shared" si="339"/>
        <v>4</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34</v>
      </c>
      <c r="AI48" s="2714">
        <f t="shared" si="340"/>
        <v>38</v>
      </c>
      <c r="AJ48" s="2714">
        <f t="shared" si="340"/>
        <v>15</v>
      </c>
      <c r="AK48" s="2714">
        <f t="shared" si="340"/>
        <v>0</v>
      </c>
      <c r="AL48" s="2714">
        <f>SUM(AL10:AL47)</f>
        <v>0</v>
      </c>
      <c r="AM48" s="2714">
        <f>SUM(AM10:AM47)</f>
        <v>18</v>
      </c>
      <c r="AN48" s="2714">
        <f>SUM(AN10:AN47)</f>
        <v>20</v>
      </c>
      <c r="AO48" s="2714">
        <f>SUM(AO10:AO47)</f>
        <v>8</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18</v>
      </c>
      <c r="CB48" s="2714">
        <f t="shared" si="339"/>
        <v>0</v>
      </c>
      <c r="CC48" s="2714">
        <f t="shared" si="339"/>
        <v>0</v>
      </c>
      <c r="CD48" s="2714">
        <f t="shared" si="339"/>
        <v>0</v>
      </c>
      <c r="CE48" s="2714">
        <f t="shared" si="339"/>
        <v>0</v>
      </c>
      <c r="CF48" s="2714">
        <f t="shared" si="339"/>
        <v>0</v>
      </c>
      <c r="CG48" s="2714">
        <f t="shared" si="339"/>
        <v>0</v>
      </c>
      <c r="CH48" s="2714">
        <f t="shared" si="339"/>
        <v>0</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5877</v>
      </c>
      <c r="EJ48" s="2714">
        <f t="shared" si="339"/>
        <v>9630</v>
      </c>
      <c r="EK48" s="2714">
        <f t="shared" si="339"/>
        <v>4460</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22202</v>
      </c>
      <c r="ET48" s="2714">
        <f t="shared" si="343"/>
        <v>36594</v>
      </c>
      <c r="EU48" s="2714">
        <f t="shared" si="343"/>
        <v>16725</v>
      </c>
      <c r="EV48" s="2714">
        <f t="shared" si="343"/>
        <v>0</v>
      </c>
      <c r="EW48" s="2714">
        <f t="shared" si="339"/>
        <v>0</v>
      </c>
      <c r="EX48" s="2714">
        <f t="shared" si="339"/>
        <v>11754</v>
      </c>
      <c r="EY48" s="2714">
        <f t="shared" si="339"/>
        <v>19260</v>
      </c>
      <c r="EZ48" s="2714">
        <f t="shared" si="339"/>
        <v>8920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11754</v>
      </c>
      <c r="FX48" s="2714">
        <f t="shared" si="344"/>
        <v>0</v>
      </c>
      <c r="FY48" s="2714">
        <f t="shared" si="344"/>
        <v>0</v>
      </c>
      <c r="FZ48" s="2714">
        <f t="shared" si="344"/>
        <v>0</v>
      </c>
      <c r="GA48" s="2714">
        <f t="shared" si="344"/>
        <v>0</v>
      </c>
      <c r="GB48" s="2714">
        <f t="shared" si="344"/>
        <v>0</v>
      </c>
      <c r="GC48" s="2714">
        <f t="shared" si="344"/>
        <v>0</v>
      </c>
      <c r="GD48" s="2714">
        <f t="shared" si="344"/>
        <v>0</v>
      </c>
      <c r="GE48" s="2714">
        <f t="shared" si="344"/>
        <v>0</v>
      </c>
      <c r="GF48" s="2714">
        <f t="shared" si="344"/>
        <v>0</v>
      </c>
      <c r="GG48" s="2714">
        <f t="shared" si="344"/>
        <v>61</v>
      </c>
      <c r="GH48" s="2714">
        <f t="shared" si="344"/>
        <v>68</v>
      </c>
      <c r="GI48" s="2714">
        <f t="shared" si="344"/>
        <v>27</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0</v>
      </c>
      <c r="GW48" s="2714">
        <f t="shared" si="344"/>
        <v>0</v>
      </c>
      <c r="GX48" s="2714">
        <f t="shared" si="344"/>
        <v>0</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61</v>
      </c>
      <c r="IA48" s="2714">
        <f t="shared" si="345"/>
        <v>68</v>
      </c>
      <c r="IB48" s="2714">
        <f t="shared" si="345"/>
        <v>27</v>
      </c>
      <c r="IC48" s="2714">
        <f t="shared" si="345"/>
        <v>0</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0</v>
      </c>
      <c r="KN48" s="2714">
        <f t="shared" si="346"/>
        <v>0</v>
      </c>
      <c r="KO48" s="2714">
        <f t="shared" si="346"/>
        <v>0</v>
      </c>
      <c r="KP48" s="2714">
        <f t="shared" si="346"/>
        <v>0</v>
      </c>
      <c r="KQ48" s="2714">
        <f t="shared" si="346"/>
        <v>0</v>
      </c>
      <c r="KR48" s="2714">
        <f t="shared" si="346"/>
        <v>0</v>
      </c>
      <c r="KS48" s="2714">
        <f t="shared" si="346"/>
        <v>0</v>
      </c>
      <c r="KT48" s="2714">
        <f t="shared" si="346"/>
        <v>0</v>
      </c>
      <c r="KU48" s="2714">
        <f t="shared" si="346"/>
        <v>0</v>
      </c>
      <c r="KV48" s="2714">
        <f t="shared" si="346"/>
        <v>0</v>
      </c>
      <c r="KW48" s="2714">
        <f t="shared" si="346"/>
        <v>61</v>
      </c>
      <c r="KX48" s="2714">
        <f t="shared" si="346"/>
        <v>68</v>
      </c>
      <c r="KY48" s="2714">
        <f t="shared" si="346"/>
        <v>27</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0</v>
      </c>
      <c r="MG48" s="2714">
        <f t="shared" si="346"/>
        <v>0</v>
      </c>
      <c r="MH48" s="2714">
        <f t="shared" si="346"/>
        <v>0</v>
      </c>
      <c r="MI48" s="2714">
        <f t="shared" si="346"/>
        <v>0</v>
      </c>
      <c r="MJ48" s="2714">
        <f t="shared" si="346"/>
        <v>0</v>
      </c>
      <c r="MK48" s="2714">
        <f t="shared" si="346"/>
        <v>61</v>
      </c>
      <c r="ML48" s="2714">
        <f t="shared" si="346"/>
        <v>68</v>
      </c>
      <c r="MM48" s="2714">
        <f t="shared" si="346"/>
        <v>27</v>
      </c>
      <c r="MN48" s="2714">
        <f t="shared" si="346"/>
        <v>0</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21">
        <f>IF(SUM(E17:E47)=0,"",(B17*E17+B18*E18+B19*E19+B20*E20+B21*E21+B22*E22+B23*E23+B24*E24+B25*E25+B26*E26+B27*E27+B28*E28+B29*E29+B30*E30+B31*E31+B32*E32+B33*E33+B34*E34+B35*E35+B36*E36+B37*E37+B38*E38+B39*E39+B40*E40+B41*E41+B42*E42+B43*E43+B44*E44+B45*E45+B46*E46+B47*E47)/SUM(E17:E47))</f>
        <v>60</v>
      </c>
      <c r="C49" s="3522"/>
      <c r="D49" s="2276" t="s">
        <v>4617</v>
      </c>
      <c r="E49" s="2313">
        <f>SUM(E17:E47)</f>
        <v>156</v>
      </c>
      <c r="F49" s="2315">
        <f>(E17*F17+E18*F18+E19*F19+E20*F20+E21*F21+E22*F22+E23*F23+E24*F24+E25*F25+E26*F26+E27*F27+E28*F28+E29*F29+E30*F30+E31*F31+E32*F32+E33*F33+E34*F34+E35*F35+E36*F36+E37*F37+E38*F38+E39*F39+E40*F40+E41*F41+E42*F42+E43*F43+E44*F44+E45*F45+E46*F46+E47*F47)</f>
        <v>135422</v>
      </c>
      <c r="G49" s="3574"/>
      <c r="H49" s="2319" t="s">
        <v>4709</v>
      </c>
      <c r="I49" s="2320" t="str">
        <f>IF(O67=0,"",IF(SUM(O56:O62)/O67&gt;=0.2,"Pass","Fail"))</f>
        <v>Pass</v>
      </c>
      <c r="J49" s="659"/>
      <c r="K49" s="142" t="s">
        <v>814</v>
      </c>
      <c r="L49" s="127">
        <f>L48*12</f>
        <v>1664460</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17" t="s">
        <v>2620</v>
      </c>
      <c r="B51" s="3518"/>
      <c r="C51" s="3518"/>
      <c r="D51" s="3518"/>
      <c r="E51" s="3518"/>
      <c r="F51" s="3518"/>
      <c r="G51" s="3518"/>
      <c r="H51" s="3518"/>
      <c r="I51" s="3518"/>
      <c r="J51" s="3518"/>
      <c r="K51" s="3518"/>
      <c r="L51" s="3518"/>
      <c r="M51" s="3518"/>
      <c r="N51" s="3518"/>
      <c r="O51" s="3518"/>
      <c r="P51" s="3518"/>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18"/>
      <c r="B52" s="3518"/>
      <c r="C52" s="3518"/>
      <c r="D52" s="3518"/>
      <c r="E52" s="3518"/>
      <c r="F52" s="3518"/>
      <c r="G52" s="3518"/>
      <c r="H52" s="3518"/>
      <c r="I52" s="3518"/>
      <c r="J52" s="3518"/>
      <c r="K52" s="3518"/>
      <c r="L52" s="3518"/>
      <c r="M52" s="3518"/>
      <c r="N52" s="3518"/>
      <c r="O52" s="3518"/>
      <c r="P52" s="3518"/>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5" customHeight="1" thickBot="1">
      <c r="A53" s="13" t="s">
        <v>740</v>
      </c>
      <c r="B53" s="13" t="s">
        <v>534</v>
      </c>
      <c r="K53" s="3495" t="str">
        <f>'Part I-Project Information'!$K$94</f>
        <v>Income Averaging</v>
      </c>
      <c r="L53" s="3496"/>
      <c r="M53" s="3496"/>
      <c r="N53" s="3497"/>
      <c r="O53" s="84"/>
      <c r="R53" s="3499" t="str">
        <f>B53</f>
        <v>UNIT SUMMARY</v>
      </c>
      <c r="S53" s="3499"/>
      <c r="T53" s="3499"/>
      <c r="U53" s="3499"/>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1844</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00" t="s">
        <v>442</v>
      </c>
      <c r="B56" s="3500"/>
      <c r="C56" s="96" t="s">
        <v>1137</v>
      </c>
      <c r="D56" s="1"/>
      <c r="E56" s="1"/>
      <c r="F56" s="1"/>
      <c r="G56" s="84"/>
      <c r="H56" s="36" t="s">
        <v>4618</v>
      </c>
      <c r="I56" s="84"/>
      <c r="J56" s="2337">
        <f>W48</f>
        <v>0</v>
      </c>
      <c r="K56" s="2338">
        <f>X48</f>
        <v>9</v>
      </c>
      <c r="L56" s="2338">
        <f>Y48</f>
        <v>10</v>
      </c>
      <c r="M56" s="2338">
        <f>Z48</f>
        <v>4</v>
      </c>
      <c r="N56" s="2339">
        <f>AA48</f>
        <v>0</v>
      </c>
      <c r="O56" s="1115">
        <f t="shared" ref="O56:O67" si="347">SUM(J56:N56)</f>
        <v>23</v>
      </c>
      <c r="P56" s="3576" t="s">
        <v>3669</v>
      </c>
      <c r="Q56" s="1420"/>
      <c r="R56" s="3523"/>
      <c r="S56" s="3560"/>
      <c r="T56" s="3560"/>
      <c r="U56" s="3560"/>
      <c r="V56" s="3524"/>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00"/>
      <c r="B57" s="3500"/>
      <c r="C57" s="96"/>
      <c r="D57" s="1"/>
      <c r="E57" s="1"/>
      <c r="F57" s="1"/>
      <c r="G57" s="84"/>
      <c r="H57" s="36" t="s">
        <v>4619</v>
      </c>
      <c r="I57" s="84"/>
      <c r="J57" s="2340">
        <f>AB48</f>
        <v>0</v>
      </c>
      <c r="K57" s="2341">
        <f>AC48</f>
        <v>0</v>
      </c>
      <c r="L57" s="2341">
        <f>AD48</f>
        <v>0</v>
      </c>
      <c r="M57" s="2341">
        <f>AE48</f>
        <v>0</v>
      </c>
      <c r="N57" s="2342">
        <f>AF48</f>
        <v>0</v>
      </c>
      <c r="O57" s="1110">
        <f t="shared" si="347"/>
        <v>0</v>
      </c>
      <c r="P57" s="3576"/>
      <c r="Q57" s="2277"/>
      <c r="R57" s="3515"/>
      <c r="S57" s="3556"/>
      <c r="T57" s="3556"/>
      <c r="U57" s="3556"/>
      <c r="V57" s="3516"/>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00"/>
      <c r="B58" s="3500"/>
      <c r="C58" s="96"/>
      <c r="D58" s="1"/>
      <c r="E58" s="1"/>
      <c r="F58" s="1"/>
      <c r="G58" s="84"/>
      <c r="H58" s="36" t="s">
        <v>1149</v>
      </c>
      <c r="I58" s="84"/>
      <c r="J58" s="2340">
        <f>AG48</f>
        <v>0</v>
      </c>
      <c r="K58" s="2341">
        <f>AH48</f>
        <v>34</v>
      </c>
      <c r="L58" s="2341">
        <f>AI48</f>
        <v>38</v>
      </c>
      <c r="M58" s="2341">
        <f>AJ48</f>
        <v>15</v>
      </c>
      <c r="N58" s="2342">
        <f>AK48</f>
        <v>0</v>
      </c>
      <c r="O58" s="1110">
        <f t="shared" si="347"/>
        <v>87</v>
      </c>
      <c r="P58" s="3576"/>
      <c r="Q58" s="2277"/>
      <c r="R58" s="3515"/>
      <c r="S58" s="3556"/>
      <c r="T58" s="3556"/>
      <c r="U58" s="3556"/>
      <c r="V58" s="3516"/>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00"/>
      <c r="B59" s="3500"/>
      <c r="C59" s="96"/>
      <c r="D59" s="1"/>
      <c r="E59" s="1"/>
      <c r="F59" s="1"/>
      <c r="G59" s="84"/>
      <c r="H59" s="52" t="s">
        <v>118</v>
      </c>
      <c r="I59" s="1433"/>
      <c r="J59" s="2370">
        <f>AL48</f>
        <v>0</v>
      </c>
      <c r="K59" s="2371">
        <f>AM48</f>
        <v>18</v>
      </c>
      <c r="L59" s="2371">
        <f>AN48</f>
        <v>20</v>
      </c>
      <c r="M59" s="2371">
        <f>AO48</f>
        <v>8</v>
      </c>
      <c r="N59" s="2372">
        <f>AP48</f>
        <v>0</v>
      </c>
      <c r="O59" s="690">
        <f t="shared" si="347"/>
        <v>46</v>
      </c>
      <c r="P59" s="3576"/>
      <c r="Q59" s="2277"/>
      <c r="R59" s="3515"/>
      <c r="S59" s="3556"/>
      <c r="T59" s="3556"/>
      <c r="U59" s="3556"/>
      <c r="V59" s="3516"/>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00"/>
      <c r="B60" s="3500"/>
      <c r="C60" s="96"/>
      <c r="D60" s="1"/>
      <c r="E60" s="1"/>
      <c r="F60" s="1"/>
      <c r="G60" s="84"/>
      <c r="H60" s="52" t="s">
        <v>4620</v>
      </c>
      <c r="I60" s="1433"/>
      <c r="J60" s="2340">
        <f>AQ48</f>
        <v>0</v>
      </c>
      <c r="K60" s="2341">
        <f>AR48</f>
        <v>0</v>
      </c>
      <c r="L60" s="2341">
        <f>AS48</f>
        <v>0</v>
      </c>
      <c r="M60" s="2341">
        <f>AT48</f>
        <v>0</v>
      </c>
      <c r="N60" s="2342">
        <f>AU48</f>
        <v>0</v>
      </c>
      <c r="O60" s="1110">
        <f t="shared" si="347"/>
        <v>0</v>
      </c>
      <c r="P60" s="3576"/>
      <c r="Q60" s="2277"/>
      <c r="R60" s="3515"/>
      <c r="S60" s="3556"/>
      <c r="T60" s="3556"/>
      <c r="U60" s="3556"/>
      <c r="V60" s="3516"/>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00"/>
      <c r="B61" s="3500"/>
      <c r="C61" s="96"/>
      <c r="D61" s="1"/>
      <c r="E61" s="1"/>
      <c r="F61" s="1"/>
      <c r="G61" s="84"/>
      <c r="H61" s="36" t="s">
        <v>4621</v>
      </c>
      <c r="I61" s="84"/>
      <c r="J61" s="2340">
        <f>AV48</f>
        <v>0</v>
      </c>
      <c r="K61" s="2341">
        <f>AW48</f>
        <v>0</v>
      </c>
      <c r="L61" s="2341">
        <f>AX48</f>
        <v>0</v>
      </c>
      <c r="M61" s="2341">
        <f>AY48</f>
        <v>0</v>
      </c>
      <c r="N61" s="2342">
        <f>AZ48</f>
        <v>0</v>
      </c>
      <c r="O61" s="1110">
        <f t="shared" si="347"/>
        <v>0</v>
      </c>
      <c r="P61" s="3576"/>
      <c r="Q61" s="2277"/>
      <c r="R61" s="3515"/>
      <c r="S61" s="3556"/>
      <c r="T61" s="3556"/>
      <c r="U61" s="3556"/>
      <c r="V61" s="3516"/>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00"/>
      <c r="B62" s="3500"/>
      <c r="C62" s="4"/>
      <c r="D62" s="1"/>
      <c r="E62" s="1"/>
      <c r="F62" s="1"/>
      <c r="G62" s="84"/>
      <c r="H62" s="36" t="s">
        <v>4622</v>
      </c>
      <c r="I62" s="84"/>
      <c r="J62" s="2343">
        <f>BA48</f>
        <v>0</v>
      </c>
      <c r="K62" s="2344">
        <f>BB48</f>
        <v>0</v>
      </c>
      <c r="L62" s="2344">
        <f>BC48</f>
        <v>0</v>
      </c>
      <c r="M62" s="2344">
        <f>BD48</f>
        <v>0</v>
      </c>
      <c r="N62" s="2345">
        <f>BE48</f>
        <v>0</v>
      </c>
      <c r="O62" s="690">
        <f t="shared" si="347"/>
        <v>0</v>
      </c>
      <c r="P62" s="3576"/>
      <c r="Q62" s="1420"/>
      <c r="R62" s="3515"/>
      <c r="S62" s="3556"/>
      <c r="T62" s="3556"/>
      <c r="U62" s="3556"/>
      <c r="V62" s="3516"/>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00"/>
      <c r="B63" s="3500"/>
      <c r="C63" s="114" t="s">
        <v>4704</v>
      </c>
      <c r="D63" s="1"/>
      <c r="E63" s="1"/>
      <c r="F63" s="1"/>
      <c r="G63" s="84"/>
      <c r="H63" s="55"/>
      <c r="I63" s="84"/>
      <c r="J63" s="2292">
        <f>SUM(J56:J62)</f>
        <v>0</v>
      </c>
      <c r="K63" s="2292">
        <f>SUM(K56:K62)</f>
        <v>61</v>
      </c>
      <c r="L63" s="2292">
        <f>SUM(L56:L62)</f>
        <v>68</v>
      </c>
      <c r="M63" s="2292">
        <f>SUM(M56:M62)</f>
        <v>27</v>
      </c>
      <c r="N63" s="2292">
        <f>SUM(N56:N62)</f>
        <v>0</v>
      </c>
      <c r="O63" s="2292">
        <f t="shared" si="347"/>
        <v>156</v>
      </c>
      <c r="P63" s="3577"/>
      <c r="R63" s="3515"/>
      <c r="S63" s="3556"/>
      <c r="T63" s="3556"/>
      <c r="U63" s="3556"/>
      <c r="V63" s="3516"/>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00"/>
      <c r="B64" s="3500"/>
      <c r="D64" s="1"/>
      <c r="E64" s="1"/>
      <c r="F64" s="1"/>
      <c r="G64" s="84"/>
      <c r="H64" s="36" t="s">
        <v>303</v>
      </c>
      <c r="I64" s="84"/>
      <c r="J64" s="1111">
        <f>BF48</f>
        <v>0</v>
      </c>
      <c r="K64" s="1111">
        <f>BG48</f>
        <v>0</v>
      </c>
      <c r="L64" s="1111">
        <f>BH48</f>
        <v>0</v>
      </c>
      <c r="M64" s="1111">
        <f>BI48</f>
        <v>0</v>
      </c>
      <c r="N64" s="1111">
        <f>BJ48</f>
        <v>0</v>
      </c>
      <c r="O64" s="1111">
        <f t="shared" si="347"/>
        <v>0</v>
      </c>
      <c r="R64" s="3515"/>
      <c r="S64" s="3556"/>
      <c r="T64" s="3556"/>
      <c r="U64" s="3556"/>
      <c r="V64" s="3516"/>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00"/>
      <c r="B65" s="3500"/>
      <c r="C65" s="2299" t="s">
        <v>1138</v>
      </c>
      <c r="D65" s="2299"/>
      <c r="E65" s="2299"/>
      <c r="F65" s="2299"/>
      <c r="G65" s="2300"/>
      <c r="H65" s="49"/>
      <c r="I65" s="2300"/>
      <c r="J65" s="2301">
        <f>SUM(J63:J64)</f>
        <v>0</v>
      </c>
      <c r="K65" s="2301">
        <f>SUM(K63:K64)</f>
        <v>61</v>
      </c>
      <c r="L65" s="2301">
        <f>SUM(L63:L64)</f>
        <v>68</v>
      </c>
      <c r="M65" s="2301">
        <f>SUM(M63:M64)</f>
        <v>27</v>
      </c>
      <c r="N65" s="2301">
        <f>SUM(N63:N64)</f>
        <v>0</v>
      </c>
      <c r="O65" s="2301">
        <f t="shared" si="347"/>
        <v>156</v>
      </c>
      <c r="R65" s="3515"/>
      <c r="S65" s="3556"/>
      <c r="T65" s="3556"/>
      <c r="U65" s="3556"/>
      <c r="V65" s="3516"/>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00"/>
      <c r="B66" s="3500"/>
      <c r="D66" s="1"/>
      <c r="E66" s="1"/>
      <c r="F66" s="1"/>
      <c r="G66" s="84"/>
      <c r="H66" s="36" t="s">
        <v>2510</v>
      </c>
      <c r="I66" s="84"/>
      <c r="J66" s="1111">
        <f>EC48</f>
        <v>0</v>
      </c>
      <c r="K66" s="1111">
        <f>ED48</f>
        <v>0</v>
      </c>
      <c r="L66" s="1111">
        <f>EE48</f>
        <v>0</v>
      </c>
      <c r="M66" s="1111">
        <f>EF48</f>
        <v>0</v>
      </c>
      <c r="N66" s="1111">
        <f>EG48</f>
        <v>0</v>
      </c>
      <c r="O66" s="1111">
        <f t="shared" si="347"/>
        <v>0</v>
      </c>
      <c r="P66" s="563" t="s">
        <v>3670</v>
      </c>
      <c r="R66" s="3515"/>
      <c r="S66" s="3556"/>
      <c r="T66" s="3556"/>
      <c r="U66" s="3556"/>
      <c r="V66" s="3516"/>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00"/>
      <c r="B67" s="3500"/>
      <c r="C67" s="4" t="s">
        <v>1793</v>
      </c>
      <c r="D67" s="1"/>
      <c r="E67" s="1"/>
      <c r="F67" s="1"/>
      <c r="G67" s="84"/>
      <c r="H67" s="36"/>
      <c r="I67" s="84"/>
      <c r="J67" s="2291">
        <f>SUM(J65:J66)</f>
        <v>0</v>
      </c>
      <c r="K67" s="2291">
        <f>SUM(K65:K66)</f>
        <v>61</v>
      </c>
      <c r="L67" s="2291">
        <f>SUM(L65:L66)</f>
        <v>68</v>
      </c>
      <c r="M67" s="2291">
        <f>SUM(M65:M66)</f>
        <v>27</v>
      </c>
      <c r="N67" s="2291">
        <f>SUM(N65:N66)</f>
        <v>0</v>
      </c>
      <c r="O67" s="2291">
        <f t="shared" si="347"/>
        <v>156</v>
      </c>
      <c r="R67" s="3557"/>
      <c r="S67" s="3558"/>
      <c r="T67" s="3558"/>
      <c r="U67" s="3558"/>
      <c r="V67" s="3559"/>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00"/>
      <c r="B68" s="3500"/>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00"/>
      <c r="B69" s="3500"/>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00"/>
      <c r="B70" s="3500"/>
      <c r="C70" s="3581" t="s">
        <v>4723</v>
      </c>
      <c r="D70" s="3581"/>
      <c r="E70" s="3581"/>
      <c r="F70" s="3581"/>
      <c r="G70" s="106"/>
      <c r="H70" s="52"/>
      <c r="I70" s="2641" t="s">
        <v>4722</v>
      </c>
      <c r="J70" s="2644"/>
      <c r="K70" s="2645"/>
      <c r="L70" s="2645"/>
      <c r="M70" s="2645"/>
      <c r="N70" s="2645"/>
      <c r="O70" s="2644"/>
      <c r="P70" s="1207" t="s">
        <v>4721</v>
      </c>
      <c r="R70" s="3523"/>
      <c r="S70" s="3560"/>
      <c r="T70" s="3560"/>
      <c r="U70" s="3560"/>
      <c r="V70" s="3524"/>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00"/>
      <c r="B71" s="3500"/>
      <c r="C71" s="3581"/>
      <c r="D71" s="3581"/>
      <c r="E71" s="3581"/>
      <c r="F71" s="3581"/>
      <c r="G71" s="106"/>
      <c r="H71" s="52" t="s">
        <v>4618</v>
      </c>
      <c r="I71" s="2640" t="str">
        <f>IF(OR(NOT(K53="Income Averaging"),O71=0),"",IF(OR(AND(J71&gt;0,ABS(J71-P71)&gt;0.01),AND(K71&gt;0,ABS(K71-P71)&gt;0.01),AND(L71&gt;0,ABS(L71-P71)&gt;0.01),AND(M71&gt;0,ABS(M71-P71)&gt;0.01),AND(N71&gt;0,ABS(N71-P71)&gt;0.01)), "No", "Yes"))</f>
        <v>Yes</v>
      </c>
      <c r="J71" s="2346">
        <f t="shared" ref="J71:O71" si="348">IF(OR(J63=0,J56=0),0,J56/J63)</f>
        <v>0</v>
      </c>
      <c r="K71" s="2347">
        <f t="shared" si="348"/>
        <v>0.14754098360655737</v>
      </c>
      <c r="L71" s="2347">
        <f t="shared" si="348"/>
        <v>0.14705882352941177</v>
      </c>
      <c r="M71" s="2347">
        <f t="shared" si="348"/>
        <v>0.14814814814814814</v>
      </c>
      <c r="N71" s="2348">
        <f t="shared" si="348"/>
        <v>0</v>
      </c>
      <c r="O71" s="2334">
        <f t="shared" si="348"/>
        <v>0.14743589743589744</v>
      </c>
      <c r="P71" s="2332">
        <f>IF(O71=0,"",AVERAGEIF(J71:N71,"&gt;0"))</f>
        <v>0.14758265176137242</v>
      </c>
      <c r="R71" s="3515"/>
      <c r="S71" s="3556"/>
      <c r="T71" s="3556"/>
      <c r="U71" s="3556"/>
      <c r="V71" s="3516"/>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00"/>
      <c r="B72" s="3500"/>
      <c r="C72" s="3581"/>
      <c r="D72" s="3581"/>
      <c r="E72" s="3581"/>
      <c r="F72" s="3581"/>
      <c r="G72" s="106"/>
      <c r="H72" s="52" t="s">
        <v>4619</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15"/>
      <c r="S72" s="3556"/>
      <c r="T72" s="3556"/>
      <c r="U72" s="3556"/>
      <c r="V72" s="3516"/>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00"/>
      <c r="B73" s="3500"/>
      <c r="C73" s="2642"/>
      <c r="D73" s="3529" t="s">
        <v>5044</v>
      </c>
      <c r="E73" s="3582"/>
      <c r="F73" s="3582"/>
      <c r="G73" s="3582"/>
      <c r="H73" s="52" t="s">
        <v>1149</v>
      </c>
      <c r="I73" s="2640" t="str">
        <f>IF(OR(NOT(K53="Income Averaging"),O73=0),"",IF(OR(AND(J73&gt;0,ABS(J73-P73)&gt;0.01),AND(K73&gt;0,ABS(K73-P73)&gt;0.01),AND(L73&gt;0,ABS(L73-P73)&gt;0.01),AND(M73&gt;0,ABS(M73-P73)&gt;0.01),AND(N73&gt;0,ABS(N73-P73)&gt;0.01)), "No", "Yes"))</f>
        <v>Yes</v>
      </c>
      <c r="J73" s="2349">
        <f t="shared" ref="J73:O73" si="351">IF(OR(J63=0,J58=0),0,J58/J63)</f>
        <v>0</v>
      </c>
      <c r="K73" s="2350">
        <f t="shared" si="351"/>
        <v>0.55737704918032782</v>
      </c>
      <c r="L73" s="2350">
        <f t="shared" si="351"/>
        <v>0.55882352941176472</v>
      </c>
      <c r="M73" s="2350">
        <f t="shared" si="351"/>
        <v>0.55555555555555558</v>
      </c>
      <c r="N73" s="2351">
        <f t="shared" si="351"/>
        <v>0</v>
      </c>
      <c r="O73" s="2335">
        <f t="shared" si="351"/>
        <v>0.55769230769230771</v>
      </c>
      <c r="P73" s="2332">
        <f t="shared" si="350"/>
        <v>0.55725204471588274</v>
      </c>
      <c r="R73" s="3515"/>
      <c r="S73" s="3556"/>
      <c r="T73" s="3556"/>
      <c r="U73" s="3556"/>
      <c r="V73" s="3516"/>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00"/>
      <c r="B74" s="3500"/>
      <c r="C74" s="2642"/>
      <c r="D74" s="3582"/>
      <c r="E74" s="3582"/>
      <c r="F74" s="3582"/>
      <c r="G74" s="3582"/>
      <c r="H74" s="52" t="s">
        <v>118</v>
      </c>
      <c r="I74" s="2640" t="str">
        <f>IF(OR(NOT(K53="Income Averaging"),O74=0),"",IF(OR(AND(J74&gt;0,ABS(J74-P74)&gt;0.01),AND(K74&gt;0,ABS(K74-P74)&gt;0.01),AND(L74&gt;0,ABS(L74-P74)&gt;0.01),AND(M74&gt;0,ABS(M74-P74)&gt;0.01),AND(N74&gt;0,ABS(N74-P74)&gt;0.01)), "No", "Yes"))</f>
        <v>Yes</v>
      </c>
      <c r="J74" s="2583">
        <f t="shared" ref="J74:O74" si="352">IF(OR(J63=0,J59=0),0,J59/J63)</f>
        <v>0</v>
      </c>
      <c r="K74" s="2584">
        <f t="shared" si="352"/>
        <v>0.29508196721311475</v>
      </c>
      <c r="L74" s="2584">
        <f t="shared" si="352"/>
        <v>0.29411764705882354</v>
      </c>
      <c r="M74" s="2584">
        <f t="shared" si="352"/>
        <v>0.29629629629629628</v>
      </c>
      <c r="N74" s="2585">
        <f t="shared" si="352"/>
        <v>0</v>
      </c>
      <c r="O74" s="2586">
        <f t="shared" si="352"/>
        <v>0.29487179487179488</v>
      </c>
      <c r="P74" s="2332">
        <f t="shared" si="350"/>
        <v>0.29516530352274484</v>
      </c>
      <c r="R74" s="3515"/>
      <c r="S74" s="3556"/>
      <c r="T74" s="3556"/>
      <c r="U74" s="3556"/>
      <c r="V74" s="3516"/>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82"/>
      <c r="E75" s="3582"/>
      <c r="F75" s="3582"/>
      <c r="G75" s="3582"/>
      <c r="H75" s="52" t="s">
        <v>4620</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15"/>
      <c r="S75" s="3556"/>
      <c r="T75" s="3556"/>
      <c r="U75" s="3556"/>
      <c r="V75" s="3516"/>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82"/>
      <c r="E76" s="3582"/>
      <c r="F76" s="3582"/>
      <c r="G76" s="3582"/>
      <c r="H76" s="52" t="s">
        <v>4621</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15"/>
      <c r="S76" s="3556"/>
      <c r="T76" s="3556"/>
      <c r="U76" s="3556"/>
      <c r="V76" s="3516"/>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82"/>
      <c r="E77" s="3582"/>
      <c r="F77" s="3582"/>
      <c r="G77" s="3582"/>
      <c r="H77" s="52" t="s">
        <v>4622</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57"/>
      <c r="S77" s="3558"/>
      <c r="T77" s="3558"/>
      <c r="U77" s="3558"/>
      <c r="V77" s="3559"/>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4618</v>
      </c>
      <c r="I81" s="84"/>
      <c r="J81" s="2355">
        <f>CO48</f>
        <v>0</v>
      </c>
      <c r="K81" s="2356">
        <f>CP48</f>
        <v>0</v>
      </c>
      <c r="L81" s="2356">
        <f>CQ48</f>
        <v>0</v>
      </c>
      <c r="M81" s="2356">
        <f>CR48</f>
        <v>0</v>
      </c>
      <c r="N81" s="2357">
        <f>CS48</f>
        <v>0</v>
      </c>
      <c r="O81" s="1112">
        <f t="shared" ref="O81:O88" si="356">SUM(J81:N81)</f>
        <v>0</v>
      </c>
      <c r="R81" s="3523"/>
      <c r="S81" s="3560"/>
      <c r="T81" s="3560"/>
      <c r="U81" s="3560"/>
      <c r="V81" s="3524"/>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2511</v>
      </c>
      <c r="D82" s="1"/>
      <c r="E82" s="114"/>
      <c r="F82" s="1"/>
      <c r="G82" s="84"/>
      <c r="H82" s="36" t="s">
        <v>4619</v>
      </c>
      <c r="I82" s="84"/>
      <c r="J82" s="2358">
        <f>CJ48</f>
        <v>0</v>
      </c>
      <c r="K82" s="2359">
        <f>CK48</f>
        <v>0</v>
      </c>
      <c r="L82" s="2359">
        <f>CL48</f>
        <v>0</v>
      </c>
      <c r="M82" s="2359">
        <f>CM48</f>
        <v>0</v>
      </c>
      <c r="N82" s="2360">
        <f>CN48</f>
        <v>0</v>
      </c>
      <c r="O82" s="2290">
        <f t="shared" si="356"/>
        <v>0</v>
      </c>
      <c r="R82" s="3515"/>
      <c r="S82" s="3556"/>
      <c r="T82" s="3556"/>
      <c r="U82" s="3556"/>
      <c r="V82" s="3516"/>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0</v>
      </c>
      <c r="L83" s="2359">
        <f>CG48</f>
        <v>0</v>
      </c>
      <c r="M83" s="2359">
        <f>CH48</f>
        <v>0</v>
      </c>
      <c r="N83" s="2360">
        <f>CI48</f>
        <v>0</v>
      </c>
      <c r="O83" s="2290">
        <f t="shared" si="356"/>
        <v>0</v>
      </c>
      <c r="R83" s="3515"/>
      <c r="S83" s="3556"/>
      <c r="T83" s="3556"/>
      <c r="U83" s="3556"/>
      <c r="V83" s="3516"/>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18</v>
      </c>
      <c r="L84" s="2380">
        <f>CB48</f>
        <v>0</v>
      </c>
      <c r="M84" s="2380">
        <f>CC48</f>
        <v>0</v>
      </c>
      <c r="N84" s="2381">
        <f>CD48</f>
        <v>0</v>
      </c>
      <c r="O84" s="695">
        <f t="shared" si="356"/>
        <v>18</v>
      </c>
      <c r="R84" s="3515"/>
      <c r="S84" s="3556"/>
      <c r="T84" s="3556"/>
      <c r="U84" s="3556"/>
      <c r="V84" s="3516"/>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4620</v>
      </c>
      <c r="I85" s="1433"/>
      <c r="J85" s="2358">
        <f>BU48</f>
        <v>0</v>
      </c>
      <c r="K85" s="2359">
        <f>BV48</f>
        <v>0</v>
      </c>
      <c r="L85" s="2359">
        <f>BW48</f>
        <v>0</v>
      </c>
      <c r="M85" s="2359">
        <f>BX48</f>
        <v>0</v>
      </c>
      <c r="N85" s="2360">
        <f>BY48</f>
        <v>0</v>
      </c>
      <c r="O85" s="2290">
        <f t="shared" si="356"/>
        <v>0</v>
      </c>
      <c r="R85" s="3515"/>
      <c r="S85" s="3556"/>
      <c r="T85" s="3556"/>
      <c r="U85" s="3556"/>
      <c r="V85" s="3516"/>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4621</v>
      </c>
      <c r="I86" s="84"/>
      <c r="J86" s="2358">
        <f>BP48</f>
        <v>0</v>
      </c>
      <c r="K86" s="2359">
        <f>BQ48</f>
        <v>0</v>
      </c>
      <c r="L86" s="2359">
        <f>BR48</f>
        <v>0</v>
      </c>
      <c r="M86" s="2359">
        <f>BS48</f>
        <v>0</v>
      </c>
      <c r="N86" s="2360">
        <f>BT48</f>
        <v>0</v>
      </c>
      <c r="O86" s="2290">
        <f t="shared" si="356"/>
        <v>0</v>
      </c>
      <c r="R86" s="3515"/>
      <c r="S86" s="3556"/>
      <c r="T86" s="3556"/>
      <c r="U86" s="3556"/>
      <c r="V86" s="3516"/>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4622</v>
      </c>
      <c r="I87" s="84"/>
      <c r="J87" s="2361">
        <f>BK48</f>
        <v>0</v>
      </c>
      <c r="K87" s="2362">
        <f>BL48</f>
        <v>0</v>
      </c>
      <c r="L87" s="2362">
        <f>BM48</f>
        <v>0</v>
      </c>
      <c r="M87" s="2362">
        <f>BN48</f>
        <v>0</v>
      </c>
      <c r="N87" s="2363">
        <f>BO48</f>
        <v>0</v>
      </c>
      <c r="O87" s="1114">
        <f t="shared" si="356"/>
        <v>0</v>
      </c>
      <c r="R87" s="3515"/>
      <c r="S87" s="3556"/>
      <c r="T87" s="3556"/>
      <c r="U87" s="3556"/>
      <c r="V87" s="3516"/>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18</v>
      </c>
      <c r="L88" s="2291">
        <f>SUM(L81:L87)</f>
        <v>0</v>
      </c>
      <c r="M88" s="2291">
        <f>SUM(M81:M87)</f>
        <v>0</v>
      </c>
      <c r="N88" s="2291">
        <f>SUM(N81:N87)</f>
        <v>0</v>
      </c>
      <c r="O88" s="2291">
        <f t="shared" si="356"/>
        <v>18</v>
      </c>
      <c r="R88" s="3557"/>
      <c r="S88" s="3558"/>
      <c r="T88" s="3558"/>
      <c r="U88" s="3558"/>
      <c r="V88" s="3559"/>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c r="A90" s="13" t="s">
        <v>740</v>
      </c>
      <c r="B90" s="13" t="s">
        <v>5001</v>
      </c>
      <c r="K90" s="3495" t="str">
        <f>K53</f>
        <v>Income Averaging</v>
      </c>
      <c r="L90" s="3496"/>
      <c r="M90" s="3496"/>
      <c r="N90" s="3497"/>
      <c r="O90" s="84"/>
      <c r="R90" s="3498" t="str">
        <f>B90</f>
        <v>UNIT SUMMARY (Continued)</v>
      </c>
      <c r="S90" s="3498"/>
      <c r="T90" s="3498"/>
      <c r="U90" s="3498"/>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4618</v>
      </c>
      <c r="I92" s="84"/>
      <c r="J92" s="2355">
        <f>DX48</f>
        <v>0</v>
      </c>
      <c r="K92" s="2356">
        <f>DY48</f>
        <v>0</v>
      </c>
      <c r="L92" s="2356">
        <f>DZ48</f>
        <v>0</v>
      </c>
      <c r="M92" s="2356">
        <f>EA48</f>
        <v>0</v>
      </c>
      <c r="N92" s="2357">
        <f>EB48</f>
        <v>0</v>
      </c>
      <c r="O92" s="1115">
        <f t="shared" ref="O92:O99" si="357">SUM(J92:N92)</f>
        <v>0</v>
      </c>
      <c r="R92" s="3523"/>
      <c r="S92" s="3560"/>
      <c r="T92" s="3560"/>
      <c r="U92" s="3560"/>
      <c r="V92" s="3524"/>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2511</v>
      </c>
      <c r="D93" s="474"/>
      <c r="E93" s="474"/>
      <c r="F93" s="1"/>
      <c r="G93" s="84"/>
      <c r="H93" s="36" t="s">
        <v>4619</v>
      </c>
      <c r="I93" s="84"/>
      <c r="J93" s="2358">
        <f>DS48</f>
        <v>0</v>
      </c>
      <c r="K93" s="2359">
        <f>DT48</f>
        <v>0</v>
      </c>
      <c r="L93" s="2359">
        <f>DU48</f>
        <v>0</v>
      </c>
      <c r="M93" s="2359">
        <f>DV48</f>
        <v>0</v>
      </c>
      <c r="N93" s="2360">
        <f>DW48</f>
        <v>0</v>
      </c>
      <c r="O93" s="1110">
        <f t="shared" si="357"/>
        <v>0</v>
      </c>
      <c r="R93" s="3515"/>
      <c r="S93" s="3556"/>
      <c r="T93" s="3556"/>
      <c r="U93" s="3556"/>
      <c r="V93" s="3516"/>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15"/>
      <c r="S94" s="3556"/>
      <c r="T94" s="3556"/>
      <c r="U94" s="3556"/>
      <c r="V94" s="3516"/>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15"/>
      <c r="S95" s="3556"/>
      <c r="T95" s="3556"/>
      <c r="U95" s="3556"/>
      <c r="V95" s="3516"/>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4620</v>
      </c>
      <c r="I96" s="1433"/>
      <c r="J96" s="2358">
        <f>DD48</f>
        <v>0</v>
      </c>
      <c r="K96" s="2359">
        <f>DE48</f>
        <v>0</v>
      </c>
      <c r="L96" s="2359">
        <f>DF48</f>
        <v>0</v>
      </c>
      <c r="M96" s="2359">
        <f>DG48</f>
        <v>0</v>
      </c>
      <c r="N96" s="2360">
        <f>DH48</f>
        <v>0</v>
      </c>
      <c r="O96" s="1110">
        <f t="shared" si="357"/>
        <v>0</v>
      </c>
      <c r="R96" s="3515"/>
      <c r="S96" s="3556"/>
      <c r="T96" s="3556"/>
      <c r="U96" s="3556"/>
      <c r="V96" s="3516"/>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4621</v>
      </c>
      <c r="I97" s="84"/>
      <c r="J97" s="2358">
        <f>CY48</f>
        <v>0</v>
      </c>
      <c r="K97" s="2359">
        <f>CZ48</f>
        <v>0</v>
      </c>
      <c r="L97" s="2359">
        <f>DA48</f>
        <v>0</v>
      </c>
      <c r="M97" s="2359">
        <f>DB48</f>
        <v>0</v>
      </c>
      <c r="N97" s="2360">
        <f>DC48</f>
        <v>0</v>
      </c>
      <c r="O97" s="1110">
        <f t="shared" si="357"/>
        <v>0</v>
      </c>
      <c r="R97" s="3515"/>
      <c r="S97" s="3556"/>
      <c r="T97" s="3556"/>
      <c r="U97" s="3556"/>
      <c r="V97" s="3516"/>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4622</v>
      </c>
      <c r="I98" s="84"/>
      <c r="J98" s="2361">
        <f>CT48</f>
        <v>0</v>
      </c>
      <c r="K98" s="2362">
        <f>CU48</f>
        <v>0</v>
      </c>
      <c r="L98" s="2362">
        <f>CV48</f>
        <v>0</v>
      </c>
      <c r="M98" s="2362">
        <f>CW48</f>
        <v>0</v>
      </c>
      <c r="N98" s="2363">
        <f>CX48</f>
        <v>0</v>
      </c>
      <c r="O98" s="1111">
        <f t="shared" si="357"/>
        <v>0</v>
      </c>
      <c r="R98" s="3515"/>
      <c r="S98" s="3556"/>
      <c r="T98" s="3556"/>
      <c r="U98" s="3556"/>
      <c r="V98" s="3516"/>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57"/>
      <c r="S99" s="3558"/>
      <c r="T99" s="3558"/>
      <c r="U99" s="3558"/>
      <c r="V99" s="3559"/>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32" t="s">
        <v>38</v>
      </c>
      <c r="D101" s="3532"/>
      <c r="E101" s="106" t="s">
        <v>2294</v>
      </c>
      <c r="F101" s="1"/>
      <c r="G101" s="84"/>
      <c r="H101" s="36" t="s">
        <v>1432</v>
      </c>
      <c r="I101" s="84"/>
      <c r="J101" s="2337">
        <f>GF48</f>
        <v>0</v>
      </c>
      <c r="K101" s="2338">
        <f>GG48</f>
        <v>61</v>
      </c>
      <c r="L101" s="2338">
        <f>GH48</f>
        <v>68</v>
      </c>
      <c r="M101" s="2338">
        <f>GI48</f>
        <v>27</v>
      </c>
      <c r="N101" s="2339">
        <f>GJ48</f>
        <v>0</v>
      </c>
      <c r="O101" s="1115">
        <f t="shared" ref="O101:O111" si="358">SUM(J101:N101)</f>
        <v>156</v>
      </c>
      <c r="R101" s="3523"/>
      <c r="S101" s="3560"/>
      <c r="T101" s="3560"/>
      <c r="U101" s="3560"/>
      <c r="V101" s="3524"/>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32"/>
      <c r="D102" s="3532"/>
      <c r="E102" s="114"/>
      <c r="F102" s="1"/>
      <c r="G102" s="84"/>
      <c r="H102" s="36" t="s">
        <v>303</v>
      </c>
      <c r="I102" s="84"/>
      <c r="J102" s="2343">
        <f>GK48</f>
        <v>0</v>
      </c>
      <c r="K102" s="2344">
        <f>GL48</f>
        <v>0</v>
      </c>
      <c r="L102" s="2344">
        <f>GM48</f>
        <v>0</v>
      </c>
      <c r="M102" s="2344">
        <f>GN48</f>
        <v>0</v>
      </c>
      <c r="N102" s="2345">
        <f>GO48</f>
        <v>0</v>
      </c>
      <c r="O102" s="1111">
        <f t="shared" si="358"/>
        <v>0</v>
      </c>
      <c r="R102" s="3515"/>
      <c r="S102" s="3556"/>
      <c r="T102" s="3556"/>
      <c r="U102" s="3556"/>
      <c r="V102" s="3516"/>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32"/>
      <c r="D103" s="3532"/>
      <c r="E103" s="114"/>
      <c r="F103" s="1"/>
      <c r="G103" s="84"/>
      <c r="H103" s="88" t="s">
        <v>32</v>
      </c>
      <c r="I103" s="84"/>
      <c r="J103" s="2293">
        <f>SUM(J101:J102)+GP48</f>
        <v>0</v>
      </c>
      <c r="K103" s="2293">
        <f>SUM(K101:K102)+GQ48</f>
        <v>61</v>
      </c>
      <c r="L103" s="2293">
        <f>SUM(L101:L102)+GR48</f>
        <v>68</v>
      </c>
      <c r="M103" s="2293">
        <f>SUM(M101:M102)+GS48</f>
        <v>27</v>
      </c>
      <c r="N103" s="2293">
        <f>SUM(N101:N102)+GT48</f>
        <v>0</v>
      </c>
      <c r="O103" s="2293">
        <f t="shared" si="358"/>
        <v>156</v>
      </c>
      <c r="R103" s="3515"/>
      <c r="S103" s="3556"/>
      <c r="T103" s="3556"/>
      <c r="U103" s="3556"/>
      <c r="V103" s="3516"/>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32"/>
      <c r="D104" s="3532"/>
      <c r="E104" s="106" t="s">
        <v>2136</v>
      </c>
      <c r="F104" s="1"/>
      <c r="G104" s="84"/>
      <c r="H104" s="36" t="s">
        <v>1432</v>
      </c>
      <c r="I104" s="84"/>
      <c r="J104" s="2337">
        <f>GU48</f>
        <v>0</v>
      </c>
      <c r="K104" s="2338">
        <f>GV48</f>
        <v>0</v>
      </c>
      <c r="L104" s="2338">
        <f>GW48</f>
        <v>0</v>
      </c>
      <c r="M104" s="2338">
        <f>GX48</f>
        <v>0</v>
      </c>
      <c r="N104" s="2339">
        <f>GY48</f>
        <v>0</v>
      </c>
      <c r="O104" s="1115">
        <f t="shared" si="358"/>
        <v>0</v>
      </c>
      <c r="R104" s="3515"/>
      <c r="S104" s="3556"/>
      <c r="T104" s="3556"/>
      <c r="U104" s="3556"/>
      <c r="V104" s="3516"/>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32"/>
      <c r="D105" s="3532"/>
      <c r="E105" s="114"/>
      <c r="F105" s="1"/>
      <c r="G105" s="84"/>
      <c r="H105" s="36" t="s">
        <v>303</v>
      </c>
      <c r="I105" s="84"/>
      <c r="J105" s="2343">
        <f>GZ48</f>
        <v>0</v>
      </c>
      <c r="K105" s="2344">
        <f>HA48</f>
        <v>0</v>
      </c>
      <c r="L105" s="2344">
        <f>HB48</f>
        <v>0</v>
      </c>
      <c r="M105" s="2344">
        <f>HC48</f>
        <v>0</v>
      </c>
      <c r="N105" s="2345">
        <f>HD48</f>
        <v>0</v>
      </c>
      <c r="O105" s="1111">
        <f t="shared" si="358"/>
        <v>0</v>
      </c>
      <c r="R105" s="3515"/>
      <c r="S105" s="3556"/>
      <c r="T105" s="3556"/>
      <c r="U105" s="3556"/>
      <c r="V105" s="3516"/>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32"/>
      <c r="D106" s="3532"/>
      <c r="E106" s="114"/>
      <c r="F106" s="1"/>
      <c r="G106" s="84"/>
      <c r="H106" s="88" t="s">
        <v>32</v>
      </c>
      <c r="I106" s="84"/>
      <c r="J106" s="2293">
        <f>SUM(J104:J105)+HE48</f>
        <v>0</v>
      </c>
      <c r="K106" s="2293">
        <f>SUM(K104:K105)+HF48</f>
        <v>0</v>
      </c>
      <c r="L106" s="2293">
        <f>SUM(L104:L105)+HG48</f>
        <v>0</v>
      </c>
      <c r="M106" s="2293">
        <f>SUM(M104:M105)+HH48</f>
        <v>0</v>
      </c>
      <c r="N106" s="2293">
        <f>SUM(N104:N105)+HI48</f>
        <v>0</v>
      </c>
      <c r="O106" s="2293">
        <f t="shared" si="358"/>
        <v>0</v>
      </c>
      <c r="R106" s="3515"/>
      <c r="S106" s="3556"/>
      <c r="T106" s="3556"/>
      <c r="U106" s="3556"/>
      <c r="V106" s="3516"/>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33" t="s">
        <v>1419</v>
      </c>
      <c r="F107" s="3533"/>
      <c r="G107" s="84"/>
      <c r="H107" s="36" t="s">
        <v>1432</v>
      </c>
      <c r="I107" s="84"/>
      <c r="J107" s="2337">
        <f>HJ48</f>
        <v>0</v>
      </c>
      <c r="K107" s="2338">
        <f>HK48</f>
        <v>0</v>
      </c>
      <c r="L107" s="2338">
        <f>HL48</f>
        <v>0</v>
      </c>
      <c r="M107" s="2338">
        <f>HM48</f>
        <v>0</v>
      </c>
      <c r="N107" s="2339">
        <f>HN48</f>
        <v>0</v>
      </c>
      <c r="O107" s="1115">
        <f t="shared" si="358"/>
        <v>0</v>
      </c>
      <c r="R107" s="3515"/>
      <c r="S107" s="3556"/>
      <c r="T107" s="3556"/>
      <c r="U107" s="3556"/>
      <c r="V107" s="3516"/>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33"/>
      <c r="F108" s="3533"/>
      <c r="G108" s="84"/>
      <c r="H108" s="36" t="s">
        <v>303</v>
      </c>
      <c r="I108" s="84"/>
      <c r="J108" s="2343">
        <f>HO48</f>
        <v>0</v>
      </c>
      <c r="K108" s="2344">
        <f>HP48</f>
        <v>0</v>
      </c>
      <c r="L108" s="2344">
        <f>HQ48</f>
        <v>0</v>
      </c>
      <c r="M108" s="2344">
        <f>HR48</f>
        <v>0</v>
      </c>
      <c r="N108" s="2345">
        <f>HS48</f>
        <v>0</v>
      </c>
      <c r="O108" s="1111">
        <f t="shared" si="358"/>
        <v>0</v>
      </c>
      <c r="R108" s="3515"/>
      <c r="S108" s="3556"/>
      <c r="T108" s="3556"/>
      <c r="U108" s="3556"/>
      <c r="V108" s="3516"/>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15"/>
      <c r="S109" s="3556"/>
      <c r="T109" s="3556"/>
      <c r="U109" s="3556"/>
      <c r="V109" s="3516"/>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15"/>
      <c r="S110" s="3556"/>
      <c r="T110" s="3556"/>
      <c r="U110" s="3556"/>
      <c r="V110" s="3516"/>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83" t="str">
        <f>IF(AND('Part IV-A-Uses of Funds'!$T$165="Yes",'Part IX Scoring Criteria'!$O$420&gt;0,O111&lt;1),"SHOW HISTORIC UNITS HERE &gt;&gt;&gt;&gt;","")</f>
        <v/>
      </c>
      <c r="B111" s="3583"/>
      <c r="C111" s="3583"/>
      <c r="D111" s="3583"/>
      <c r="E111" s="557" t="s">
        <v>3395</v>
      </c>
      <c r="F111" s="1"/>
      <c r="G111" s="192"/>
      <c r="H111" s="84"/>
      <c r="I111" s="84"/>
      <c r="J111" s="692"/>
      <c r="K111" s="692"/>
      <c r="L111" s="692"/>
      <c r="M111" s="692"/>
      <c r="N111" s="692"/>
      <c r="O111" s="688">
        <f t="shared" si="358"/>
        <v>0</v>
      </c>
      <c r="R111" s="3515"/>
      <c r="S111" s="3556"/>
      <c r="T111" s="3556"/>
      <c r="U111" s="3556"/>
      <c r="V111" s="3516"/>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15"/>
      <c r="S112" s="3556"/>
      <c r="T112" s="3556"/>
      <c r="U112" s="3556"/>
      <c r="V112" s="3516"/>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3356</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57"/>
      <c r="S113" s="3558"/>
      <c r="T113" s="3558"/>
      <c r="U113" s="3558"/>
      <c r="V113" s="3559"/>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28" t="s">
        <v>4086</v>
      </c>
      <c r="D115" s="3528"/>
      <c r="E115" s="1429" t="s">
        <v>39</v>
      </c>
      <c r="F115" s="1147"/>
      <c r="G115" s="1430"/>
      <c r="H115" s="1431"/>
      <c r="I115" s="1432"/>
      <c r="J115" s="2367">
        <f t="shared" ref="J115:O115" si="359">SUM(J116:J123)</f>
        <v>0</v>
      </c>
      <c r="K115" s="2368">
        <f t="shared" si="359"/>
        <v>61</v>
      </c>
      <c r="L115" s="2368">
        <f t="shared" si="359"/>
        <v>68</v>
      </c>
      <c r="M115" s="2368">
        <f t="shared" si="359"/>
        <v>27</v>
      </c>
      <c r="N115" s="2369">
        <f t="shared" si="359"/>
        <v>0</v>
      </c>
      <c r="O115" s="2298">
        <f t="shared" si="359"/>
        <v>156</v>
      </c>
      <c r="R115" s="3523"/>
      <c r="S115" s="3560"/>
      <c r="T115" s="3560"/>
      <c r="U115" s="3560"/>
      <c r="V115" s="3524"/>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29"/>
      <c r="D116" s="3529"/>
      <c r="E116" s="106"/>
      <c r="F116" s="5"/>
      <c r="G116" s="156"/>
      <c r="H116" s="1021" t="s">
        <v>2603</v>
      </c>
      <c r="I116" s="1433"/>
      <c r="J116" s="2340">
        <f>JR48</f>
        <v>0</v>
      </c>
      <c r="K116" s="2341">
        <f>JS48</f>
        <v>0</v>
      </c>
      <c r="L116" s="2341">
        <f>JT48</f>
        <v>0</v>
      </c>
      <c r="M116" s="2341">
        <f>JU48</f>
        <v>0</v>
      </c>
      <c r="N116" s="2342">
        <f>JV48</f>
        <v>0</v>
      </c>
      <c r="O116" s="1110">
        <f t="shared" ref="O116:O131" si="360">SUM(J116:N116)</f>
        <v>0</v>
      </c>
      <c r="R116" s="3515"/>
      <c r="S116" s="3556"/>
      <c r="T116" s="3556"/>
      <c r="U116" s="3556"/>
      <c r="V116" s="3516"/>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29"/>
      <c r="D117" s="3529"/>
      <c r="E117" s="106"/>
      <c r="F117" s="5"/>
      <c r="G117" s="156"/>
      <c r="H117" s="97" t="s">
        <v>3356</v>
      </c>
      <c r="I117" s="1433"/>
      <c r="J117" s="2370">
        <f>JW48</f>
        <v>0</v>
      </c>
      <c r="K117" s="2371">
        <f>JX48</f>
        <v>0</v>
      </c>
      <c r="L117" s="2371">
        <f>JY48</f>
        <v>0</v>
      </c>
      <c r="M117" s="2371">
        <f>JZ48</f>
        <v>0</v>
      </c>
      <c r="N117" s="2372">
        <f>KA48</f>
        <v>0</v>
      </c>
      <c r="O117" s="690">
        <f t="shared" si="360"/>
        <v>0</v>
      </c>
      <c r="R117" s="3515"/>
      <c r="S117" s="3556"/>
      <c r="T117" s="3556"/>
      <c r="U117" s="3556"/>
      <c r="V117" s="3516"/>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29"/>
      <c r="D118" s="3529"/>
      <c r="E118" s="106"/>
      <c r="F118" s="5"/>
      <c r="G118" s="156"/>
      <c r="H118" s="1021" t="s">
        <v>2604</v>
      </c>
      <c r="I118" s="1433"/>
      <c r="J118" s="2340">
        <f>KB48</f>
        <v>0</v>
      </c>
      <c r="K118" s="2341">
        <f>KC48</f>
        <v>0</v>
      </c>
      <c r="L118" s="2341">
        <f>KD48</f>
        <v>0</v>
      </c>
      <c r="M118" s="2341">
        <f>KE48</f>
        <v>0</v>
      </c>
      <c r="N118" s="2342">
        <f>KF48</f>
        <v>0</v>
      </c>
      <c r="O118" s="693">
        <f t="shared" si="360"/>
        <v>0</v>
      </c>
      <c r="R118" s="3515"/>
      <c r="S118" s="3556"/>
      <c r="T118" s="3556"/>
      <c r="U118" s="3556"/>
      <c r="V118" s="3516"/>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29"/>
      <c r="D119" s="3529"/>
      <c r="E119" s="106"/>
      <c r="F119" s="5"/>
      <c r="G119" s="156"/>
      <c r="H119" s="97" t="s">
        <v>3356</v>
      </c>
      <c r="I119" s="1433"/>
      <c r="J119" s="2370">
        <f>KG48</f>
        <v>0</v>
      </c>
      <c r="K119" s="2371">
        <f>KH48</f>
        <v>0</v>
      </c>
      <c r="L119" s="2371">
        <f>KI48</f>
        <v>0</v>
      </c>
      <c r="M119" s="2371">
        <f>KJ48</f>
        <v>0</v>
      </c>
      <c r="N119" s="2372">
        <f>KK48</f>
        <v>0</v>
      </c>
      <c r="O119" s="690">
        <f t="shared" si="360"/>
        <v>0</v>
      </c>
      <c r="R119" s="3515"/>
      <c r="S119" s="3556"/>
      <c r="T119" s="3556"/>
      <c r="U119" s="3556"/>
      <c r="V119" s="3516"/>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29"/>
      <c r="D120" s="3529"/>
      <c r="E120" s="106"/>
      <c r="F120" s="5"/>
      <c r="G120" s="156"/>
      <c r="H120" s="1021" t="s">
        <v>2606</v>
      </c>
      <c r="I120" s="1433"/>
      <c r="J120" s="2340">
        <f>KL48</f>
        <v>0</v>
      </c>
      <c r="K120" s="2341">
        <f>KM48</f>
        <v>0</v>
      </c>
      <c r="L120" s="2341">
        <f>KN48</f>
        <v>0</v>
      </c>
      <c r="M120" s="2341">
        <f>KO48</f>
        <v>0</v>
      </c>
      <c r="N120" s="2342">
        <f>KP48</f>
        <v>0</v>
      </c>
      <c r="O120" s="693">
        <f t="shared" si="360"/>
        <v>0</v>
      </c>
      <c r="R120" s="3515"/>
      <c r="S120" s="3556"/>
      <c r="T120" s="3556"/>
      <c r="U120" s="3556"/>
      <c r="V120" s="3516"/>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29"/>
      <c r="D121" s="3529"/>
      <c r="E121" s="106"/>
      <c r="F121" s="5"/>
      <c r="G121" s="156"/>
      <c r="H121" s="97" t="s">
        <v>3356</v>
      </c>
      <c r="I121" s="1433"/>
      <c r="J121" s="2370">
        <f>KQ48</f>
        <v>0</v>
      </c>
      <c r="K121" s="2371">
        <f>KR48</f>
        <v>0</v>
      </c>
      <c r="L121" s="2371">
        <f>KS48</f>
        <v>0</v>
      </c>
      <c r="M121" s="2371">
        <f>KT48</f>
        <v>0</v>
      </c>
      <c r="N121" s="2372">
        <f>KU48</f>
        <v>0</v>
      </c>
      <c r="O121" s="690">
        <f t="shared" si="360"/>
        <v>0</v>
      </c>
      <c r="R121" s="3515"/>
      <c r="S121" s="3556"/>
      <c r="T121" s="3556"/>
      <c r="U121" s="3556"/>
      <c r="V121" s="3516"/>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29"/>
      <c r="D122" s="3529"/>
      <c r="E122" s="106"/>
      <c r="F122" s="1"/>
      <c r="G122" s="84"/>
      <c r="H122" s="40" t="s">
        <v>2605</v>
      </c>
      <c r="I122" s="84"/>
      <c r="J122" s="2340">
        <f>KV48</f>
        <v>0</v>
      </c>
      <c r="K122" s="2341">
        <f>KW48</f>
        <v>61</v>
      </c>
      <c r="L122" s="2341">
        <f>KX48</f>
        <v>68</v>
      </c>
      <c r="M122" s="2341">
        <f>KY48</f>
        <v>27</v>
      </c>
      <c r="N122" s="2342">
        <f>KZ48</f>
        <v>0</v>
      </c>
      <c r="O122" s="693">
        <f t="shared" si="360"/>
        <v>156</v>
      </c>
      <c r="R122" s="3515"/>
      <c r="S122" s="3556"/>
      <c r="T122" s="3556"/>
      <c r="U122" s="3556"/>
      <c r="V122" s="3516"/>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29"/>
      <c r="D123" s="3529"/>
      <c r="E123" s="106"/>
      <c r="F123" s="1"/>
      <c r="G123" s="84"/>
      <c r="H123" s="1017" t="s">
        <v>3356</v>
      </c>
      <c r="I123" s="84"/>
      <c r="J123" s="2340">
        <f>LA48</f>
        <v>0</v>
      </c>
      <c r="K123" s="2341">
        <f>LB48</f>
        <v>0</v>
      </c>
      <c r="L123" s="2341">
        <f>LC48</f>
        <v>0</v>
      </c>
      <c r="M123" s="2341">
        <f>LD48</f>
        <v>0</v>
      </c>
      <c r="N123" s="2342">
        <f>LE48</f>
        <v>0</v>
      </c>
      <c r="O123" s="1110">
        <f t="shared" si="360"/>
        <v>0</v>
      </c>
      <c r="R123" s="3515"/>
      <c r="S123" s="3556"/>
      <c r="T123" s="3556"/>
      <c r="U123" s="3556"/>
      <c r="V123" s="3516"/>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15"/>
      <c r="S124" s="3556"/>
      <c r="T124" s="3556"/>
      <c r="U124" s="3556"/>
      <c r="V124" s="3516"/>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3356</v>
      </c>
      <c r="I125" s="84"/>
      <c r="J125" s="2370">
        <f>II48</f>
        <v>0</v>
      </c>
      <c r="K125" s="2371">
        <f>IJ48</f>
        <v>0</v>
      </c>
      <c r="L125" s="2371">
        <f>IK48</f>
        <v>0</v>
      </c>
      <c r="M125" s="2371">
        <f>IL48</f>
        <v>0</v>
      </c>
      <c r="N125" s="2372">
        <f>IM48</f>
        <v>0</v>
      </c>
      <c r="O125" s="690">
        <f t="shared" si="360"/>
        <v>0</v>
      </c>
      <c r="R125" s="3515"/>
      <c r="S125" s="3556"/>
      <c r="T125" s="3556"/>
      <c r="U125" s="3556"/>
      <c r="V125" s="3516"/>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15"/>
      <c r="S126" s="3556"/>
      <c r="T126" s="3556"/>
      <c r="U126" s="3556"/>
      <c r="V126" s="3516"/>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3356</v>
      </c>
      <c r="I127" s="84"/>
      <c r="J127" s="2370">
        <f>JM48</f>
        <v>0</v>
      </c>
      <c r="K127" s="2371">
        <f>JN48</f>
        <v>0</v>
      </c>
      <c r="L127" s="2371">
        <f>JO48</f>
        <v>0</v>
      </c>
      <c r="M127" s="2371">
        <f>JP48</f>
        <v>0</v>
      </c>
      <c r="N127" s="2372">
        <f>JQ48</f>
        <v>0</v>
      </c>
      <c r="O127" s="690">
        <f t="shared" si="360"/>
        <v>0</v>
      </c>
      <c r="R127" s="3515"/>
      <c r="S127" s="3556"/>
      <c r="T127" s="3556"/>
      <c r="U127" s="3556"/>
      <c r="V127" s="3516"/>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15"/>
      <c r="S128" s="3556"/>
      <c r="T128" s="3556"/>
      <c r="U128" s="3556"/>
      <c r="V128" s="3516"/>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3356</v>
      </c>
      <c r="I129" s="84"/>
      <c r="J129" s="2340">
        <f>JC48</f>
        <v>0</v>
      </c>
      <c r="K129" s="2341">
        <f>JD48</f>
        <v>0</v>
      </c>
      <c r="L129" s="2341">
        <f>JE48</f>
        <v>0</v>
      </c>
      <c r="M129" s="2341">
        <f>JF48</f>
        <v>0</v>
      </c>
      <c r="N129" s="2342">
        <f>JG48</f>
        <v>0</v>
      </c>
      <c r="O129" s="690">
        <f t="shared" si="360"/>
        <v>0</v>
      </c>
      <c r="R129" s="3515"/>
      <c r="S129" s="3556"/>
      <c r="T129" s="3556"/>
      <c r="U129" s="3556"/>
      <c r="V129" s="3516"/>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15"/>
      <c r="S130" s="3556"/>
      <c r="T130" s="3556"/>
      <c r="U130" s="3556"/>
      <c r="V130" s="3516"/>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3356</v>
      </c>
      <c r="I131" s="84"/>
      <c r="J131" s="2343">
        <f>IS48</f>
        <v>0</v>
      </c>
      <c r="K131" s="2344">
        <f>IT48</f>
        <v>0</v>
      </c>
      <c r="L131" s="2344">
        <f>IU48</f>
        <v>0</v>
      </c>
      <c r="M131" s="2344">
        <f>IV48</f>
        <v>0</v>
      </c>
      <c r="N131" s="2345">
        <f>IW48</f>
        <v>0</v>
      </c>
      <c r="O131" s="1111">
        <f t="shared" si="360"/>
        <v>0</v>
      </c>
      <c r="R131" s="3557"/>
      <c r="S131" s="3558"/>
      <c r="T131" s="3558"/>
      <c r="U131" s="3558"/>
      <c r="V131" s="3559"/>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5001</v>
      </c>
      <c r="K133" s="3495" t="str">
        <f>K53</f>
        <v>Income Averaging</v>
      </c>
      <c r="L133" s="3496"/>
      <c r="M133" s="3496"/>
      <c r="N133" s="3497"/>
      <c r="O133" s="84"/>
      <c r="R133" s="3499" t="str">
        <f>B133</f>
        <v>UNIT SUMMARY (Continued)</v>
      </c>
      <c r="S133" s="3499"/>
      <c r="T133" s="3499"/>
      <c r="U133" s="3499"/>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28" t="s">
        <v>4607</v>
      </c>
      <c r="D135" s="3528"/>
      <c r="E135" s="1429" t="s">
        <v>3351</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23"/>
      <c r="S135" s="3560"/>
      <c r="T135" s="3560"/>
      <c r="U135" s="3560"/>
      <c r="V135" s="3524"/>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29"/>
      <c r="D136" s="3529"/>
      <c r="E136" s="106"/>
      <c r="F136" s="563"/>
      <c r="G136" s="156"/>
      <c r="H136" s="97" t="s">
        <v>3356</v>
      </c>
      <c r="I136" s="1433"/>
      <c r="J136" s="2379">
        <f t="shared" si="361"/>
        <v>0</v>
      </c>
      <c r="K136" s="2380">
        <f t="shared" si="361"/>
        <v>0</v>
      </c>
      <c r="L136" s="2380">
        <f t="shared" si="361"/>
        <v>0</v>
      </c>
      <c r="M136" s="2380">
        <f t="shared" si="361"/>
        <v>0</v>
      </c>
      <c r="N136" s="2381">
        <f t="shared" si="361"/>
        <v>0</v>
      </c>
      <c r="O136" s="695">
        <f t="shared" si="362"/>
        <v>0</v>
      </c>
      <c r="R136" s="3515"/>
      <c r="S136" s="3556"/>
      <c r="T136" s="3556"/>
      <c r="U136" s="3556"/>
      <c r="V136" s="3516"/>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29"/>
      <c r="D137" s="3529"/>
      <c r="E137" s="106" t="s">
        <v>3352</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15"/>
      <c r="S137" s="3556"/>
      <c r="T137" s="3556"/>
      <c r="U137" s="3556"/>
      <c r="V137" s="3516"/>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29"/>
      <c r="D138" s="3529"/>
      <c r="E138" s="106"/>
      <c r="F138" s="563"/>
      <c r="G138" s="156"/>
      <c r="H138" s="97" t="s">
        <v>3356</v>
      </c>
      <c r="I138" s="1433"/>
      <c r="J138" s="2379">
        <f t="shared" si="363"/>
        <v>0</v>
      </c>
      <c r="K138" s="2380">
        <f t="shared" si="363"/>
        <v>0</v>
      </c>
      <c r="L138" s="2380">
        <f t="shared" si="363"/>
        <v>0</v>
      </c>
      <c r="M138" s="2380">
        <f t="shared" si="363"/>
        <v>0</v>
      </c>
      <c r="N138" s="2381">
        <f t="shared" si="363"/>
        <v>0</v>
      </c>
      <c r="O138" s="695">
        <f t="shared" si="362"/>
        <v>0</v>
      </c>
      <c r="R138" s="3515"/>
      <c r="S138" s="3556"/>
      <c r="T138" s="3556"/>
      <c r="U138" s="3556"/>
      <c r="V138" s="3516"/>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29"/>
      <c r="D139" s="3529"/>
      <c r="E139" s="106" t="s">
        <v>3353</v>
      </c>
      <c r="F139" s="563"/>
      <c r="G139" s="156"/>
      <c r="H139" s="1021"/>
      <c r="I139" s="1433"/>
      <c r="J139" s="2382">
        <f t="shared" ref="J139:N140" si="364">J120</f>
        <v>0</v>
      </c>
      <c r="K139" s="2383">
        <f t="shared" si="364"/>
        <v>0</v>
      </c>
      <c r="L139" s="2383">
        <f t="shared" si="364"/>
        <v>0</v>
      </c>
      <c r="M139" s="2383">
        <f t="shared" si="364"/>
        <v>0</v>
      </c>
      <c r="N139" s="2384">
        <f t="shared" si="364"/>
        <v>0</v>
      </c>
      <c r="O139" s="1113">
        <f t="shared" si="362"/>
        <v>0</v>
      </c>
      <c r="R139" s="3515"/>
      <c r="S139" s="3556"/>
      <c r="T139" s="3556"/>
      <c r="U139" s="3556"/>
      <c r="V139" s="3516"/>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29"/>
      <c r="D140" s="3529"/>
      <c r="E140" s="106"/>
      <c r="F140" s="563"/>
      <c r="G140" s="156"/>
      <c r="H140" s="97" t="s">
        <v>3356</v>
      </c>
      <c r="I140" s="1433"/>
      <c r="J140" s="2379">
        <f t="shared" si="364"/>
        <v>0</v>
      </c>
      <c r="K140" s="2380">
        <f t="shared" si="364"/>
        <v>0</v>
      </c>
      <c r="L140" s="2380">
        <f t="shared" si="364"/>
        <v>0</v>
      </c>
      <c r="M140" s="2380">
        <f t="shared" si="364"/>
        <v>0</v>
      </c>
      <c r="N140" s="2381">
        <f t="shared" si="364"/>
        <v>0</v>
      </c>
      <c r="O140" s="695">
        <f t="shared" si="362"/>
        <v>0</v>
      </c>
      <c r="R140" s="3515"/>
      <c r="S140" s="3556"/>
      <c r="T140" s="3556"/>
      <c r="U140" s="3556"/>
      <c r="V140" s="3516"/>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29"/>
      <c r="D141" s="3529"/>
      <c r="E141" s="106" t="s">
        <v>3354</v>
      </c>
      <c r="F141" s="563"/>
      <c r="G141" s="156"/>
      <c r="H141" s="1021"/>
      <c r="I141" s="1433"/>
      <c r="J141" s="2382">
        <f t="shared" ref="J141:N142" si="365">J118+J122</f>
        <v>0</v>
      </c>
      <c r="K141" s="2383">
        <f t="shared" si="365"/>
        <v>61</v>
      </c>
      <c r="L141" s="2383">
        <f t="shared" si="365"/>
        <v>68</v>
      </c>
      <c r="M141" s="2383">
        <f t="shared" si="365"/>
        <v>27</v>
      </c>
      <c r="N141" s="2384">
        <f t="shared" si="365"/>
        <v>0</v>
      </c>
      <c r="O141" s="1113">
        <f t="shared" si="362"/>
        <v>156</v>
      </c>
      <c r="R141" s="3515"/>
      <c r="S141" s="3556"/>
      <c r="T141" s="3556"/>
      <c r="U141" s="3556"/>
      <c r="V141" s="3516"/>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3356</v>
      </c>
      <c r="I142" s="84"/>
      <c r="J142" s="2385">
        <f t="shared" si="365"/>
        <v>0</v>
      </c>
      <c r="K142" s="2386">
        <f t="shared" si="365"/>
        <v>0</v>
      </c>
      <c r="L142" s="2386">
        <f t="shared" si="365"/>
        <v>0</v>
      </c>
      <c r="M142" s="2386">
        <f t="shared" si="365"/>
        <v>0</v>
      </c>
      <c r="N142" s="2387">
        <f t="shared" si="365"/>
        <v>0</v>
      </c>
      <c r="O142" s="1114">
        <f t="shared" si="362"/>
        <v>0</v>
      </c>
      <c r="P142" s="3575" t="s">
        <v>5034</v>
      </c>
      <c r="R142" s="3557"/>
      <c r="S142" s="3558"/>
      <c r="T142" s="3558"/>
      <c r="U142" s="3558"/>
      <c r="V142" s="3559"/>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75"/>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2164</v>
      </c>
      <c r="C144" s="1"/>
      <c r="D144" s="1"/>
      <c r="E144" s="1"/>
      <c r="F144" s="1"/>
      <c r="G144" s="84"/>
      <c r="H144" s="40"/>
      <c r="I144" s="84"/>
      <c r="J144" s="696"/>
      <c r="K144" s="696"/>
      <c r="L144" s="696"/>
      <c r="M144" s="696"/>
      <c r="N144" s="696"/>
      <c r="O144" s="696"/>
      <c r="P144" s="3575"/>
      <c r="R144" s="3571" t="str">
        <f>B144</f>
        <v>Unit Square Footage:</v>
      </c>
      <c r="S144" s="3571"/>
      <c r="T144" s="3571"/>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2135</v>
      </c>
      <c r="D145" s="1"/>
      <c r="E145" s="1"/>
      <c r="F145" s="1"/>
      <c r="G145" s="84"/>
      <c r="H145" s="55" t="s">
        <v>4618</v>
      </c>
      <c r="I145" s="84"/>
      <c r="J145" s="2355">
        <f>EH48</f>
        <v>0</v>
      </c>
      <c r="K145" s="2356">
        <f>EI48</f>
        <v>5877</v>
      </c>
      <c r="L145" s="2356">
        <f>EJ48</f>
        <v>9630</v>
      </c>
      <c r="M145" s="2356">
        <f>EK48</f>
        <v>4460</v>
      </c>
      <c r="N145" s="2357">
        <f>EL48</f>
        <v>0</v>
      </c>
      <c r="O145" s="2287">
        <f t="shared" ref="O145:O151" si="366">SUM(J145:N145)</f>
        <v>19967</v>
      </c>
      <c r="P145" s="2604">
        <f t="shared" ref="P145:P151" si="367">IF(OR(O56=0,O56=""),"",O145/O56)</f>
        <v>868.13043478260875</v>
      </c>
      <c r="R145" s="3523"/>
      <c r="S145" s="3560"/>
      <c r="T145" s="3560"/>
      <c r="U145" s="3560"/>
      <c r="V145" s="3524"/>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4619</v>
      </c>
      <c r="I146" s="84"/>
      <c r="J146" s="2388">
        <f>EM48</f>
        <v>0</v>
      </c>
      <c r="K146" s="2389">
        <f>EN48</f>
        <v>0</v>
      </c>
      <c r="L146" s="2389">
        <f>EO48</f>
        <v>0</v>
      </c>
      <c r="M146" s="2389">
        <f>EP48</f>
        <v>0</v>
      </c>
      <c r="N146" s="2390">
        <f>EQ48</f>
        <v>0</v>
      </c>
      <c r="O146" s="2288">
        <f t="shared" si="366"/>
        <v>0</v>
      </c>
      <c r="P146" s="2604" t="str">
        <f t="shared" si="367"/>
        <v/>
      </c>
      <c r="R146" s="3515"/>
      <c r="S146" s="3556"/>
      <c r="T146" s="3556"/>
      <c r="U146" s="3556"/>
      <c r="V146" s="3516"/>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22202</v>
      </c>
      <c r="L147" s="2389">
        <f>ET48</f>
        <v>36594</v>
      </c>
      <c r="M147" s="2389">
        <f>EU48</f>
        <v>16725</v>
      </c>
      <c r="N147" s="2390">
        <f>EV48</f>
        <v>0</v>
      </c>
      <c r="O147" s="2288">
        <f t="shared" si="366"/>
        <v>75521</v>
      </c>
      <c r="P147" s="2604">
        <f t="shared" si="367"/>
        <v>868.05747126436779</v>
      </c>
      <c r="R147" s="3515"/>
      <c r="S147" s="3556"/>
      <c r="T147" s="3556"/>
      <c r="U147" s="3556"/>
      <c r="V147" s="3516"/>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11754</v>
      </c>
      <c r="L148" s="2588">
        <f>EY48</f>
        <v>19260</v>
      </c>
      <c r="M148" s="2588">
        <f>EZ48</f>
        <v>8920</v>
      </c>
      <c r="N148" s="2589">
        <f>FA48</f>
        <v>0</v>
      </c>
      <c r="O148" s="2590">
        <f t="shared" si="366"/>
        <v>39934</v>
      </c>
      <c r="P148" s="2604">
        <f t="shared" si="367"/>
        <v>868.13043478260875</v>
      </c>
      <c r="R148" s="3515"/>
      <c r="S148" s="3556"/>
      <c r="T148" s="3556"/>
      <c r="U148" s="3556"/>
      <c r="V148" s="3516"/>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4620</v>
      </c>
      <c r="I149" s="1433"/>
      <c r="J149" s="2388">
        <f>FB48</f>
        <v>0</v>
      </c>
      <c r="K149" s="2389">
        <f>FC48</f>
        <v>0</v>
      </c>
      <c r="L149" s="2389">
        <f>FD48</f>
        <v>0</v>
      </c>
      <c r="M149" s="2389">
        <f>FE48</f>
        <v>0</v>
      </c>
      <c r="N149" s="2390">
        <f>FF48</f>
        <v>0</v>
      </c>
      <c r="O149" s="2288">
        <f t="shared" si="366"/>
        <v>0</v>
      </c>
      <c r="P149" s="2604" t="str">
        <f t="shared" si="367"/>
        <v/>
      </c>
      <c r="R149" s="3515"/>
      <c r="S149" s="3556"/>
      <c r="T149" s="3556"/>
      <c r="U149" s="3556"/>
      <c r="V149" s="3516"/>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4621</v>
      </c>
      <c r="I150" s="84"/>
      <c r="J150" s="2388">
        <f>FG48</f>
        <v>0</v>
      </c>
      <c r="K150" s="2389">
        <f>FH48</f>
        <v>0</v>
      </c>
      <c r="L150" s="2389">
        <f>FI48</f>
        <v>0</v>
      </c>
      <c r="M150" s="2389">
        <f>FJ48</f>
        <v>0</v>
      </c>
      <c r="N150" s="2390">
        <f>FK48</f>
        <v>0</v>
      </c>
      <c r="O150" s="2288">
        <f t="shared" si="366"/>
        <v>0</v>
      </c>
      <c r="P150" s="2604" t="str">
        <f t="shared" si="367"/>
        <v/>
      </c>
      <c r="R150" s="3515"/>
      <c r="S150" s="3556"/>
      <c r="T150" s="3556"/>
      <c r="U150" s="3556"/>
      <c r="V150" s="3516"/>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4622</v>
      </c>
      <c r="I151" s="84"/>
      <c r="J151" s="2361">
        <f>FL48</f>
        <v>0</v>
      </c>
      <c r="K151" s="2362">
        <f>FM48</f>
        <v>0</v>
      </c>
      <c r="L151" s="2362">
        <f>FN48</f>
        <v>0</v>
      </c>
      <c r="M151" s="2362">
        <f>FO48</f>
        <v>0</v>
      </c>
      <c r="N151" s="2363">
        <f>FP48</f>
        <v>0</v>
      </c>
      <c r="O151" s="2289">
        <f t="shared" si="366"/>
        <v>0</v>
      </c>
      <c r="P151" s="2604" t="str">
        <f t="shared" si="367"/>
        <v/>
      </c>
      <c r="R151" s="3515"/>
      <c r="S151" s="3556"/>
      <c r="T151" s="3556"/>
      <c r="U151" s="3556"/>
      <c r="V151" s="3516"/>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4703</v>
      </c>
      <c r="I152" s="84"/>
      <c r="J152" s="2297">
        <f>SUM(J145:J151)</f>
        <v>0</v>
      </c>
      <c r="K152" s="2297">
        <f>SUM(K145:K151)</f>
        <v>39833</v>
      </c>
      <c r="L152" s="2297">
        <f>SUM(L145:L151)</f>
        <v>65484</v>
      </c>
      <c r="M152" s="2297">
        <f>SUM(M145:M151)</f>
        <v>30105</v>
      </c>
      <c r="N152" s="2297">
        <f>SUM(N145:N151)</f>
        <v>0</v>
      </c>
      <c r="O152" s="2297">
        <f>SUM(J152:N152)</f>
        <v>135422</v>
      </c>
      <c r="R152" s="3515"/>
      <c r="S152" s="3556"/>
      <c r="T152" s="3556"/>
      <c r="U152" s="3556"/>
      <c r="V152" s="3516"/>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15"/>
      <c r="S153" s="3556"/>
      <c r="T153" s="3556"/>
      <c r="U153" s="3556"/>
      <c r="V153" s="3516"/>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39833</v>
      </c>
      <c r="L154" s="2296">
        <f>SUM(L152:L153)</f>
        <v>65484</v>
      </c>
      <c r="M154" s="2296">
        <f>SUM(M152:M153)</f>
        <v>30105</v>
      </c>
      <c r="N154" s="2296">
        <f>SUM(N152:N153)</f>
        <v>0</v>
      </c>
      <c r="O154" s="2296">
        <f>SUM(J154:N154)</f>
        <v>135422</v>
      </c>
      <c r="R154" s="3515"/>
      <c r="S154" s="3556"/>
      <c r="T154" s="3556"/>
      <c r="U154" s="3556"/>
      <c r="V154" s="3516"/>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2510</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15"/>
      <c r="S155" s="3556"/>
      <c r="T155" s="3556"/>
      <c r="U155" s="3556"/>
      <c r="V155" s="3516"/>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39833</v>
      </c>
      <c r="L156" s="2294">
        <f>SUM(L154:L155)</f>
        <v>65484</v>
      </c>
      <c r="M156" s="2294">
        <f>SUM(M154:M155)</f>
        <v>30105</v>
      </c>
      <c r="N156" s="2294">
        <f>SUM(N154:N155)</f>
        <v>0</v>
      </c>
      <c r="O156" s="2294">
        <f>SUM(J156:N156)</f>
        <v>135422</v>
      </c>
      <c r="R156" s="3557"/>
      <c r="S156" s="3558"/>
      <c r="T156" s="3558"/>
      <c r="U156" s="3558"/>
      <c r="V156" s="3559"/>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5029</v>
      </c>
      <c r="D159" s="1"/>
      <c r="E159" s="1"/>
      <c r="F159" s="1"/>
      <c r="G159" s="1"/>
      <c r="H159" s="1"/>
      <c r="I159" s="1"/>
      <c r="J159" s="2603" t="str">
        <f>IF(OR(J67="",J67=0),"",J156/J67)</f>
        <v/>
      </c>
      <c r="K159" s="2603">
        <f>IF(OR(K67="",K67=0),"",K156/K67)</f>
        <v>653</v>
      </c>
      <c r="L159" s="2603">
        <f>IF(OR(L67="",L67=0),"",L156/L67)</f>
        <v>963</v>
      </c>
      <c r="M159" s="2603">
        <f>IF(OR(M67="",M67=0),"",M156/M67)</f>
        <v>1115</v>
      </c>
      <c r="N159" s="2603" t="str">
        <f>IF(OR(N67="",N67=0),"",N156/N67)</f>
        <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1844</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30">
        <f>'Part VII-Pro Forma'!B9*L49</f>
        <v>33289.199999999997</v>
      </c>
      <c r="I173" s="3531"/>
      <c r="J173" s="91"/>
      <c r="K173" s="554" t="s">
        <v>2741</v>
      </c>
      <c r="L173" s="91"/>
      <c r="M173" s="91"/>
      <c r="N173" s="91"/>
      <c r="O173" s="1051">
        <f>H173/L49</f>
        <v>1.9999999999999997E-2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2285</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523"/>
      <c r="S177" s="3560"/>
      <c r="T177" s="3560"/>
      <c r="U177" s="3560"/>
      <c r="V177" s="3524"/>
    </row>
    <row r="178" spans="2:22" ht="13.5" customHeight="1">
      <c r="B178" s="114" t="s">
        <v>741</v>
      </c>
      <c r="C178" s="3525"/>
      <c r="D178" s="3526"/>
      <c r="E178" s="3526"/>
      <c r="F178" s="3527"/>
      <c r="G178" s="1059"/>
      <c r="H178" s="1059"/>
      <c r="I178" s="1059"/>
      <c r="J178" s="1059"/>
      <c r="K178" s="1060"/>
      <c r="L178" s="1059"/>
      <c r="M178" s="1059"/>
      <c r="N178" s="1059"/>
      <c r="O178" s="1059"/>
      <c r="P178" s="1059"/>
      <c r="Q178" s="998"/>
      <c r="R178" s="3515"/>
      <c r="S178" s="3556"/>
      <c r="T178" s="3556"/>
      <c r="U178" s="3556"/>
      <c r="V178" s="3516"/>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57"/>
      <c r="S179" s="3558"/>
      <c r="T179" s="3558"/>
      <c r="U179" s="3558"/>
      <c r="V179" s="3559"/>
    </row>
    <row r="180" spans="2:22" ht="13.5" customHeight="1">
      <c r="B180" s="1062" t="s">
        <v>3671</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523"/>
      <c r="S181" s="3560"/>
      <c r="T181" s="3560"/>
      <c r="U181" s="3560"/>
      <c r="V181" s="3524"/>
    </row>
    <row r="182" spans="2:22" ht="13.5" customHeight="1">
      <c r="B182" s="114" t="s">
        <v>741</v>
      </c>
      <c r="C182" s="3525"/>
      <c r="D182" s="3526"/>
      <c r="E182" s="3526"/>
      <c r="F182" s="3527"/>
      <c r="G182" s="1059"/>
      <c r="H182" s="1059"/>
      <c r="I182" s="1059"/>
      <c r="J182" s="1059"/>
      <c r="K182" s="1060"/>
      <c r="L182" s="1059"/>
      <c r="M182" s="1059"/>
      <c r="N182" s="1059"/>
      <c r="O182" s="1059"/>
      <c r="P182" s="1059"/>
      <c r="Q182" s="998"/>
      <c r="R182" s="3515"/>
      <c r="S182" s="3556"/>
      <c r="T182" s="3556"/>
      <c r="U182" s="3556"/>
      <c r="V182" s="3516"/>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57"/>
      <c r="S183" s="3558"/>
      <c r="T183" s="3558"/>
      <c r="U183" s="3558"/>
      <c r="V183" s="3559"/>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2285</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2621</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523"/>
      <c r="S186" s="3560"/>
      <c r="T186" s="3560"/>
      <c r="U186" s="3560"/>
      <c r="V186" s="3524"/>
    </row>
    <row r="187" spans="2:22" ht="13.5" customHeight="1">
      <c r="B187" s="114" t="s">
        <v>741</v>
      </c>
      <c r="C187" s="3525"/>
      <c r="D187" s="3526"/>
      <c r="E187" s="3526"/>
      <c r="F187" s="3527"/>
      <c r="G187" s="1059"/>
      <c r="H187" s="1059"/>
      <c r="I187" s="1059"/>
      <c r="J187" s="1059"/>
      <c r="K187" s="1060"/>
      <c r="L187" s="1059"/>
      <c r="M187" s="1059"/>
      <c r="N187" s="1059"/>
      <c r="O187" s="1059"/>
      <c r="P187" s="1059"/>
      <c r="Q187" s="998"/>
      <c r="R187" s="3515"/>
      <c r="S187" s="3556"/>
      <c r="T187" s="3556"/>
      <c r="U187" s="3556"/>
      <c r="V187" s="3516"/>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57"/>
      <c r="S188" s="3558"/>
      <c r="T188" s="3558"/>
      <c r="U188" s="3558"/>
      <c r="V188" s="3559"/>
    </row>
    <row r="189" spans="2:22" ht="13.5" customHeight="1">
      <c r="B189" s="1062" t="s">
        <v>3671</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523"/>
      <c r="S190" s="3560"/>
      <c r="T190" s="3560"/>
      <c r="U190" s="3560"/>
      <c r="V190" s="3524"/>
    </row>
    <row r="191" spans="2:22" ht="13.5" customHeight="1">
      <c r="B191" s="114" t="s">
        <v>741</v>
      </c>
      <c r="C191" s="3525"/>
      <c r="D191" s="3526"/>
      <c r="E191" s="3526"/>
      <c r="F191" s="3527"/>
      <c r="G191" s="1059"/>
      <c r="H191" s="1059"/>
      <c r="I191" s="1059"/>
      <c r="J191" s="1059"/>
      <c r="K191" s="1060"/>
      <c r="L191" s="1059"/>
      <c r="M191" s="1059"/>
      <c r="N191" s="1059"/>
      <c r="O191" s="1059"/>
      <c r="P191" s="1059"/>
      <c r="Q191" s="998"/>
      <c r="R191" s="3515"/>
      <c r="S191" s="3556"/>
      <c r="T191" s="3556"/>
      <c r="U191" s="3556"/>
      <c r="V191" s="3516"/>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57"/>
      <c r="S192" s="3558"/>
      <c r="T192" s="3558"/>
      <c r="U192" s="3558"/>
      <c r="V192" s="3559"/>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2285</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2622</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523"/>
      <c r="S195" s="3560"/>
      <c r="T195" s="3560"/>
      <c r="U195" s="3560"/>
      <c r="V195" s="3524"/>
    </row>
    <row r="196" spans="2:22" ht="13.5" customHeight="1">
      <c r="B196" s="114" t="s">
        <v>741</v>
      </c>
      <c r="C196" s="3525"/>
      <c r="D196" s="3526"/>
      <c r="E196" s="3526"/>
      <c r="F196" s="3527"/>
      <c r="G196" s="1059"/>
      <c r="H196" s="1059"/>
      <c r="I196" s="1059"/>
      <c r="J196" s="1059"/>
      <c r="K196" s="1060"/>
      <c r="L196" s="1059"/>
      <c r="M196" s="1059"/>
      <c r="N196" s="1059"/>
      <c r="O196" s="1059"/>
      <c r="P196" s="1059"/>
      <c r="Q196" s="998"/>
      <c r="R196" s="3515"/>
      <c r="S196" s="3556"/>
      <c r="T196" s="3556"/>
      <c r="U196" s="3556"/>
      <c r="V196" s="3516"/>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57"/>
      <c r="S197" s="3558"/>
      <c r="T197" s="3558"/>
      <c r="U197" s="3558"/>
      <c r="V197" s="3559"/>
    </row>
    <row r="198" spans="2:22" ht="13.5" customHeight="1">
      <c r="B198" s="1062" t="s">
        <v>3671</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523"/>
      <c r="S199" s="3560"/>
      <c r="T199" s="3560"/>
      <c r="U199" s="3560"/>
      <c r="V199" s="3524"/>
    </row>
    <row r="200" spans="2:22" ht="13.5" customHeight="1">
      <c r="B200" s="114" t="s">
        <v>741</v>
      </c>
      <c r="C200" s="3525"/>
      <c r="D200" s="3526"/>
      <c r="E200" s="3526"/>
      <c r="F200" s="3527"/>
      <c r="G200" s="1059"/>
      <c r="H200" s="1059"/>
      <c r="I200" s="1059"/>
      <c r="J200" s="1059"/>
      <c r="K200" s="1060"/>
      <c r="L200" s="1059"/>
      <c r="M200" s="1059"/>
      <c r="N200" s="1059"/>
      <c r="O200" s="1059"/>
      <c r="P200" s="1059"/>
      <c r="Q200" s="998"/>
      <c r="R200" s="3515"/>
      <c r="S200" s="3556"/>
      <c r="T200" s="3556"/>
      <c r="U200" s="3556"/>
      <c r="V200" s="3516"/>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57"/>
      <c r="S201" s="3558"/>
      <c r="T201" s="3558"/>
      <c r="U201" s="3558"/>
      <c r="V201" s="3559"/>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2285</v>
      </c>
      <c r="C203" s="91"/>
      <c r="D203" s="91"/>
      <c r="E203" s="91"/>
      <c r="F203" s="91"/>
      <c r="G203" s="1055">
        <v>31</v>
      </c>
      <c r="H203" s="1055">
        <v>32</v>
      </c>
      <c r="I203" s="1055">
        <v>33</v>
      </c>
      <c r="J203" s="1055">
        <v>34</v>
      </c>
      <c r="K203" s="1055">
        <v>35</v>
      </c>
      <c r="L203" s="91"/>
      <c r="M203" s="91"/>
      <c r="N203" s="91"/>
      <c r="O203" s="91"/>
      <c r="P203" s="91"/>
      <c r="R203" s="142" t="s">
        <v>2622</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523"/>
      <c r="S204" s="3560"/>
      <c r="T204" s="3560"/>
      <c r="U204" s="3560"/>
      <c r="V204" s="3524"/>
    </row>
    <row r="205" spans="2:22" ht="13.5" customHeight="1">
      <c r="B205" s="114" t="s">
        <v>741</v>
      </c>
      <c r="C205" s="3525"/>
      <c r="D205" s="3526"/>
      <c r="E205" s="3526"/>
      <c r="F205" s="3527"/>
      <c r="G205" s="1059"/>
      <c r="H205" s="1059"/>
      <c r="I205" s="1059"/>
      <c r="J205" s="1059"/>
      <c r="K205" s="1060"/>
      <c r="L205" s="91"/>
      <c r="M205" s="91"/>
      <c r="N205" s="91"/>
      <c r="O205" s="91"/>
      <c r="P205" s="91"/>
      <c r="Q205" s="8"/>
      <c r="R205" s="3515"/>
      <c r="S205" s="3556"/>
      <c r="T205" s="3556"/>
      <c r="U205" s="3556"/>
      <c r="V205" s="3516"/>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57"/>
      <c r="S206" s="3558"/>
      <c r="T206" s="3558"/>
      <c r="U206" s="3558"/>
      <c r="V206" s="3559"/>
    </row>
    <row r="207" spans="2:22" ht="13.5" customHeight="1">
      <c r="B207" s="1062" t="s">
        <v>3671</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523"/>
      <c r="S208" s="3560"/>
      <c r="T208" s="3560"/>
      <c r="U208" s="3560"/>
      <c r="V208" s="3524"/>
    </row>
    <row r="209" spans="1:492" ht="13.5" customHeight="1">
      <c r="B209" s="114" t="s">
        <v>741</v>
      </c>
      <c r="C209" s="3525"/>
      <c r="D209" s="3526"/>
      <c r="E209" s="3526"/>
      <c r="F209" s="3527"/>
      <c r="G209" s="1059"/>
      <c r="H209" s="1059"/>
      <c r="I209" s="1059"/>
      <c r="J209" s="1059"/>
      <c r="K209" s="1060"/>
      <c r="L209" s="91"/>
      <c r="M209" s="91"/>
      <c r="N209" s="91"/>
      <c r="O209" s="91"/>
      <c r="P209" s="91"/>
      <c r="Q209" s="8"/>
      <c r="R209" s="3515"/>
      <c r="S209" s="3556"/>
      <c r="T209" s="3556"/>
      <c r="U209" s="3556"/>
      <c r="V209" s="3516"/>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57"/>
      <c r="S210" s="3558"/>
      <c r="T210" s="3558"/>
      <c r="U210" s="3558"/>
      <c r="V210" s="3559"/>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1844</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23"/>
      <c r="S214" s="3560"/>
      <c r="T214" s="3560"/>
      <c r="U214" s="3560"/>
      <c r="V214" s="3524"/>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2195</v>
      </c>
      <c r="C215" s="1"/>
      <c r="D215" s="1"/>
      <c r="E215" s="1"/>
      <c r="F215" s="3534">
        <v>77568</v>
      </c>
      <c r="G215" s="3535"/>
      <c r="H215" s="1"/>
      <c r="I215" s="1" t="s">
        <v>1378</v>
      </c>
      <c r="J215" s="1"/>
      <c r="K215" s="3534"/>
      <c r="L215" s="3535"/>
      <c r="M215" s="1"/>
      <c r="N215" s="1" t="s">
        <v>929</v>
      </c>
      <c r="O215" s="1"/>
      <c r="P215" s="2543">
        <v>179014</v>
      </c>
      <c r="Q215" s="998"/>
      <c r="R215" s="3515"/>
      <c r="S215" s="3556"/>
      <c r="T215" s="3556"/>
      <c r="U215" s="3556"/>
      <c r="V215" s="3516"/>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36">
        <v>80000</v>
      </c>
      <c r="G216" s="3537"/>
      <c r="H216" s="1"/>
      <c r="I216" s="1" t="s">
        <v>1379</v>
      </c>
      <c r="J216" s="1"/>
      <c r="K216" s="3538"/>
      <c r="L216" s="3539"/>
      <c r="M216" s="1"/>
      <c r="N216" s="1" t="s">
        <v>147</v>
      </c>
      <c r="O216" s="1"/>
      <c r="P216" s="2544">
        <v>41670</v>
      </c>
      <c r="Q216" s="998"/>
      <c r="R216" s="3515"/>
      <c r="S216" s="3556"/>
      <c r="T216" s="3556"/>
      <c r="U216" s="3556"/>
      <c r="V216" s="3516"/>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36"/>
      <c r="G217" s="3537"/>
      <c r="H217" s="1"/>
      <c r="I217" s="1"/>
      <c r="J217" s="126" t="s">
        <v>191</v>
      </c>
      <c r="K217" s="3548">
        <f>SUM(K215:L216)</f>
        <v>0</v>
      </c>
      <c r="L217" s="3549"/>
      <c r="M217" s="1"/>
      <c r="N217" s="3540" t="s">
        <v>51</v>
      </c>
      <c r="O217" s="3541"/>
      <c r="P217" s="2545"/>
      <c r="Q217" s="998"/>
      <c r="R217" s="3515"/>
      <c r="S217" s="3556"/>
      <c r="T217" s="3556"/>
      <c r="U217" s="3556"/>
      <c r="V217" s="3516"/>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50" t="s">
        <v>5300</v>
      </c>
      <c r="C218" s="3551"/>
      <c r="D218" s="3551"/>
      <c r="E218" s="3552"/>
      <c r="F218" s="3538">
        <v>68252</v>
      </c>
      <c r="G218" s="3539"/>
      <c r="H218" s="1"/>
      <c r="I218" s="1"/>
      <c r="J218" s="1"/>
      <c r="K218" s="1"/>
      <c r="L218" s="1"/>
      <c r="M218" s="1"/>
      <c r="N218" s="11" t="s">
        <v>191</v>
      </c>
      <c r="O218" s="1"/>
      <c r="P218" s="464">
        <f>SUM(P215:P217)</f>
        <v>220684</v>
      </c>
      <c r="Q218" s="993"/>
      <c r="R218" s="3515"/>
      <c r="S218" s="3556"/>
      <c r="T218" s="3556"/>
      <c r="U218" s="3556"/>
      <c r="V218" s="3516"/>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48">
        <f>SUM(F215:G218)</f>
        <v>225820</v>
      </c>
      <c r="G219" s="3549"/>
      <c r="H219" s="1"/>
      <c r="I219" s="1"/>
      <c r="J219" s="12"/>
      <c r="K219" s="1"/>
      <c r="L219" s="1"/>
      <c r="M219" s="1"/>
      <c r="N219" s="1"/>
      <c r="O219" s="1"/>
      <c r="P219" s="1"/>
      <c r="Q219" s="1"/>
      <c r="R219" s="3515"/>
      <c r="S219" s="3556"/>
      <c r="T219" s="3556"/>
      <c r="U219" s="3556"/>
      <c r="V219" s="3516"/>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5"/>
      <c r="S220" s="3556"/>
      <c r="T220" s="3556"/>
      <c r="U220" s="3556"/>
      <c r="V220" s="3516"/>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78945</v>
      </c>
      <c r="Q221" s="994"/>
      <c r="R221" s="3515"/>
      <c r="S221" s="3556"/>
      <c r="T221" s="3556"/>
      <c r="U221" s="3556"/>
      <c r="V221" s="3516"/>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34">
        <v>4800</v>
      </c>
      <c r="G222" s="3535"/>
      <c r="H222" s="1"/>
      <c r="I222" s="1" t="s">
        <v>1602</v>
      </c>
      <c r="J222" s="1"/>
      <c r="K222" s="3544">
        <v>5000</v>
      </c>
      <c r="L222" s="3545"/>
      <c r="M222" s="1"/>
      <c r="N222" s="452">
        <f>+P221/(O67*0.93)</f>
        <v>544.1480562448304</v>
      </c>
      <c r="O222" s="67" t="s">
        <v>2755</v>
      </c>
      <c r="P222" s="1"/>
      <c r="Q222" s="1"/>
      <c r="R222" s="3515"/>
      <c r="S222" s="3556"/>
      <c r="T222" s="3556"/>
      <c r="U222" s="3556"/>
      <c r="V222" s="3516"/>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36">
        <v>9600</v>
      </c>
      <c r="G223" s="3537"/>
      <c r="H223" s="1"/>
      <c r="I223" s="1" t="s">
        <v>2048</v>
      </c>
      <c r="J223" s="1"/>
      <c r="K223" s="3546">
        <v>10000</v>
      </c>
      <c r="L223" s="3547"/>
      <c r="M223" s="1"/>
      <c r="N223" s="452">
        <f>+P221/(O67*0.93)/12</f>
        <v>45.345671353735867</v>
      </c>
      <c r="O223" s="67" t="s">
        <v>2756</v>
      </c>
      <c r="P223" s="1"/>
      <c r="Q223" s="1"/>
      <c r="R223" s="3515"/>
      <c r="S223" s="3556"/>
      <c r="T223" s="3556"/>
      <c r="U223" s="3556"/>
      <c r="V223" s="3516"/>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36"/>
      <c r="G224" s="3537"/>
      <c r="H224" s="1"/>
      <c r="I224" s="1" t="s">
        <v>1603</v>
      </c>
      <c r="J224" s="1"/>
      <c r="K224" s="3546">
        <v>5000</v>
      </c>
      <c r="L224" s="3547"/>
      <c r="M224" s="1"/>
      <c r="N224" s="36" t="s">
        <v>3728</v>
      </c>
      <c r="O224" s="1129"/>
      <c r="P224" s="1129"/>
      <c r="Q224" s="1427"/>
      <c r="R224" s="3515"/>
      <c r="S224" s="3556"/>
      <c r="T224" s="3556"/>
      <c r="U224" s="3556"/>
      <c r="V224" s="3516"/>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2340</v>
      </c>
      <c r="C225" s="1"/>
      <c r="D225" s="9"/>
      <c r="E225" s="1"/>
      <c r="F225" s="3536"/>
      <c r="G225" s="3537"/>
      <c r="H225" s="1"/>
      <c r="I225" s="3540" t="s">
        <v>5302</v>
      </c>
      <c r="J225" s="3541"/>
      <c r="K225" s="3542">
        <v>2500</v>
      </c>
      <c r="L225" s="3543"/>
      <c r="M225" s="1"/>
      <c r="N225" s="1129"/>
      <c r="O225" s="1129"/>
      <c r="P225" s="1129"/>
      <c r="Q225" s="1427"/>
      <c r="R225" s="3515"/>
      <c r="S225" s="3556"/>
      <c r="T225" s="3556"/>
      <c r="U225" s="3556"/>
      <c r="V225" s="3516"/>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36"/>
      <c r="G226" s="3537"/>
      <c r="H226" s="1"/>
      <c r="I226" s="10"/>
      <c r="J226" s="11" t="s">
        <v>191</v>
      </c>
      <c r="K226" s="3553">
        <f>SUM(K222:K225)</f>
        <v>22500</v>
      </c>
      <c r="L226" s="3554"/>
      <c r="M226" s="3555" t="str">
        <f>IF(P228="","",IF(P226&lt;P228, "WARNING! OE below required minimum.",""))</f>
        <v/>
      </c>
      <c r="N226" s="10" t="s">
        <v>2185</v>
      </c>
      <c r="O226" s="5"/>
      <c r="P226" s="462">
        <f>F219+F228+F239+K217+K226+K236+P218+P221</f>
        <v>841179</v>
      </c>
      <c r="R226" s="3515"/>
      <c r="S226" s="3556"/>
      <c r="T226" s="3556"/>
      <c r="U226" s="3556"/>
      <c r="V226" s="3516"/>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50" t="s">
        <v>5301</v>
      </c>
      <c r="C227" s="3551"/>
      <c r="D227" s="3551"/>
      <c r="E227" s="3552"/>
      <c r="F227" s="3538">
        <v>15200</v>
      </c>
      <c r="G227" s="3539"/>
      <c r="H227" s="1"/>
      <c r="I227" s="1"/>
      <c r="J227" s="12"/>
      <c r="K227" s="1"/>
      <c r="L227" s="1"/>
      <c r="M227" s="3555"/>
      <c r="N227" s="67" t="s">
        <v>2757</v>
      </c>
      <c r="O227" s="452">
        <f>+P226/O67</f>
        <v>5392.1730769230771</v>
      </c>
      <c r="Q227" s="993"/>
      <c r="R227" s="3515"/>
      <c r="S227" s="3556"/>
      <c r="T227" s="3556"/>
      <c r="U227" s="3556"/>
      <c r="V227" s="3516"/>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48">
        <f>SUM(F222:G227)</f>
        <v>29600</v>
      </c>
      <c r="G228" s="3549"/>
      <c r="H228" s="1"/>
      <c r="I228" s="1"/>
      <c r="J228" s="12"/>
      <c r="K228" s="1"/>
      <c r="L228" s="1"/>
      <c r="M228" s="3555"/>
      <c r="O228" s="1130" t="s">
        <v>3729</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780000</v>
      </c>
      <c r="R228" s="3515"/>
      <c r="S228" s="3556"/>
      <c r="T228" s="3556"/>
      <c r="U228" s="3556"/>
      <c r="V228" s="3516"/>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5"/>
      <c r="N229" s="1"/>
      <c r="O229" s="1"/>
      <c r="P229" s="5"/>
      <c r="Q229" s="5"/>
      <c r="R229" s="3515"/>
      <c r="S229" s="3556"/>
      <c r="T229" s="3556"/>
      <c r="U229" s="3556"/>
      <c r="V229" s="3516"/>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5013</v>
      </c>
      <c r="K230" s="1"/>
      <c r="L230" s="1"/>
      <c r="M230" s="1"/>
      <c r="N230" s="10" t="s">
        <v>3480</v>
      </c>
      <c r="O230" s="10"/>
      <c r="P230" s="1449">
        <v>46800</v>
      </c>
      <c r="Q230" s="994"/>
      <c r="R230" s="3515"/>
      <c r="S230" s="3556"/>
      <c r="T230" s="3556"/>
      <c r="U230" s="3556"/>
      <c r="V230" s="3516"/>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67">
        <v>12000</v>
      </c>
      <c r="G231" s="3568"/>
      <c r="H231" s="1"/>
      <c r="I231" s="1" t="s">
        <v>1368</v>
      </c>
      <c r="J231" s="524">
        <f>K231/12/O67</f>
        <v>24.03846153846154</v>
      </c>
      <c r="K231" s="3544">
        <v>45000</v>
      </c>
      <c r="L231" s="3545"/>
      <c r="M231" s="3563" t="str">
        <f>IF(P230&lt;P239, "WARNING! RR proposed is below the DCA required minimum.","")</f>
        <v/>
      </c>
      <c r="N231" s="1152" t="s">
        <v>5012</v>
      </c>
      <c r="O231" s="1147"/>
      <c r="P231" s="1153">
        <f>P230/O239</f>
        <v>300</v>
      </c>
      <c r="Q231" s="999"/>
      <c r="R231" s="3515"/>
      <c r="S231" s="3556"/>
      <c r="T231" s="3556"/>
      <c r="U231" s="3556"/>
      <c r="V231" s="3516"/>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69">
        <v>10000</v>
      </c>
      <c r="G232" s="3570"/>
      <c r="H232" s="1"/>
      <c r="I232" s="1" t="s">
        <v>1369</v>
      </c>
      <c r="J232" s="524">
        <f>K232/12/O67</f>
        <v>0</v>
      </c>
      <c r="K232" s="3546"/>
      <c r="L232" s="3547"/>
      <c r="M232" s="3563"/>
      <c r="N232" s="3564" t="s">
        <v>3736</v>
      </c>
      <c r="O232" s="3565"/>
      <c r="P232" s="3566"/>
      <c r="R232" s="3515"/>
      <c r="S232" s="3556"/>
      <c r="T232" s="3556"/>
      <c r="U232" s="3556"/>
      <c r="V232" s="3516"/>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69">
        <v>7500</v>
      </c>
      <c r="G233" s="3570"/>
      <c r="H233" s="1"/>
      <c r="I233" s="1" t="s">
        <v>2351</v>
      </c>
      <c r="J233" s="524">
        <f>K233/12/O67</f>
        <v>82.799145299145295</v>
      </c>
      <c r="K233" s="3546">
        <v>155000</v>
      </c>
      <c r="L233" s="3547"/>
      <c r="M233" s="3563"/>
      <c r="N233" s="1146" t="s">
        <v>2713</v>
      </c>
      <c r="O233" s="990" t="s">
        <v>3848</v>
      </c>
      <c r="P233" s="1148" t="s">
        <v>3437</v>
      </c>
      <c r="Q233" s="990"/>
      <c r="R233" s="3515"/>
      <c r="S233" s="3556"/>
      <c r="T233" s="3556"/>
      <c r="U233" s="3556"/>
      <c r="V233" s="3516"/>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36">
        <v>4800</v>
      </c>
      <c r="G234" s="3537"/>
      <c r="H234" s="1"/>
      <c r="I234" s="1" t="s">
        <v>1371</v>
      </c>
      <c r="J234" s="1"/>
      <c r="K234" s="3546">
        <v>16330</v>
      </c>
      <c r="L234" s="3547"/>
      <c r="M234" s="3563"/>
      <c r="N234" s="731" t="s">
        <v>39</v>
      </c>
      <c r="O234" s="732"/>
      <c r="P234" s="733"/>
      <c r="Q234" s="732"/>
      <c r="R234" s="3515"/>
      <c r="S234" s="3556"/>
      <c r="T234" s="3556"/>
      <c r="U234" s="3556"/>
      <c r="V234" s="3516"/>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36">
        <v>8000</v>
      </c>
      <c r="G235" s="3537"/>
      <c r="H235" s="1"/>
      <c r="I235" s="3540" t="s">
        <v>51</v>
      </c>
      <c r="J235" s="3541"/>
      <c r="K235" s="3542"/>
      <c r="L235" s="3543"/>
      <c r="M235" s="3563"/>
      <c r="N235" s="562" t="s">
        <v>3429</v>
      </c>
      <c r="O235" s="996" t="str">
        <f>CONCATENATE(SUM(ME48:MI48)," units x $",'DCA Underwriting Assumptions'!$Q$64," =")</f>
        <v>0 units x $350 =</v>
      </c>
      <c r="P235" s="734">
        <f>SUM(ME48:MI48)*'DCA Underwriting Assumptions'!$Q$64</f>
        <v>0</v>
      </c>
      <c r="Q235" s="996"/>
      <c r="R235" s="3515"/>
      <c r="S235" s="3556"/>
      <c r="T235" s="3556"/>
      <c r="U235" s="3556"/>
      <c r="V235" s="3516"/>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36"/>
      <c r="G236" s="3537"/>
      <c r="H236" s="1"/>
      <c r="I236" s="1"/>
      <c r="J236" s="11" t="s">
        <v>191</v>
      </c>
      <c r="K236" s="3553">
        <f>SUM(K231:K235)</f>
        <v>216330</v>
      </c>
      <c r="L236" s="3554"/>
      <c r="M236" s="3563"/>
      <c r="N236" s="562" t="s">
        <v>3428</v>
      </c>
      <c r="O236" s="996" t="str">
        <f>CONCATENATE(SUM(MJ48:MN48)," units x $",'DCA Underwriting Assumptions'!$Q$65," =")</f>
        <v>156 units x $250 =</v>
      </c>
      <c r="P236" s="734">
        <f>SUM(MJ48:MN48)*'DCA Underwriting Assumptions'!$Q$65</f>
        <v>39000</v>
      </c>
      <c r="Q236" s="996"/>
      <c r="R236" s="3515"/>
      <c r="S236" s="3556"/>
      <c r="T236" s="3556"/>
      <c r="U236" s="3556"/>
      <c r="V236" s="3516"/>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36">
        <v>5000</v>
      </c>
      <c r="G237" s="3537"/>
      <c r="H237" s="1"/>
      <c r="I237" s="1"/>
      <c r="J237" s="12"/>
      <c r="K237" s="1"/>
      <c r="L237" s="1"/>
      <c r="M237" s="3563"/>
      <c r="N237" s="735" t="s">
        <v>3432</v>
      </c>
      <c r="O237" s="996" t="str">
        <f>CONCATENATE(SUM(MO48:MS48)," units x $",'DCA Underwriting Assumptions'!$Q$66," =")</f>
        <v>0 units x $420 =</v>
      </c>
      <c r="P237" s="734">
        <f>SUM(MO48:MS48)*'DCA Underwriting Assumptions'!$Q$66</f>
        <v>0</v>
      </c>
      <c r="Q237" s="996"/>
      <c r="R237" s="3515"/>
      <c r="S237" s="3556"/>
      <c r="T237" s="3556"/>
      <c r="U237" s="3556"/>
      <c r="V237" s="3516"/>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50" t="s">
        <v>51</v>
      </c>
      <c r="C238" s="3551"/>
      <c r="D238" s="3551"/>
      <c r="E238" s="3552"/>
      <c r="F238" s="3538"/>
      <c r="G238" s="3539"/>
      <c r="H238" s="1"/>
      <c r="I238" s="1"/>
      <c r="J238" s="12"/>
      <c r="K238" s="1"/>
      <c r="L238" s="1"/>
      <c r="M238" s="1"/>
      <c r="N238" s="735" t="s">
        <v>3427</v>
      </c>
      <c r="O238" s="996" t="str">
        <f>CONCATENATE(O113," units x $",'DCA Underwriting Assumptions'!$Q$66," =")</f>
        <v>0 units x $420 =</v>
      </c>
      <c r="P238" s="734">
        <f>O113*'DCA Underwriting Assumptions'!$Q$66</f>
        <v>0</v>
      </c>
      <c r="Q238" s="996"/>
      <c r="R238" s="3515"/>
      <c r="S238" s="3556"/>
      <c r="T238" s="3556"/>
      <c r="U238" s="3556"/>
      <c r="V238" s="3516"/>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61">
        <f>SUM(F231:G238)</f>
        <v>47300</v>
      </c>
      <c r="G239" s="3562"/>
      <c r="H239" s="1"/>
      <c r="I239" s="1"/>
      <c r="J239" s="12"/>
      <c r="K239" s="1"/>
      <c r="L239" s="1"/>
      <c r="M239" s="1"/>
      <c r="N239" s="1149" t="s">
        <v>2716</v>
      </c>
      <c r="O239" s="1150">
        <f>SUM(ME48:MI48)+SUM(MJ48:MN48)+SUM(MO48:MS48)+O113</f>
        <v>156</v>
      </c>
      <c r="P239" s="1151">
        <f>SUM(P235:P238)</f>
        <v>39000</v>
      </c>
      <c r="Q239" s="996"/>
      <c r="R239" s="3557"/>
      <c r="S239" s="3558"/>
      <c r="T239" s="3558"/>
      <c r="U239" s="3558"/>
      <c r="V239" s="3559"/>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2186</v>
      </c>
      <c r="O241" s="1"/>
      <c r="P241" s="462">
        <f>P226+P230</f>
        <v>887979</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4998</v>
      </c>
      <c r="C243" s="11"/>
      <c r="D243" s="1"/>
      <c r="E243" s="1"/>
      <c r="F243" s="2581" t="s">
        <v>4999</v>
      </c>
      <c r="G243" s="12"/>
      <c r="H243" s="3493"/>
      <c r="I243" s="3494"/>
      <c r="J243" s="2702" t="s">
        <v>5072</v>
      </c>
      <c r="K243" s="2582"/>
      <c r="N243" s="10" t="s">
        <v>5002</v>
      </c>
      <c r="O243" s="1"/>
      <c r="P243" s="2617">
        <f>H243*K243</f>
        <v>0</v>
      </c>
      <c r="Q243" s="993"/>
      <c r="R243" s="3578"/>
      <c r="S243" s="3579"/>
      <c r="T243" s="3579"/>
      <c r="U243" s="3579"/>
      <c r="V243" s="3580"/>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5073</v>
      </c>
      <c r="C245" s="11"/>
      <c r="D245" s="1"/>
      <c r="E245" s="1"/>
      <c r="F245" s="12"/>
      <c r="G245" s="12"/>
      <c r="H245" s="1"/>
      <c r="I245" s="2683" t="s">
        <v>1771</v>
      </c>
      <c r="J245" s="2581" t="s">
        <v>5075</v>
      </c>
      <c r="K245" s="2683" t="s">
        <v>1771</v>
      </c>
      <c r="L245" s="73" t="s">
        <v>5076</v>
      </c>
      <c r="M245" s="2582"/>
      <c r="N245" s="533" t="s">
        <v>5074</v>
      </c>
      <c r="O245" s="1"/>
      <c r="P245" s="2703"/>
      <c r="Q245" s="993"/>
      <c r="R245" s="3578"/>
      <c r="S245" s="3579"/>
      <c r="T245" s="3579"/>
      <c r="U245" s="3579"/>
      <c r="V245" s="3580"/>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4105</v>
      </c>
      <c r="B247" s="13" t="s">
        <v>572</v>
      </c>
      <c r="M247" s="13" t="s">
        <v>4997</v>
      </c>
      <c r="N247" s="13"/>
    </row>
    <row r="248" spans="1:492" ht="408.75" customHeight="1">
      <c r="A248" s="3287" t="s">
        <v>5303</v>
      </c>
      <c r="B248" s="3287"/>
      <c r="C248" s="3287"/>
      <c r="D248" s="3287"/>
      <c r="E248" s="3287"/>
      <c r="F248" s="3287"/>
      <c r="G248" s="3287"/>
      <c r="H248" s="3287"/>
      <c r="I248" s="3287"/>
      <c r="J248" s="3287"/>
      <c r="K248" s="3287"/>
      <c r="L248" s="3287"/>
      <c r="M248" s="3286"/>
      <c r="N248" s="3286"/>
      <c r="O248" s="3286"/>
      <c r="P248" s="3286"/>
      <c r="Q248" s="3572" t="s">
        <v>4104</v>
      </c>
      <c r="R248" s="2881"/>
      <c r="S248" s="2881"/>
      <c r="T248" s="2881"/>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formula1>"&lt;Select&gt;,Fixed,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I245 K245">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topLeftCell="A4" zoomScaleNormal="100" workbookViewId="0">
      <selection activeCell="M18" sqref="M18"/>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88" t="str">
        <f>CONCATENATE("PART SEVEN - OPERATING PRO FORMA","  -  ",'Part I-Project Information'!$O$6," ",'Part I-Project Information'!$F$34,", ",'Part I-Project Information'!F38,", ",'Part I-Project Information'!J39," County")</f>
        <v>PART SEVEN - OPERATING PRO FORMA  -  2019-5 55 Milton, Atlanta, Fulton County</v>
      </c>
      <c r="B1" s="3589"/>
      <c r="C1" s="3589"/>
      <c r="D1" s="3589"/>
      <c r="E1" s="3589"/>
      <c r="F1" s="3589"/>
      <c r="G1" s="3589"/>
      <c r="H1" s="3589"/>
      <c r="I1" s="3589"/>
      <c r="J1" s="3589"/>
      <c r="K1" s="3590"/>
      <c r="L1" s="10"/>
      <c r="M1" s="10"/>
      <c r="N1" s="3591" t="str">
        <f>A1</f>
        <v>PART SEVEN - OPERATING PRO FORMA  -  2019-5 55 Milton, Atlanta, Fulton County</v>
      </c>
      <c r="O1" s="3591"/>
      <c r="P1" s="10"/>
    </row>
    <row r="2" spans="1:19" ht="13.5" customHeight="1">
      <c r="A2" s="556"/>
      <c r="B2" s="556"/>
      <c r="C2" s="556"/>
      <c r="D2" s="556"/>
      <c r="E2" s="556"/>
      <c r="F2" s="556"/>
      <c r="G2" s="556"/>
      <c r="H2" s="556"/>
      <c r="I2" s="556"/>
      <c r="J2" s="556"/>
      <c r="K2" s="556"/>
      <c r="N2" s="3592" t="s">
        <v>1844</v>
      </c>
      <c r="O2" s="3592"/>
    </row>
    <row r="3" spans="1:19" ht="13.5" customHeight="1">
      <c r="A3" s="13" t="s">
        <v>90</v>
      </c>
      <c r="C3" s="3593" t="str">
        <f>'Part I-Project Information'!$B$6</f>
        <v>May 2019 Final</v>
      </c>
      <c r="D3" s="1526" t="s">
        <v>80</v>
      </c>
      <c r="E3" s="243"/>
      <c r="F3" s="1527" t="s">
        <v>4180</v>
      </c>
      <c r="N3" s="13" t="str">
        <f>A3</f>
        <v>I.  OPERATING ASSUMPTIONS</v>
      </c>
      <c r="O3" s="31"/>
    </row>
    <row r="4" spans="1:19" ht="2.4500000000000002" customHeight="1">
      <c r="A4" s="16"/>
      <c r="B4" s="16"/>
      <c r="C4" s="3593"/>
      <c r="H4" s="16"/>
      <c r="I4" s="16"/>
    </row>
    <row r="5" spans="1:19" ht="13.5" customHeight="1">
      <c r="A5" s="16" t="s">
        <v>2187</v>
      </c>
      <c r="B5" s="78">
        <v>0.02</v>
      </c>
      <c r="C5" s="3593"/>
      <c r="D5" s="3529" t="s">
        <v>4181</v>
      </c>
      <c r="E5" s="3529"/>
      <c r="F5" s="3529"/>
      <c r="G5" s="81">
        <v>5000</v>
      </c>
      <c r="H5" s="99" t="s">
        <v>1906</v>
      </c>
      <c r="K5" s="104">
        <f>IF(($B$14+$B$15+$B$16+$B$17)=0,"",B30/($B$14+$B$15+$B$16+$B$17))</f>
        <v>-3.1667481192283907E-3</v>
      </c>
      <c r="N5" s="3523"/>
      <c r="O5" s="3524"/>
    </row>
    <row r="6" spans="1:19">
      <c r="A6" s="16" t="s">
        <v>2188</v>
      </c>
      <c r="B6" s="78">
        <v>0.03</v>
      </c>
      <c r="C6" s="3593"/>
      <c r="D6" s="3529"/>
      <c r="E6" s="3529"/>
      <c r="F6" s="3529"/>
      <c r="G6" s="1528">
        <f>IF(OR('Part III-Sources of Funds'!E5="Yes",'Part III-Sources of Funds'!H5&gt;0),'DCA Underwriting Assumptions'!$Q$96,0)</f>
        <v>0</v>
      </c>
      <c r="H6" s="16"/>
      <c r="I6" s="16"/>
      <c r="J6" s="16"/>
      <c r="K6" s="16"/>
      <c r="N6" s="3515"/>
      <c r="O6" s="3516"/>
    </row>
    <row r="7" spans="1:19">
      <c r="A7" s="16" t="s">
        <v>2190</v>
      </c>
      <c r="B7" s="78">
        <v>0.03</v>
      </c>
      <c r="C7" s="3593"/>
      <c r="D7" s="80" t="s">
        <v>270</v>
      </c>
      <c r="G7" s="83"/>
      <c r="H7" s="99" t="s">
        <v>2373</v>
      </c>
      <c r="K7" s="104">
        <f>IF(($B$14+$B$15+$B$16+$B$17)=0,"",-B21/($B$14+$B$15+$B$16+$B$17))</f>
        <v>4.9999786054497064E-2</v>
      </c>
      <c r="N7" s="3515"/>
      <c r="O7" s="3516"/>
    </row>
    <row r="8" spans="1:19" ht="13.35" customHeight="1">
      <c r="A8" s="16" t="s">
        <v>2189</v>
      </c>
      <c r="B8" s="249">
        <v>7.0000000000000007E-2</v>
      </c>
      <c r="C8" s="2560" t="str">
        <f>IF(B8&lt;0.07, "Must be &gt;= 7%!","")</f>
        <v/>
      </c>
      <c r="D8" s="79" t="s">
        <v>2507</v>
      </c>
      <c r="G8" s="2592" t="s">
        <v>2989</v>
      </c>
      <c r="H8" s="182" t="s">
        <v>1444</v>
      </c>
      <c r="K8" s="2594">
        <v>78945</v>
      </c>
      <c r="N8" s="3515"/>
      <c r="O8" s="3516"/>
    </row>
    <row r="9" spans="1:19">
      <c r="A9" s="16" t="s">
        <v>1418</v>
      </c>
      <c r="B9" s="78">
        <v>0.02</v>
      </c>
      <c r="D9" s="79" t="s">
        <v>1718</v>
      </c>
      <c r="G9" s="2593"/>
      <c r="H9" s="182" t="s">
        <v>2355</v>
      </c>
      <c r="K9" s="2595"/>
      <c r="N9" s="3557"/>
      <c r="O9" s="3559"/>
    </row>
    <row r="10" spans="1:19" ht="9" customHeight="1"/>
    <row r="11" spans="1:19">
      <c r="A11" s="13" t="s">
        <v>91</v>
      </c>
      <c r="D11" s="1323"/>
      <c r="N11" s="13" t="str">
        <f>A11</f>
        <v>II.  OPERATING PRO FORMA</v>
      </c>
    </row>
    <row r="12" spans="1:19" ht="2.4500000000000002" customHeight="1"/>
    <row r="13" spans="1:19" ht="14.45" customHeight="1">
      <c r="A13" s="13" t="s">
        <v>2479</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68" t="s">
        <v>2623</v>
      </c>
      <c r="O13" s="3168"/>
    </row>
    <row r="14" spans="1:19" ht="13.35" customHeight="1">
      <c r="A14" s="18" t="s">
        <v>2403</v>
      </c>
      <c r="B14" s="19">
        <f>'Part VI-Revenues &amp; Expenses'!$L$49</f>
        <v>1664460</v>
      </c>
      <c r="C14" s="19">
        <f t="shared" ref="C14:K14" si="1">$B$14*(1+$B$5)^(C13-1)</f>
        <v>1697749.2</v>
      </c>
      <c r="D14" s="19">
        <f t="shared" si="1"/>
        <v>1731704.1839999999</v>
      </c>
      <c r="E14" s="19">
        <f t="shared" si="1"/>
        <v>1766338.2676799998</v>
      </c>
      <c r="F14" s="19">
        <f t="shared" si="1"/>
        <v>1801665.0330336001</v>
      </c>
      <c r="G14" s="19">
        <f t="shared" si="1"/>
        <v>1837698.333694272</v>
      </c>
      <c r="H14" s="19">
        <f t="shared" si="1"/>
        <v>1874452.3003681574</v>
      </c>
      <c r="I14" s="19">
        <f t="shared" si="1"/>
        <v>1911941.3463755203</v>
      </c>
      <c r="J14" s="19">
        <f t="shared" si="1"/>
        <v>1950180.1733030309</v>
      </c>
      <c r="K14" s="20">
        <f t="shared" si="1"/>
        <v>1989183.7767690916</v>
      </c>
      <c r="N14" s="3523"/>
      <c r="O14" s="3524"/>
      <c r="S14" s="3584" t="s">
        <v>4186</v>
      </c>
    </row>
    <row r="15" spans="1:19" ht="13.35" customHeight="1">
      <c r="A15" s="21" t="s">
        <v>1016</v>
      </c>
      <c r="B15" s="22">
        <f>MIN(B14*B9,'Part VI-Revenues &amp; Expenses'!$H$173)</f>
        <v>33289.199999999997</v>
      </c>
      <c r="C15" s="22">
        <f t="shared" ref="C15:K15" si="2">$B$15*(1+$B$5)^(C13-1)</f>
        <v>33954.983999999997</v>
      </c>
      <c r="D15" s="22">
        <f t="shared" si="2"/>
        <v>34634.083679999996</v>
      </c>
      <c r="E15" s="22">
        <f t="shared" si="2"/>
        <v>35326.765353599993</v>
      </c>
      <c r="F15" s="22">
        <f t="shared" si="2"/>
        <v>36033.300660671994</v>
      </c>
      <c r="G15" s="22">
        <f t="shared" si="2"/>
        <v>36753.966673885436</v>
      </c>
      <c r="H15" s="22">
        <f t="shared" si="2"/>
        <v>37489.046007363148</v>
      </c>
      <c r="I15" s="22">
        <f t="shared" si="2"/>
        <v>38238.826927510403</v>
      </c>
      <c r="J15" s="22">
        <f t="shared" si="2"/>
        <v>39003.603466060616</v>
      </c>
      <c r="K15" s="23">
        <f t="shared" si="2"/>
        <v>39783.67553538183</v>
      </c>
      <c r="N15" s="3515"/>
      <c r="O15" s="3516"/>
      <c r="S15" s="3585"/>
    </row>
    <row r="16" spans="1:19" ht="13.35" customHeight="1">
      <c r="A16" s="21" t="s">
        <v>2404</v>
      </c>
      <c r="B16" s="22">
        <f t="shared" ref="B16:K16" si="3">-(B14+B15)*$B$8</f>
        <v>-118842.444</v>
      </c>
      <c r="C16" s="22">
        <f t="shared" si="3"/>
        <v>-121219.29288000001</v>
      </c>
      <c r="D16" s="22">
        <f t="shared" si="3"/>
        <v>-123643.6787376</v>
      </c>
      <c r="E16" s="22">
        <f t="shared" si="3"/>
        <v>-126116.552312352</v>
      </c>
      <c r="F16" s="22">
        <f t="shared" si="3"/>
        <v>-128638.88335859905</v>
      </c>
      <c r="G16" s="22">
        <f t="shared" si="3"/>
        <v>-131211.66102577103</v>
      </c>
      <c r="H16" s="22">
        <f t="shared" si="3"/>
        <v>-133835.89424628645</v>
      </c>
      <c r="I16" s="22">
        <f t="shared" si="3"/>
        <v>-136512.61213121217</v>
      </c>
      <c r="J16" s="22">
        <f t="shared" si="3"/>
        <v>-139242.86437383643</v>
      </c>
      <c r="K16" s="23">
        <f t="shared" si="3"/>
        <v>-142027.72166131315</v>
      </c>
      <c r="N16" s="3515"/>
      <c r="O16" s="3516"/>
      <c r="Q16" s="3587" t="s">
        <v>3882</v>
      </c>
      <c r="R16" s="3587" t="s">
        <v>4185</v>
      </c>
      <c r="S16" s="3585"/>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15"/>
      <c r="O17" s="3516"/>
      <c r="Q17" s="3587"/>
      <c r="R17" s="3587"/>
      <c r="S17" s="3586"/>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15"/>
      <c r="O18" s="3516"/>
    </row>
    <row r="19" spans="1:19" ht="13.35" customHeight="1">
      <c r="A19" s="483" t="s">
        <v>4939</v>
      </c>
      <c r="B19" s="22">
        <f>SUM(B14:B18)</f>
        <v>1578906.7560000001</v>
      </c>
      <c r="C19" s="22">
        <f t="shared" ref="C19:K19" si="4">SUM(C14:C18)</f>
        <v>1610484.8911199998</v>
      </c>
      <c r="D19" s="22">
        <f t="shared" si="4"/>
        <v>1642694.5889423997</v>
      </c>
      <c r="E19" s="22">
        <f t="shared" si="4"/>
        <v>1675548.4807212478</v>
      </c>
      <c r="F19" s="22">
        <f t="shared" si="4"/>
        <v>1709059.4503356728</v>
      </c>
      <c r="G19" s="22">
        <f t="shared" si="4"/>
        <v>1743240.6393423865</v>
      </c>
      <c r="H19" s="22">
        <f t="shared" si="4"/>
        <v>1778105.4521292341</v>
      </c>
      <c r="I19" s="22">
        <f t="shared" si="4"/>
        <v>1813667.5611718185</v>
      </c>
      <c r="J19" s="22">
        <f t="shared" si="4"/>
        <v>1849940.9123952552</v>
      </c>
      <c r="K19" s="23">
        <f t="shared" si="4"/>
        <v>1886939.7306431602</v>
      </c>
      <c r="N19" s="3515"/>
      <c r="O19" s="3516"/>
    </row>
    <row r="20" spans="1:19" ht="13.35" customHeight="1">
      <c r="A20" s="21" t="s">
        <v>614</v>
      </c>
      <c r="B20" s="22">
        <f>-('Part VI-Revenues &amp; Expenses'!$P$226-'Part VI-Revenues &amp; Expenses'!$P$221)</f>
        <v>-762234</v>
      </c>
      <c r="C20" s="22">
        <f t="shared" ref="C20:K20" si="5">$B$20*(1+$B$6)^(C13-1)</f>
        <v>-785101.02</v>
      </c>
      <c r="D20" s="22">
        <f t="shared" si="5"/>
        <v>-808654.05059999996</v>
      </c>
      <c r="E20" s="22">
        <f t="shared" si="5"/>
        <v>-832913.67211799999</v>
      </c>
      <c r="F20" s="22">
        <f t="shared" si="5"/>
        <v>-857901.08228153992</v>
      </c>
      <c r="G20" s="22">
        <f t="shared" si="5"/>
        <v>-883638.1147499861</v>
      </c>
      <c r="H20" s="22">
        <f t="shared" si="5"/>
        <v>-910147.25819248566</v>
      </c>
      <c r="I20" s="22">
        <f t="shared" si="5"/>
        <v>-937451.67593826039</v>
      </c>
      <c r="J20" s="22">
        <f t="shared" si="5"/>
        <v>-965575.22621640807</v>
      </c>
      <c r="K20" s="23">
        <f t="shared" si="5"/>
        <v>-994542.48300290026</v>
      </c>
      <c r="N20" s="3515"/>
      <c r="O20" s="3516"/>
      <c r="Q20" s="62">
        <v>1</v>
      </c>
      <c r="R20" s="1333">
        <f>-B31</f>
        <v>137226.09878327139</v>
      </c>
      <c r="S20" s="1333">
        <f>B32+R20</f>
        <v>137226.09878327139</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-78945</v>
      </c>
      <c r="C21" s="22">
        <f>IF(AND('Part VII-Pro Forma'!$G$8="Yes",'Part VII-Pro Forma'!$G$9="Yes"),"Choose One!",IF('Part VII-Pro Forma'!$G$8="Yes",ROUND((-$K$8*(1+'Part VII-Pro Forma'!$B$6)^('Part VII-Pro Forma'!C13-1)),),IF('Part VII-Pro Forma'!$G$9="Yes",ROUND((-(SUM(C14:C17)*'Part VII-Pro Forma'!$K$9)),),"Choose mgt fee")))</f>
        <v>-81313</v>
      </c>
      <c r="D21" s="22">
        <f>IF(AND('Part VII-Pro Forma'!$G$8="Yes",'Part VII-Pro Forma'!$G$9="Yes"),"Choose One!",IF('Part VII-Pro Forma'!$G$8="Yes",ROUND((-$K$8*(1+'Part VII-Pro Forma'!$B$6)^('Part VII-Pro Forma'!D13-1)),),IF('Part VII-Pro Forma'!$G$9="Yes",ROUND((-(SUM(D14:D17)*'Part VII-Pro Forma'!$K$9)),),"Choose mgt fee")))</f>
        <v>-83753</v>
      </c>
      <c r="E21" s="22">
        <f>IF(AND('Part VII-Pro Forma'!$G$8="Yes",'Part VII-Pro Forma'!$G$9="Yes"),"Choose One!",IF('Part VII-Pro Forma'!$G$8="Yes",ROUND((-$K$8*(1+'Part VII-Pro Forma'!$B$6)^('Part VII-Pro Forma'!E13-1)),),IF('Part VII-Pro Forma'!$G$9="Yes",ROUND((-(SUM(E14:E17)*'Part VII-Pro Forma'!$K$9)),),"Choose mgt fee")))</f>
        <v>-86265</v>
      </c>
      <c r="F21" s="22">
        <f>IF(AND('Part VII-Pro Forma'!$G$8="Yes",'Part VII-Pro Forma'!$G$9="Yes"),"Choose One!",IF('Part VII-Pro Forma'!$G$8="Yes",ROUND((-$K$8*(1+'Part VII-Pro Forma'!$B$6)^('Part VII-Pro Forma'!F13-1)),),IF('Part VII-Pro Forma'!$G$9="Yes",ROUND((-(SUM(F14:F17)*'Part VII-Pro Forma'!$K$9)),),"Choose mgt fee")))</f>
        <v>-88853</v>
      </c>
      <c r="G21" s="22">
        <f>IF(AND('Part VII-Pro Forma'!$G$8="Yes",'Part VII-Pro Forma'!$G$9="Yes"),"Choose One!",IF('Part VII-Pro Forma'!$G$8="Yes",ROUND((-$K$8*(1+'Part VII-Pro Forma'!$B$6)^('Part VII-Pro Forma'!G13-1)),),IF('Part VII-Pro Forma'!$G$9="Yes",ROUND((-(SUM(G14:G17)*'Part VII-Pro Forma'!$K$9)),),"Choose mgt fee")))</f>
        <v>-91519</v>
      </c>
      <c r="H21" s="22">
        <f>IF(AND('Part VII-Pro Forma'!$G$8="Yes",'Part VII-Pro Forma'!$G$9="Yes"),"Choose One!",IF('Part VII-Pro Forma'!$G$8="Yes",ROUND((-$K$8*(1+'Part VII-Pro Forma'!$B$6)^('Part VII-Pro Forma'!H13-1)),),IF('Part VII-Pro Forma'!$G$9="Yes",ROUND((-(SUM(H14:H17)*'Part VII-Pro Forma'!$K$9)),),"Choose mgt fee")))</f>
        <v>-94264</v>
      </c>
      <c r="I21" s="22">
        <f>IF(AND('Part VII-Pro Forma'!$G$8="Yes",'Part VII-Pro Forma'!$G$9="Yes"),"Choose One!",IF('Part VII-Pro Forma'!$G$8="Yes",ROUND((-$K$8*(1+'Part VII-Pro Forma'!$B$6)^('Part VII-Pro Forma'!I13-1)),),IF('Part VII-Pro Forma'!$G$9="Yes",ROUND((-(SUM(I14:I17)*'Part VII-Pro Forma'!$K$9)),),"Choose mgt fee")))</f>
        <v>-97092</v>
      </c>
      <c r="J21" s="22">
        <f>IF(AND('Part VII-Pro Forma'!$G$8="Yes",'Part VII-Pro Forma'!$G$9="Yes"),"Choose One!",IF('Part VII-Pro Forma'!$G$8="Yes",ROUND((-$K$8*(1+'Part VII-Pro Forma'!$B$6)^('Part VII-Pro Forma'!J13-1)),),IF('Part VII-Pro Forma'!$G$9="Yes",ROUND((-(SUM(J14:J17)*'Part VII-Pro Forma'!$K$9)),),"Choose mgt fee")))</f>
        <v>-100005</v>
      </c>
      <c r="K21" s="23">
        <f>IF(AND('Part VII-Pro Forma'!$G$8="Yes",'Part VII-Pro Forma'!$G$9="Yes"),"Choose One!",IF('Part VII-Pro Forma'!$G$8="Yes",ROUND((-$K$8*(1+'Part VII-Pro Forma'!$B$6)^('Part VII-Pro Forma'!K13-1)),),IF('Part VII-Pro Forma'!$G$9="Yes",ROUND((-(SUM(K14:K17)*'Part VII-Pro Forma'!$K$9)),),"Choose mgt fee")))</f>
        <v>-103005</v>
      </c>
      <c r="N21" s="3515"/>
      <c r="O21" s="3516"/>
      <c r="Q21" s="62">
        <v>2</v>
      </c>
      <c r="R21" s="1333">
        <f>-SUM(B31:C31)</f>
        <v>292478</v>
      </c>
      <c r="S21" s="1333">
        <f>SUM(B32:C32)+R21</f>
        <v>279241.31268654251</v>
      </c>
    </row>
    <row r="22" spans="1:19" ht="13.35" customHeight="1">
      <c r="A22" s="21" t="s">
        <v>1202</v>
      </c>
      <c r="B22" s="22">
        <f>-('Part VI-Revenues &amp; Expenses'!$P$230)</f>
        <v>-46800</v>
      </c>
      <c r="C22" s="22">
        <f t="shared" ref="C22:K22" si="6">$B$22*(1+$B$7)^(C13-1)</f>
        <v>-48204</v>
      </c>
      <c r="D22" s="22">
        <f t="shared" si="6"/>
        <v>-49650.119999999995</v>
      </c>
      <c r="E22" s="22">
        <f t="shared" si="6"/>
        <v>-51139.623599999999</v>
      </c>
      <c r="F22" s="22">
        <f t="shared" si="6"/>
        <v>-52673.812307999993</v>
      </c>
      <c r="G22" s="22">
        <f t="shared" si="6"/>
        <v>-54254.026677239992</v>
      </c>
      <c r="H22" s="22">
        <f t="shared" si="6"/>
        <v>-55881.647477557199</v>
      </c>
      <c r="I22" s="22">
        <f t="shared" si="6"/>
        <v>-57558.096901883917</v>
      </c>
      <c r="J22" s="22">
        <f t="shared" si="6"/>
        <v>-59284.839808940429</v>
      </c>
      <c r="K22" s="23">
        <f t="shared" si="6"/>
        <v>-61063.385003208641</v>
      </c>
      <c r="N22" s="3515"/>
      <c r="O22" s="3516"/>
      <c r="Q22" s="62">
        <v>3</v>
      </c>
      <c r="R22" s="1333">
        <f>-SUM(B31:D31)</f>
        <v>292478</v>
      </c>
      <c r="S22" s="1333">
        <f>SUM(B32:D32)+R22</f>
        <v>425872.57381221361</v>
      </c>
    </row>
    <row r="23" spans="1:19" ht="13.35" customHeight="1">
      <c r="A23" s="483" t="s">
        <v>4938</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15"/>
      <c r="O23" s="3516"/>
      <c r="Q23" s="1125">
        <v>10</v>
      </c>
      <c r="R23" s="1333">
        <f>-SUM(B28:K28)</f>
        <v>0</v>
      </c>
      <c r="S23" s="1333">
        <f>SUM(B29:K29)+R23</f>
        <v>0</v>
      </c>
    </row>
    <row r="24" spans="1:19" ht="13.35" customHeight="1">
      <c r="A24" s="21" t="s">
        <v>1203</v>
      </c>
      <c r="B24" s="22">
        <f>SUM(B19:B23)</f>
        <v>690927.75600000005</v>
      </c>
      <c r="C24" s="22">
        <f t="shared" ref="C24:J24" si="7">SUM(C19:C23)</f>
        <v>695866.87111999979</v>
      </c>
      <c r="D24" s="22">
        <f t="shared" si="7"/>
        <v>700637.41834239976</v>
      </c>
      <c r="E24" s="22">
        <f t="shared" si="7"/>
        <v>705230.18500324781</v>
      </c>
      <c r="F24" s="22">
        <f t="shared" si="7"/>
        <v>709631.55574613297</v>
      </c>
      <c r="G24" s="22">
        <f t="shared" si="7"/>
        <v>713829.49791516038</v>
      </c>
      <c r="H24" s="22">
        <f t="shared" si="7"/>
        <v>717812.54645919125</v>
      </c>
      <c r="I24" s="22">
        <f t="shared" si="7"/>
        <v>721565.78833167418</v>
      </c>
      <c r="J24" s="22">
        <f t="shared" si="7"/>
        <v>725075.84636990668</v>
      </c>
      <c r="K24" s="2567">
        <f>SUM(K19:K23)</f>
        <v>728328.86263705126</v>
      </c>
      <c r="N24" s="3515"/>
      <c r="O24" s="3516"/>
      <c r="Q24" s="1125">
        <v>4</v>
      </c>
      <c r="R24" s="1333">
        <f>-SUM(B31:E31)</f>
        <v>292478</v>
      </c>
      <c r="S24" s="1333">
        <f>SUM(B32:E32)+R24</f>
        <v>576937.46659873275</v>
      </c>
    </row>
    <row r="25" spans="1:19" ht="13.35" customHeight="1">
      <c r="A25" s="483" t="s">
        <v>1591</v>
      </c>
      <c r="B25" s="485">
        <f>IF('Part III-Sources of Funds'!$P$38="", 0,-'Part III-Sources of Funds'!$P$38)</f>
        <v>-548701.65721672866</v>
      </c>
      <c r="C25" s="485">
        <f>IF('Part III-Sources of Funds'!$P$38="", 0,-'Part III-Sources of Funds'!$P$38)</f>
        <v>-548701.65721672866</v>
      </c>
      <c r="D25" s="485">
        <f>IF('Part III-Sources of Funds'!$P$38="", 0,-'Part III-Sources of Funds'!$P$38)</f>
        <v>-548701.65721672866</v>
      </c>
      <c r="E25" s="485">
        <f>IF('Part III-Sources of Funds'!$P$38="", 0,-'Part III-Sources of Funds'!$P$38)</f>
        <v>-548701.65721672866</v>
      </c>
      <c r="F25" s="485">
        <f>IF('Part III-Sources of Funds'!$P$38="", 0,-'Part III-Sources of Funds'!$P$38)</f>
        <v>-548701.65721672866</v>
      </c>
      <c r="G25" s="485">
        <f>IF('Part III-Sources of Funds'!$P$38="", 0,-'Part III-Sources of Funds'!$P$38)</f>
        <v>-548701.65721672866</v>
      </c>
      <c r="H25" s="485">
        <f>IF('Part III-Sources of Funds'!$P$38="", 0,-'Part III-Sources of Funds'!$P$38)</f>
        <v>-548701.65721672866</v>
      </c>
      <c r="I25" s="485">
        <f>IF('Part III-Sources of Funds'!$P$38="", 0,-'Part III-Sources of Funds'!$P$38)</f>
        <v>-548701.65721672866</v>
      </c>
      <c r="J25" s="485">
        <f>IF('Part III-Sources of Funds'!$P$38="", 0,-'Part III-Sources of Funds'!$P$38)</f>
        <v>-548701.65721672866</v>
      </c>
      <c r="K25" s="485">
        <f>IF('Part III-Sources of Funds'!$P$38="", 0,-'Part III-Sources of Funds'!$P$38)</f>
        <v>-548701.65721672866</v>
      </c>
      <c r="N25" s="3515"/>
      <c r="O25" s="3516"/>
      <c r="Q25" s="1125">
        <v>5</v>
      </c>
      <c r="R25" s="1333">
        <f>-SUM(B31:F31)</f>
        <v>292478</v>
      </c>
      <c r="S25" s="1333">
        <f>SUM(B32:F32)+R25</f>
        <v>732239.82107813703</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15"/>
      <c r="O26" s="3516"/>
      <c r="Q26" s="1125">
        <v>6</v>
      </c>
      <c r="R26" s="1333">
        <f>-SUM(B31:G31)</f>
        <v>292478</v>
      </c>
      <c r="S26" s="1333">
        <f>SUM(B32:G32)+R26</f>
        <v>891571.29140506871</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5"/>
      <c r="O27" s="3516"/>
      <c r="Q27" s="1125">
        <v>7</v>
      </c>
      <c r="R27" s="1333">
        <f>-SUM(B31:H31)</f>
        <v>292478</v>
      </c>
      <c r="S27" s="1333">
        <f>SUM(B32:H32)+R27</f>
        <v>1054711.9191648862</v>
      </c>
    </row>
    <row r="28" spans="1:19" ht="13.35" customHeight="1">
      <c r="A28" s="483" t="s">
        <v>3851</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5"/>
      <c r="O28" s="3516"/>
      <c r="Q28" s="1125">
        <v>8</v>
      </c>
      <c r="R28" s="1333">
        <f>-SUM(B31:I31)</f>
        <v>292478</v>
      </c>
      <c r="S28" s="1333">
        <f>SUM(B32:I32)+R28</f>
        <v>1221426.6809527073</v>
      </c>
    </row>
    <row r="29" spans="1:19" ht="13.35" customHeight="1">
      <c r="A29" s="21" t="s">
        <v>763</v>
      </c>
      <c r="B29" s="180"/>
      <c r="C29" s="180"/>
      <c r="D29" s="180"/>
      <c r="E29" s="180"/>
      <c r="F29" s="180"/>
      <c r="G29" s="180"/>
      <c r="H29" s="180"/>
      <c r="I29" s="180"/>
      <c r="J29" s="180"/>
      <c r="K29" s="180"/>
      <c r="N29" s="3515"/>
      <c r="O29" s="3516"/>
      <c r="Q29" s="1125">
        <v>9</v>
      </c>
      <c r="R29" s="1333">
        <f>-SUM(B31:J31)</f>
        <v>292478</v>
      </c>
      <c r="S29" s="1333">
        <f>SUM(B32:J32)+R29</f>
        <v>1391467.0196989474</v>
      </c>
    </row>
    <row r="30" spans="1:19" ht="13.35" customHeight="1">
      <c r="A30" s="483" t="s">
        <v>1163</v>
      </c>
      <c r="B30" s="1428">
        <f>-$G$5</f>
        <v>-5000</v>
      </c>
      <c r="C30" s="1428">
        <f>+B30*1.03</f>
        <v>-5150</v>
      </c>
      <c r="D30" s="1428">
        <f t="shared" ref="D30:K30" si="8">+C30*1.03</f>
        <v>-5304.5</v>
      </c>
      <c r="E30" s="1428">
        <f t="shared" si="8"/>
        <v>-5463.6350000000002</v>
      </c>
      <c r="F30" s="1428">
        <f t="shared" si="8"/>
        <v>-5627.5440500000004</v>
      </c>
      <c r="G30" s="1428">
        <f t="shared" si="8"/>
        <v>-5796.3703715000001</v>
      </c>
      <c r="H30" s="1428">
        <f t="shared" si="8"/>
        <v>-5970.2614826449999</v>
      </c>
      <c r="I30" s="1428">
        <f t="shared" si="8"/>
        <v>-6149.3693271243501</v>
      </c>
      <c r="J30" s="1428">
        <f t="shared" si="8"/>
        <v>-6333.8504069380806</v>
      </c>
      <c r="K30" s="1428">
        <f t="shared" si="8"/>
        <v>-6523.865919146223</v>
      </c>
      <c r="N30" s="3515"/>
      <c r="O30" s="3516"/>
      <c r="Q30" s="1125">
        <v>10</v>
      </c>
      <c r="R30" s="1333">
        <f>-SUM(B31:K31)</f>
        <v>292478</v>
      </c>
      <c r="S30" s="1333">
        <f>SUM(B32:K32)+R30</f>
        <v>1564570.3592001237</v>
      </c>
    </row>
    <row r="31" spans="1:19" ht="13.35" customHeight="1">
      <c r="A31" s="483" t="s">
        <v>4083</v>
      </c>
      <c r="B31" s="242">
        <f>-SUM(B24:B30)</f>
        <v>-137226.09878327139</v>
      </c>
      <c r="C31" s="242">
        <f>-B43</f>
        <v>-155251.90121672861</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15"/>
      <c r="O31" s="3516"/>
      <c r="Q31" s="1125">
        <v>11</v>
      </c>
      <c r="R31" s="1333">
        <f>-SUM(B31:K31)-B63</f>
        <v>292478</v>
      </c>
      <c r="S31" s="1333">
        <f>SUM(B32:K32)+B64+R31</f>
        <v>1740458.6012964058</v>
      </c>
    </row>
    <row r="32" spans="1:19" ht="13.35" customHeight="1">
      <c r="A32" s="21" t="s">
        <v>1164</v>
      </c>
      <c r="B32" s="22">
        <f t="shared" ref="B32:K32" si="9">SUM(B24:B31)</f>
        <v>0</v>
      </c>
      <c r="C32" s="22">
        <f t="shared" si="9"/>
        <v>-13236.687313457485</v>
      </c>
      <c r="D32" s="22">
        <f t="shared" si="9"/>
        <v>146631.2611256711</v>
      </c>
      <c r="E32" s="22">
        <f t="shared" si="9"/>
        <v>151064.89278651914</v>
      </c>
      <c r="F32" s="22">
        <f t="shared" si="9"/>
        <v>155302.35447940431</v>
      </c>
      <c r="G32" s="22">
        <f t="shared" si="9"/>
        <v>159331.47032693171</v>
      </c>
      <c r="H32" s="22">
        <f t="shared" si="9"/>
        <v>163140.62775981758</v>
      </c>
      <c r="I32" s="22">
        <f t="shared" si="9"/>
        <v>166714.76178782116</v>
      </c>
      <c r="J32" s="22">
        <f t="shared" si="9"/>
        <v>170040.33874623993</v>
      </c>
      <c r="K32" s="23">
        <f t="shared" si="9"/>
        <v>173103.33950117638</v>
      </c>
      <c r="N32" s="3515"/>
      <c r="O32" s="3516"/>
      <c r="Q32" s="1125">
        <v>12</v>
      </c>
      <c r="R32" s="1333">
        <f>-SUM(B31:K31) - SUM(B63:C63)</f>
        <v>292478</v>
      </c>
      <c r="S32" s="1333">
        <f>SUM(B32:K32) + SUM(B64:C64)+R32</f>
        <v>1918837.6051195173</v>
      </c>
    </row>
    <row r="33" spans="1:19" ht="13.35" customHeight="1">
      <c r="A33" s="21" t="str">
        <f>IF('Part III-Sources of Funds'!$E$38 = "Neither", "", "DCR Mortgage A")</f>
        <v>DCR Mortgage A</v>
      </c>
      <c r="B33" s="24">
        <f t="shared" ref="B33:K33" si="10">IF(B25=0,"",-B24/B25)</f>
        <v>1.2592047917345623</v>
      </c>
      <c r="C33" s="24">
        <f t="shared" si="10"/>
        <v>1.2682062500954743</v>
      </c>
      <c r="D33" s="24">
        <f t="shared" si="10"/>
        <v>1.2769004961573478</v>
      </c>
      <c r="E33" s="24">
        <f t="shared" si="10"/>
        <v>1.2852707399873822</v>
      </c>
      <c r="F33" s="24">
        <f t="shared" si="10"/>
        <v>1.2932921678161426</v>
      </c>
      <c r="G33" s="24">
        <f t="shared" si="10"/>
        <v>1.3009428503205864</v>
      </c>
      <c r="H33" s="24">
        <f t="shared" si="10"/>
        <v>1.3082018926282675</v>
      </c>
      <c r="I33" s="24">
        <f t="shared" si="10"/>
        <v>1.3150421159502108</v>
      </c>
      <c r="J33" s="24">
        <f t="shared" si="10"/>
        <v>1.3214391406212083</v>
      </c>
      <c r="K33" s="25">
        <f t="shared" si="10"/>
        <v>1.3273677107728739</v>
      </c>
      <c r="N33" s="3515"/>
      <c r="O33" s="3516"/>
      <c r="Q33" s="1125">
        <v>13</v>
      </c>
      <c r="R33" s="1333">
        <f>-SUM(B31:K31) - SUM(B63:D63)</f>
        <v>292478</v>
      </c>
      <c r="S33" s="1333">
        <f>SUM(B32:K32) + SUM(B64:D64)+R33</f>
        <v>2099396.6478162133</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15"/>
      <c r="O34" s="3516"/>
      <c r="Q34" s="1125">
        <v>14</v>
      </c>
      <c r="R34" s="1333">
        <f>-SUM(B31:K31) - SUM(B63:E63)</f>
        <v>292478</v>
      </c>
      <c r="S34" s="1333">
        <f>SUM(B32:K32) + SUM(B64:E64)+R34</f>
        <v>2281809.8661335483</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15"/>
      <c r="O35" s="3516"/>
      <c r="Q35" s="1125">
        <v>15</v>
      </c>
      <c r="R35" s="1333">
        <f>-SUM(B31:K31) - SUM(B63:F63)</f>
        <v>292478</v>
      </c>
      <c r="S35" s="1333">
        <f>SUM(B32:K32) + SUM(B64:F64)+R35</f>
        <v>2465731.678232606</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15"/>
      <c r="O36" s="3516"/>
      <c r="Q36" s="62">
        <v>16</v>
      </c>
      <c r="R36" s="1333">
        <f>-SUM(B31:K31) - SUM(B63:G63)</f>
        <v>292478</v>
      </c>
      <c r="S36" s="1333">
        <f>SUM(B32:K32) + SUM(B64:G64)+R36</f>
        <v>2658588.0221601557</v>
      </c>
    </row>
    <row r="37" spans="1:19" ht="13.35" customHeight="1">
      <c r="A37" s="483" t="s">
        <v>3712</v>
      </c>
      <c r="B37" s="24">
        <f t="shared" ref="B37:K37" si="14">IF(AND(B25=0,B26=0,B27=0,B28=0),"",-B24/(B25+B26+B27+B28))</f>
        <v>1.2592047917345623</v>
      </c>
      <c r="C37" s="24">
        <f t="shared" si="14"/>
        <v>1.2682062500954743</v>
      </c>
      <c r="D37" s="24">
        <f t="shared" si="14"/>
        <v>1.2769004961573478</v>
      </c>
      <c r="E37" s="24">
        <f t="shared" si="14"/>
        <v>1.2852707399873822</v>
      </c>
      <c r="F37" s="24">
        <f t="shared" si="14"/>
        <v>1.2932921678161426</v>
      </c>
      <c r="G37" s="24">
        <f t="shared" si="14"/>
        <v>1.3009428503205864</v>
      </c>
      <c r="H37" s="24">
        <f t="shared" si="14"/>
        <v>1.3082018926282675</v>
      </c>
      <c r="I37" s="24">
        <f t="shared" si="14"/>
        <v>1.3150421159502108</v>
      </c>
      <c r="J37" s="24">
        <f t="shared" si="14"/>
        <v>1.3214391406212083</v>
      </c>
      <c r="K37" s="25">
        <f t="shared" si="14"/>
        <v>1.3273677107728739</v>
      </c>
      <c r="N37" s="3515"/>
      <c r="O37" s="3516"/>
      <c r="Q37" s="62">
        <v>17</v>
      </c>
      <c r="R37" s="1333">
        <f>-SUM(B31:K31) - SUM(B63:H63)</f>
        <v>292478</v>
      </c>
      <c r="S37" s="1333">
        <f>SUM(B32:K32) + SUM(B64:H64)+R37</f>
        <v>2852440.9200013699</v>
      </c>
    </row>
    <row r="38" spans="1:19" ht="13.35" customHeight="1">
      <c r="A38" s="21" t="s">
        <v>770</v>
      </c>
      <c r="B38" s="296">
        <f t="shared" ref="B38:K38" si="15">IF(OR(B21="Choose mgt fee",B21="Choose One!"),"",(B14+B15+B16+B17+B18) / -(B20+B21+B22))</f>
        <v>1.7780901980790087</v>
      </c>
      <c r="C38" s="296">
        <f t="shared" si="15"/>
        <v>1.7608278602689238</v>
      </c>
      <c r="D38" s="296">
        <f t="shared" si="15"/>
        <v>1.743731315049766</v>
      </c>
      <c r="E38" s="296">
        <f t="shared" si="15"/>
        <v>1.7268029347848206</v>
      </c>
      <c r="F38" s="296">
        <f t="shared" si="15"/>
        <v>1.7100377721972382</v>
      </c>
      <c r="G38" s="296">
        <f t="shared" si="15"/>
        <v>1.6934347892577422</v>
      </c>
      <c r="H38" s="296">
        <f t="shared" si="15"/>
        <v>1.6769945763294303</v>
      </c>
      <c r="I38" s="296">
        <f t="shared" si="15"/>
        <v>1.6607129539357435</v>
      </c>
      <c r="J38" s="296">
        <f t="shared" si="15"/>
        <v>1.6445891763106524</v>
      </c>
      <c r="K38" s="297">
        <f t="shared" si="15"/>
        <v>1.6286225019539617</v>
      </c>
      <c r="N38" s="3515"/>
      <c r="O38" s="3516"/>
      <c r="Q38" s="62">
        <v>18</v>
      </c>
      <c r="R38" s="1333">
        <f>-SUM(B31:K31) - SUM(B63:I63)</f>
        <v>292478</v>
      </c>
      <c r="S38" s="1333">
        <f>SUM(B32:K32) + SUM(B64:I64)+R38</f>
        <v>3046895.9682512446</v>
      </c>
    </row>
    <row r="39" spans="1:19" ht="13.35" customHeight="1">
      <c r="A39" s="483" t="s">
        <v>2616</v>
      </c>
      <c r="B39" s="240">
        <f>IF('Part III-Sources of Funds'!$I$38="","",-FV('Part III-Sources of Funds'!$K$38/12,12,B25/12,'Part III-Sources of Funds'!$I$38))</f>
        <v>10294308.523943068</v>
      </c>
      <c r="C39" s="240">
        <f>IF('Part III-Sources of Funds'!$I$38="","",-FV('Part III-Sources of Funds'!$K$38/12,12,C25/12,B39))</f>
        <v>10191373.10179431</v>
      </c>
      <c r="D39" s="240">
        <f>IF('Part III-Sources of Funds'!$I$38="","",-FV('Part III-Sources of Funds'!$K$38/12,12,D25/12,C39))</f>
        <v>10083869.627243839</v>
      </c>
      <c r="E39" s="240">
        <f>IF('Part III-Sources of Funds'!$I$38="","",-FV('Part III-Sources of Funds'!$K$38/12,12,E25/12,D39))</f>
        <v>9971595.379961675</v>
      </c>
      <c r="F39" s="240">
        <f>IF('Part III-Sources of Funds'!$I$38="","",-FV('Part III-Sources of Funds'!$K$38/12,12,F25/12,E39))</f>
        <v>9854338.6433260757</v>
      </c>
      <c r="G39" s="240">
        <f>IF('Part III-Sources of Funds'!$I$38="","",-FV('Part III-Sources of Funds'!$K$38/12,12,G25/12,F39))</f>
        <v>9731878.3051874768</v>
      </c>
      <c r="H39" s="240">
        <f>IF('Part III-Sources of Funds'!$I$38="","",-FV('Part III-Sources of Funds'!$K$38/12,12,H25/12,G39))</f>
        <v>9603983.4409152009</v>
      </c>
      <c r="I39" s="240">
        <f>IF('Part III-Sources of Funds'!$I$38="","",-FV('Part III-Sources of Funds'!$K$38/12,12,I25/12,H39))</f>
        <v>9470412.8779406734</v>
      </c>
      <c r="J39" s="240">
        <f>IF('Part III-Sources of Funds'!$I$38="","",-FV('Part III-Sources of Funds'!$K$38/12,12,J25/12,I39))</f>
        <v>9330914.7409759983</v>
      </c>
      <c r="K39" s="240">
        <f>IF('Part III-Sources of Funds'!$I$38="","",-FV('Part III-Sources of Funds'!$K$38/12,12,K25/12,J39))</f>
        <v>9185225.9770503249</v>
      </c>
      <c r="N39" s="3515"/>
      <c r="O39" s="3516"/>
      <c r="Q39" s="1125">
        <v>19</v>
      </c>
      <c r="R39" s="1333">
        <f>-SUM(B31:K31) - SUM(B63:J63)</f>
        <v>292478</v>
      </c>
      <c r="S39" s="1333">
        <f>SUM(B32:K32) + SUM(B64:J64)+R39</f>
        <v>3241536.7312971782</v>
      </c>
    </row>
    <row r="40" spans="1:19" ht="13.35" customHeight="1">
      <c r="A40" s="483" t="s">
        <v>2617</v>
      </c>
      <c r="B40" s="241">
        <f>IF('Part III-Sources of Funds'!$I$39="","",-FV('Part III-Sources of Funds'!$K$39/12,12,B26/12,'Part III-Sources of Funds'!$I$39))</f>
        <v>2020091.921774361</v>
      </c>
      <c r="C40" s="241">
        <f>IF('Part III-Sources of Funds'!$I$39="","",-FV('Part III-Sources of Funds'!$K$39/12,12,C26/12,B40))</f>
        <v>2040385.6862090158</v>
      </c>
      <c r="D40" s="241">
        <f>IF('Part III-Sources of Funds'!$I$39="","",-FV('Part III-Sources of Funds'!$K$39/12,12,D26/12,C40))</f>
        <v>2060883.3210074347</v>
      </c>
      <c r="E40" s="241">
        <f>IF('Part III-Sources of Funds'!$I$39="","",-FV('Part III-Sources of Funds'!$K$39/12,12,E26/12,D40))</f>
        <v>2081586.8742433183</v>
      </c>
      <c r="F40" s="241">
        <f>IF('Part III-Sources of Funds'!$I$39="","",-FV('Part III-Sources of Funds'!$K$39/12,12,F26/12,E40))</f>
        <v>2102498.4145652354</v>
      </c>
      <c r="G40" s="241">
        <f>IF('Part III-Sources of Funds'!$I$39="","",-FV('Part III-Sources of Funds'!$K$39/12,12,G26/12,F40))</f>
        <v>2123620.0314033171</v>
      </c>
      <c r="H40" s="241">
        <f>IF('Part III-Sources of Funds'!$I$39="","",-FV('Part III-Sources of Funds'!$K$39/12,12,H26/12,G40))</f>
        <v>2144953.8351780279</v>
      </c>
      <c r="I40" s="241">
        <f>IF('Part III-Sources of Funds'!$I$39="","",-FV('Part III-Sources of Funds'!$K$39/12,12,I26/12,H40))</f>
        <v>2166501.9575110343</v>
      </c>
      <c r="J40" s="241">
        <f>IF('Part III-Sources of Funds'!$I$39="","",-FV('Part III-Sources of Funds'!$K$39/12,12,J26/12,I40))</f>
        <v>2188266.5514381905</v>
      </c>
      <c r="K40" s="241">
        <f>IF('Part III-Sources of Funds'!$I$39="","",-FV('Part III-Sources of Funds'!$K$39/12,12,K26/12,J40))</f>
        <v>2210249.7916246639</v>
      </c>
      <c r="N40" s="3515"/>
      <c r="O40" s="3516"/>
      <c r="Q40" s="1125">
        <v>20</v>
      </c>
      <c r="R40" s="1333">
        <f>-SUM(B31:K31) - SUM(B63:K63)</f>
        <v>292478</v>
      </c>
      <c r="S40" s="1333">
        <f>SUM(B32:K32) + SUM(B64:K64)+R40</f>
        <v>3435927.0604556929</v>
      </c>
    </row>
    <row r="41" spans="1:19" ht="13.35" customHeight="1">
      <c r="A41" s="483" t="s">
        <v>2618</v>
      </c>
      <c r="B41" s="241">
        <f>IF('Part III-Sources of Funds'!$I$40="","",-FV('Part III-Sources of Funds'!$K$40/12,12,B27/12,'Part III-Sources of Funds'!$I$40))</f>
        <v>720000</v>
      </c>
      <c r="C41" s="241">
        <f>IF('Part III-Sources of Funds'!$I$40="","",-FV('Part III-Sources of Funds'!$K$40/12,12,C27/12,B41))</f>
        <v>720000</v>
      </c>
      <c r="D41" s="241">
        <f>IF('Part III-Sources of Funds'!$I$40="","",-FV('Part III-Sources of Funds'!$K$40/12,12,D27/12,C41))</f>
        <v>720000</v>
      </c>
      <c r="E41" s="241">
        <f>IF('Part III-Sources of Funds'!$I$40="","",-FV('Part III-Sources of Funds'!$K$40/12,12,E27/12,D41))</f>
        <v>720000</v>
      </c>
      <c r="F41" s="241">
        <f>IF('Part III-Sources of Funds'!$I$40="","",-FV('Part III-Sources of Funds'!$K$40/12,12,F27/12,E41))</f>
        <v>720000</v>
      </c>
      <c r="G41" s="241">
        <f>IF('Part III-Sources of Funds'!$I$40="","",-FV('Part III-Sources of Funds'!$K$40/12,12,G27/12,F41))</f>
        <v>720000</v>
      </c>
      <c r="H41" s="241">
        <f>IF('Part III-Sources of Funds'!$I$40="","",-FV('Part III-Sources of Funds'!$K$40/12,12,H27/12,G41))</f>
        <v>720000</v>
      </c>
      <c r="I41" s="241">
        <f>IF('Part III-Sources of Funds'!$I$40="","",-FV('Part III-Sources of Funds'!$K$40/12,12,I27/12,H41))</f>
        <v>720000</v>
      </c>
      <c r="J41" s="241">
        <f>IF('Part III-Sources of Funds'!$I$40="","",-FV('Part III-Sources of Funds'!$K$40/12,12,J27/12,I41))</f>
        <v>720000</v>
      </c>
      <c r="K41" s="241">
        <f>IF('Part III-Sources of Funds'!$I$40="","",-FV('Part III-Sources of Funds'!$K$40/12,12,K27/12,J41))</f>
        <v>720000</v>
      </c>
      <c r="N41" s="3515"/>
      <c r="O41" s="3516"/>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5"/>
      <c r="O42" s="3516"/>
    </row>
    <row r="43" spans="1:19" ht="13.35" customHeight="1">
      <c r="A43" s="483" t="s">
        <v>4084</v>
      </c>
      <c r="B43" s="242">
        <f>IF('Part III-Sources of Funds'!$I$43="","",-FV('Part III-Sources of Funds'!$K$43/12,12,B31/12,'Part III-Sources of Funds'!$I$43))</f>
        <v>155251.90121672861</v>
      </c>
      <c r="C43" s="242">
        <f>IF('Part III-Sources of Funds'!$I$43="","",IF(-FV('Part III-Sources of Funds'!$K$43/12,12,C31/12,B43)&gt;0,-FV('Part III-Sources of Funds'!$K$43/12,12,C31/12,B43),0))</f>
        <v>0</v>
      </c>
      <c r="D43" s="242">
        <f>IF('Part III-Sources of Funds'!$I$43="","",IF(-FV('Part III-Sources of Funds'!$K$43/12,12,D31/12,C43)&gt;0,-FV('Part III-Sources of Funds'!$K$43/12,12,D31/12,C43),0))</f>
        <v>0</v>
      </c>
      <c r="E43" s="242">
        <f>IF('Part III-Sources of Funds'!$I$43="","",IF(-FV('Part III-Sources of Funds'!$K$43/12,12,E31/12,D43)&gt;0,-FV('Part III-Sources of Funds'!$K$43/12,12,E31/12,D43),0))</f>
        <v>0</v>
      </c>
      <c r="F43" s="242">
        <f>IF('Part III-Sources of Funds'!$I$43="","",IF(-FV('Part III-Sources of Funds'!$K$43/12,12,F31/12,E43)&gt;0,-FV('Part III-Sources of Funds'!$K$43/12,12,F31/12,E43),0))</f>
        <v>0</v>
      </c>
      <c r="G43" s="242">
        <f>IF('Part III-Sources of Funds'!$I$43="","",IF(-FV('Part III-Sources of Funds'!$K$43/12,12,G31/12,F43)&gt;0,-FV('Part III-Sources of Funds'!$K$43/12,12,G31/12,F43),0))</f>
        <v>0</v>
      </c>
      <c r="H43" s="242">
        <f>IF('Part III-Sources of Funds'!$I$43="","",IF(-FV('Part III-Sources of Funds'!$K$43/12,12,H31/12,G43)&gt;0,-FV('Part III-Sources of Funds'!$K$43/12,12,H31/12,G43),0))</f>
        <v>0</v>
      </c>
      <c r="I43" s="242">
        <f>IF('Part III-Sources of Funds'!$I$43="","",IF(-FV('Part III-Sources of Funds'!$K$43/12,12,I31/12,H43)&gt;0,-FV('Part III-Sources of Funds'!$K$43/12,12,I31/12,H43),0))</f>
        <v>0</v>
      </c>
      <c r="J43" s="242">
        <f>IF('Part III-Sources of Funds'!$I$43="","",IF(-FV('Part III-Sources of Funds'!$K$43/12,12,J31/12,I43)&gt;0,-FV('Part III-Sources of Funds'!$K$43/12,12,J31/12,I43),0))</f>
        <v>0</v>
      </c>
      <c r="K43" s="242">
        <f>IF('Part III-Sources of Funds'!$I$43="","",IF(-FV('Part III-Sources of Funds'!$K$43/12,12,K31/12,J43)&gt;0,-FV('Part III-Sources of Funds'!$K$43/12,12,K31/12,J43),0))</f>
        <v>0</v>
      </c>
      <c r="N43" s="3557"/>
      <c r="O43" s="3559"/>
    </row>
    <row r="44" spans="1:19" ht="4.3499999999999996" customHeight="1">
      <c r="B44" s="17"/>
      <c r="C44" s="17"/>
      <c r="D44" s="17"/>
      <c r="E44" s="17"/>
      <c r="F44" s="17"/>
      <c r="G44" s="17"/>
      <c r="H44" s="17"/>
      <c r="I44" s="17"/>
      <c r="J44" s="17"/>
      <c r="K44" s="17"/>
    </row>
    <row r="45" spans="1:19" ht="14.45" customHeight="1">
      <c r="A45" s="13" t="s">
        <v>2479</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68" t="s">
        <v>2621</v>
      </c>
      <c r="O45" s="3168"/>
    </row>
    <row r="46" spans="1:19" ht="13.35" customHeight="1">
      <c r="A46" s="18" t="s">
        <v>2403</v>
      </c>
      <c r="B46" s="19">
        <f t="shared" ref="B46:K46" si="17">$B$14*(1+$B$5)^(B45-1)</f>
        <v>2028967.4523044734</v>
      </c>
      <c r="C46" s="19">
        <f t="shared" si="17"/>
        <v>2069546.8013505626</v>
      </c>
      <c r="D46" s="19">
        <f t="shared" si="17"/>
        <v>2110937.7373775742</v>
      </c>
      <c r="E46" s="19">
        <f t="shared" si="17"/>
        <v>2153156.4921251256</v>
      </c>
      <c r="F46" s="19">
        <f t="shared" si="17"/>
        <v>2196219.6219676281</v>
      </c>
      <c r="G46" s="19">
        <f t="shared" si="17"/>
        <v>2240144.01440698</v>
      </c>
      <c r="H46" s="19">
        <f t="shared" si="17"/>
        <v>2284946.8946951199</v>
      </c>
      <c r="I46" s="19">
        <f t="shared" si="17"/>
        <v>2330645.8325890228</v>
      </c>
      <c r="J46" s="19">
        <f t="shared" si="17"/>
        <v>2377258.7492408031</v>
      </c>
      <c r="K46" s="20">
        <f t="shared" si="17"/>
        <v>2424803.9242256191</v>
      </c>
      <c r="N46" s="3523"/>
      <c r="O46" s="3524"/>
    </row>
    <row r="47" spans="1:19" ht="13.35" customHeight="1">
      <c r="A47" s="21" t="s">
        <v>1016</v>
      </c>
      <c r="B47" s="22">
        <f t="shared" ref="B47:K47" si="18">$B$15*(1+$B$5)^(B45-1)</f>
        <v>40579.349046089468</v>
      </c>
      <c r="C47" s="22">
        <f t="shared" si="18"/>
        <v>41390.936027011245</v>
      </c>
      <c r="D47" s="22">
        <f t="shared" si="18"/>
        <v>42218.75474755148</v>
      </c>
      <c r="E47" s="22">
        <f t="shared" si="18"/>
        <v>43063.129842502502</v>
      </c>
      <c r="F47" s="22">
        <f t="shared" si="18"/>
        <v>43924.392439352559</v>
      </c>
      <c r="G47" s="22">
        <f t="shared" si="18"/>
        <v>44802.880288139597</v>
      </c>
      <c r="H47" s="22">
        <f t="shared" si="18"/>
        <v>45698.937893902395</v>
      </c>
      <c r="I47" s="22">
        <f t="shared" si="18"/>
        <v>46612.916651780448</v>
      </c>
      <c r="J47" s="22">
        <f t="shared" si="18"/>
        <v>47545.174984816054</v>
      </c>
      <c r="K47" s="23">
        <f t="shared" si="18"/>
        <v>48496.078484512371</v>
      </c>
      <c r="N47" s="3515"/>
      <c r="O47" s="3516"/>
    </row>
    <row r="48" spans="1:19" ht="13.35" customHeight="1">
      <c r="A48" s="21" t="s">
        <v>2404</v>
      </c>
      <c r="B48" s="22">
        <f t="shared" ref="B48:K48" si="19">-(B46+B47)*$B$8</f>
        <v>-144868.27609453941</v>
      </c>
      <c r="C48" s="22">
        <f t="shared" si="19"/>
        <v>-147765.64161643016</v>
      </c>
      <c r="D48" s="22">
        <f t="shared" si="19"/>
        <v>-150720.9544487588</v>
      </c>
      <c r="E48" s="22">
        <f t="shared" si="19"/>
        <v>-153735.37353773398</v>
      </c>
      <c r="F48" s="22">
        <f t="shared" si="19"/>
        <v>-156810.08100848866</v>
      </c>
      <c r="G48" s="22">
        <f t="shared" si="19"/>
        <v>-159946.28262865837</v>
      </c>
      <c r="H48" s="22">
        <f t="shared" si="19"/>
        <v>-163145.20828123158</v>
      </c>
      <c r="I48" s="22">
        <f t="shared" si="19"/>
        <v>-166408.11244685622</v>
      </c>
      <c r="J48" s="22">
        <f t="shared" si="19"/>
        <v>-169736.27469579334</v>
      </c>
      <c r="K48" s="23">
        <f t="shared" si="19"/>
        <v>-173131.00018970922</v>
      </c>
      <c r="N48" s="3515"/>
      <c r="O48" s="3516"/>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15"/>
      <c r="O49" s="3516"/>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5"/>
      <c r="O50" s="3516"/>
    </row>
    <row r="51" spans="1:19" ht="13.35" customHeight="1">
      <c r="A51" s="483" t="s">
        <v>4939</v>
      </c>
      <c r="B51" s="22">
        <f t="shared" ref="B51:K51" si="20">SUM(B46:B50)</f>
        <v>1924678.5252560235</v>
      </c>
      <c r="C51" s="22">
        <f t="shared" si="20"/>
        <v>1963172.0957611436</v>
      </c>
      <c r="D51" s="22">
        <f t="shared" si="20"/>
        <v>2002435.5376763667</v>
      </c>
      <c r="E51" s="22">
        <f t="shared" si="20"/>
        <v>2042484.2484298942</v>
      </c>
      <c r="F51" s="22">
        <f t="shared" si="20"/>
        <v>2083333.9333984917</v>
      </c>
      <c r="G51" s="22">
        <f t="shared" si="20"/>
        <v>2125000.6120664612</v>
      </c>
      <c r="H51" s="22">
        <f t="shared" si="20"/>
        <v>2167500.6243077908</v>
      </c>
      <c r="I51" s="22">
        <f t="shared" si="20"/>
        <v>2210850.6367939468</v>
      </c>
      <c r="J51" s="22">
        <f t="shared" si="20"/>
        <v>2255067.6495298259</v>
      </c>
      <c r="K51" s="23">
        <f t="shared" si="20"/>
        <v>2300169.0025204225</v>
      </c>
      <c r="N51" s="3515"/>
      <c r="O51" s="3516"/>
    </row>
    <row r="52" spans="1:19" ht="13.35" customHeight="1">
      <c r="A52" s="21" t="s">
        <v>614</v>
      </c>
      <c r="B52" s="22">
        <f t="shared" ref="B52:K52" si="21">$B$20*(1+$B$6)^(B45-1)</f>
        <v>-1024378.7574929873</v>
      </c>
      <c r="C52" s="22">
        <f t="shared" si="21"/>
        <v>-1055110.1202177771</v>
      </c>
      <c r="D52" s="22">
        <f t="shared" si="21"/>
        <v>-1086763.4238243101</v>
      </c>
      <c r="E52" s="22">
        <f t="shared" si="21"/>
        <v>-1119366.3265390394</v>
      </c>
      <c r="F52" s="22">
        <f t="shared" si="21"/>
        <v>-1152947.3163352106</v>
      </c>
      <c r="G52" s="22">
        <f t="shared" si="21"/>
        <v>-1187535.7358252672</v>
      </c>
      <c r="H52" s="22">
        <f t="shared" si="21"/>
        <v>-1223161.8079000248</v>
      </c>
      <c r="I52" s="22">
        <f t="shared" si="21"/>
        <v>-1259856.6621370255</v>
      </c>
      <c r="J52" s="22">
        <f t="shared" si="21"/>
        <v>-1297652.3620011364</v>
      </c>
      <c r="K52" s="23">
        <f t="shared" si="21"/>
        <v>-1336581.9328611705</v>
      </c>
      <c r="N52" s="3515"/>
      <c r="O52" s="3516"/>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-106095</v>
      </c>
      <c r="C53" s="22">
        <f>IF(AND('Part VII-Pro Forma'!$G$8="Yes",'Part VII-Pro Forma'!$G$9="Yes"),"Choose One!",IF('Part VII-Pro Forma'!$G$8="Yes",ROUND((-$K$8*(1+'Part VII-Pro Forma'!$B$6)^('Part VII-Pro Forma'!C45-1)),),IF('Part VII-Pro Forma'!$G$9="Yes",ROUND((-(SUM(C46:C49)*'Part VII-Pro Forma'!$K$9)),),"Choose mgt fee")))</f>
        <v>-109278</v>
      </c>
      <c r="D53" s="22">
        <f>IF(AND('Part VII-Pro Forma'!$G$8="Yes",'Part VII-Pro Forma'!$G$9="Yes"),"Choose One!",IF('Part VII-Pro Forma'!$G$8="Yes",ROUND((-$K$8*(1+'Part VII-Pro Forma'!$B$6)^('Part VII-Pro Forma'!D45-1)),),IF('Part VII-Pro Forma'!$G$9="Yes",ROUND((-(SUM(D46:D49)*'Part VII-Pro Forma'!$K$9)),),"Choose mgt fee")))</f>
        <v>-112557</v>
      </c>
      <c r="E53" s="22">
        <f>IF(AND('Part VII-Pro Forma'!$G$8="Yes",'Part VII-Pro Forma'!$G$9="Yes"),"Choose One!",IF('Part VII-Pro Forma'!$G$8="Yes",ROUND((-$K$8*(1+'Part VII-Pro Forma'!$B$6)^('Part VII-Pro Forma'!E45-1)),),IF('Part VII-Pro Forma'!$G$9="Yes",ROUND((-(SUM(E46:E49)*'Part VII-Pro Forma'!$K$9)),),"Choose mgt fee")))</f>
        <v>-115933</v>
      </c>
      <c r="F53" s="22">
        <f>IF(AND('Part VII-Pro Forma'!$G$8="Yes",'Part VII-Pro Forma'!$G$9="Yes"),"Choose One!",IF('Part VII-Pro Forma'!$G$8="Yes",ROUND((-$K$8*(1+'Part VII-Pro Forma'!$B$6)^('Part VII-Pro Forma'!F45-1)),),IF('Part VII-Pro Forma'!$G$9="Yes",ROUND((-(SUM(F46:F49)*'Part VII-Pro Forma'!$K$9)),),"Choose mgt fee")))</f>
        <v>-119411</v>
      </c>
      <c r="G53" s="22">
        <f>IF(AND('Part VII-Pro Forma'!$G$8="Yes",'Part VII-Pro Forma'!$G$9="Yes"),"Choose One!",IF('Part VII-Pro Forma'!$G$8="Yes",ROUND((-$K$8*(1+'Part VII-Pro Forma'!$B$6)^('Part VII-Pro Forma'!G45-1)),),IF('Part VII-Pro Forma'!$G$9="Yes",ROUND((-(SUM(G46:G49)*'Part VII-Pro Forma'!$K$9)),),"Choose mgt fee")))</f>
        <v>-122994</v>
      </c>
      <c r="H53" s="22">
        <f>IF(AND('Part VII-Pro Forma'!$G$8="Yes",'Part VII-Pro Forma'!$G$9="Yes"),"Choose One!",IF('Part VII-Pro Forma'!$G$8="Yes",ROUND((-$K$8*(1+'Part VII-Pro Forma'!$B$6)^('Part VII-Pro Forma'!H45-1)),),IF('Part VII-Pro Forma'!$G$9="Yes",ROUND((-(SUM(H46:H49)*'Part VII-Pro Forma'!$K$9)),),"Choose mgt fee")))</f>
        <v>-126684</v>
      </c>
      <c r="I53" s="22">
        <f>IF(AND('Part VII-Pro Forma'!$G$8="Yes",'Part VII-Pro Forma'!$G$9="Yes"),"Choose One!",IF('Part VII-Pro Forma'!$G$8="Yes",ROUND((-$K$8*(1+'Part VII-Pro Forma'!$B$6)^('Part VII-Pro Forma'!I45-1)),),IF('Part VII-Pro Forma'!$G$9="Yes",ROUND((-(SUM(I46:I49)*'Part VII-Pro Forma'!$K$9)),),"Choose mgt fee")))</f>
        <v>-130484</v>
      </c>
      <c r="J53" s="22">
        <f>IF(AND('Part VII-Pro Forma'!$G$8="Yes",'Part VII-Pro Forma'!$G$9="Yes"),"Choose One!",IF('Part VII-Pro Forma'!$G$8="Yes",ROUND((-$K$8*(1+'Part VII-Pro Forma'!$B$6)^('Part VII-Pro Forma'!J45-1)),),IF('Part VII-Pro Forma'!$G$9="Yes",ROUND((-(SUM(J46:J49)*'Part VII-Pro Forma'!$K$9)),),"Choose mgt fee")))</f>
        <v>-134399</v>
      </c>
      <c r="K53" s="23">
        <f>IF(AND('Part VII-Pro Forma'!$G$8="Yes",'Part VII-Pro Forma'!$G$9="Yes"),"Choose One!",IF('Part VII-Pro Forma'!$G$8="Yes",ROUND((-$K$8*(1+'Part VII-Pro Forma'!$B$6)^('Part VII-Pro Forma'!K45-1)),),IF('Part VII-Pro Forma'!$G$9="Yes",ROUND((-(SUM(K46:K49)*'Part VII-Pro Forma'!$K$9)),),"Choose mgt fee")))</f>
        <v>-138431</v>
      </c>
      <c r="N53" s="3515"/>
      <c r="O53" s="3516"/>
    </row>
    <row r="54" spans="1:19" ht="13.35" customHeight="1">
      <c r="A54" s="21" t="s">
        <v>1202</v>
      </c>
      <c r="B54" s="22">
        <f t="shared" ref="B54:K54" si="22">$B$22*(1+$B$7)^(B45-1)</f>
        <v>-62895.286553304897</v>
      </c>
      <c r="C54" s="22">
        <f t="shared" si="22"/>
        <v>-64782.145149904049</v>
      </c>
      <c r="D54" s="22">
        <f t="shared" si="22"/>
        <v>-66725.60950440116</v>
      </c>
      <c r="E54" s="22">
        <f t="shared" si="22"/>
        <v>-68727.377789533188</v>
      </c>
      <c r="F54" s="22">
        <f t="shared" si="22"/>
        <v>-70789.199123219194</v>
      </c>
      <c r="G54" s="22">
        <f t="shared" si="22"/>
        <v>-72912.87509691577</v>
      </c>
      <c r="H54" s="22">
        <f t="shared" si="22"/>
        <v>-75100.261349823239</v>
      </c>
      <c r="I54" s="22">
        <f t="shared" si="22"/>
        <v>-77353.269190317937</v>
      </c>
      <c r="J54" s="22">
        <f t="shared" si="22"/>
        <v>-79673.867266027475</v>
      </c>
      <c r="K54" s="23">
        <f t="shared" si="22"/>
        <v>-82064.083284008288</v>
      </c>
      <c r="N54" s="3515"/>
      <c r="O54" s="3516"/>
    </row>
    <row r="55" spans="1:19" ht="13.35" customHeight="1">
      <c r="A55" s="483" t="s">
        <v>4938</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15"/>
      <c r="O55" s="3516"/>
      <c r="Q55" s="1125">
        <v>10</v>
      </c>
      <c r="R55" s="1333">
        <f>-SUM(B60:K60)</f>
        <v>0</v>
      </c>
      <c r="S55" s="1333">
        <f>SUM(B61:K61)+R55</f>
        <v>0</v>
      </c>
    </row>
    <row r="56" spans="1:19" ht="13.35" customHeight="1">
      <c r="A56" s="21" t="s">
        <v>1203</v>
      </c>
      <c r="B56" s="22">
        <f>SUM(B51:B55)</f>
        <v>731309.48120973131</v>
      </c>
      <c r="C56" s="22">
        <f t="shared" ref="C56" si="23">SUM(C51:C55)</f>
        <v>734001.83039346244</v>
      </c>
      <c r="D56" s="22">
        <f t="shared" ref="D56" si="24">SUM(D51:D55)</f>
        <v>736389.50434765546</v>
      </c>
      <c r="E56" s="22">
        <f t="shared" ref="E56" si="25">SUM(E51:E55)</f>
        <v>738457.5441013216</v>
      </c>
      <c r="F56" s="22">
        <f t="shared" ref="F56" si="26">SUM(F51:F55)</f>
        <v>740186.41794006189</v>
      </c>
      <c r="G56" s="22">
        <f t="shared" ref="G56" si="27">SUM(G51:G55)</f>
        <v>741558.00114427833</v>
      </c>
      <c r="H56" s="22">
        <f t="shared" ref="H56" si="28">SUM(H51:H55)</f>
        <v>742554.55505794275</v>
      </c>
      <c r="I56" s="22">
        <f t="shared" ref="I56" si="29">SUM(I51:I55)</f>
        <v>743156.70546660339</v>
      </c>
      <c r="J56" s="22">
        <f t="shared" ref="J56" si="30">SUM(J51:J55)</f>
        <v>743342.420262662</v>
      </c>
      <c r="K56" s="2567">
        <f>SUM(K51:K55)</f>
        <v>743091.98637524364</v>
      </c>
      <c r="N56" s="3515"/>
      <c r="O56" s="3516"/>
    </row>
    <row r="57" spans="1:19" ht="13.35" customHeight="1">
      <c r="A57" s="21" t="str">
        <f>$A25</f>
        <v>Mortgage A</v>
      </c>
      <c r="B57" s="485">
        <f>IF('Part III-Sources of Funds'!$P$38="", 0,-'Part III-Sources of Funds'!$P$38)</f>
        <v>-548701.65721672866</v>
      </c>
      <c r="C57" s="485">
        <f>IF('Part III-Sources of Funds'!$P$38="", 0,-'Part III-Sources of Funds'!$P$38)</f>
        <v>-548701.65721672866</v>
      </c>
      <c r="D57" s="485">
        <f>IF('Part III-Sources of Funds'!$P$38="", 0,-'Part III-Sources of Funds'!$P$38)</f>
        <v>-548701.65721672866</v>
      </c>
      <c r="E57" s="485">
        <f>IF('Part III-Sources of Funds'!$P$38="", 0,-'Part III-Sources of Funds'!$P$38)</f>
        <v>-548701.65721672866</v>
      </c>
      <c r="F57" s="485">
        <f>IF('Part III-Sources of Funds'!$P$38="", 0,-'Part III-Sources of Funds'!$P$38)</f>
        <v>-548701.65721672866</v>
      </c>
      <c r="G57" s="485">
        <f>IF('Part III-Sources of Funds'!$P$38="", 0,-'Part III-Sources of Funds'!$P$38)</f>
        <v>-548701.65721672866</v>
      </c>
      <c r="H57" s="485">
        <f>IF('Part III-Sources of Funds'!$P$38="", 0,-'Part III-Sources of Funds'!$P$38)</f>
        <v>-548701.65721672866</v>
      </c>
      <c r="I57" s="485">
        <f>IF('Part III-Sources of Funds'!$P$38="", 0,-'Part III-Sources of Funds'!$P$38)</f>
        <v>-548701.65721672866</v>
      </c>
      <c r="J57" s="485">
        <f>IF('Part III-Sources of Funds'!$P$38="", 0,-'Part III-Sources of Funds'!$P$38)</f>
        <v>-548701.65721672866</v>
      </c>
      <c r="K57" s="485">
        <f>IF('Part III-Sources of Funds'!$P$38="", 0,-'Part III-Sources of Funds'!$P$38)</f>
        <v>-548701.65721672866</v>
      </c>
      <c r="N57" s="3515"/>
      <c r="O57" s="3516"/>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15"/>
      <c r="O58" s="3516"/>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5"/>
      <c r="O59" s="3516"/>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5"/>
      <c r="O60" s="3516"/>
    </row>
    <row r="61" spans="1:19" ht="13.35" customHeight="1">
      <c r="A61" s="21" t="s">
        <v>763</v>
      </c>
      <c r="B61" s="180"/>
      <c r="C61" s="180"/>
      <c r="D61" s="180"/>
      <c r="E61" s="180"/>
      <c r="F61" s="180"/>
      <c r="G61" s="180"/>
      <c r="H61" s="180"/>
      <c r="I61" s="180"/>
      <c r="J61" s="180"/>
      <c r="K61" s="180"/>
      <c r="N61" s="3515"/>
      <c r="O61" s="3516"/>
    </row>
    <row r="62" spans="1:19" ht="13.35" customHeight="1">
      <c r="A62" s="483" t="s">
        <v>1163</v>
      </c>
      <c r="B62" s="241">
        <f>+K30*1.03</f>
        <v>-6719.5818967206096</v>
      </c>
      <c r="C62" s="241">
        <f t="shared" ref="C62:F62" si="31">+B62*1.03</f>
        <v>-6921.1693536222283</v>
      </c>
      <c r="D62" s="241">
        <f t="shared" si="31"/>
        <v>-7128.8044342308949</v>
      </c>
      <c r="E62" s="241">
        <f t="shared" si="31"/>
        <v>-7342.6685672578224</v>
      </c>
      <c r="F62" s="241">
        <f t="shared" si="31"/>
        <v>-7562.9486242755574</v>
      </c>
      <c r="G62" s="241"/>
      <c r="H62" s="241"/>
      <c r="I62" s="241"/>
      <c r="J62" s="241"/>
      <c r="K62" s="241"/>
      <c r="N62" s="3515"/>
      <c r="O62" s="3516"/>
      <c r="Q62" s="1125"/>
      <c r="R62" s="1333"/>
    </row>
    <row r="63" spans="1:19" ht="13.35" customHeight="1">
      <c r="A63" s="483" t="s">
        <v>4083</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15"/>
      <c r="O63" s="3516"/>
    </row>
    <row r="64" spans="1:19" ht="13.35" customHeight="1">
      <c r="A64" s="21" t="s">
        <v>1164</v>
      </c>
      <c r="B64" s="22">
        <f t="shared" ref="B64:K64" si="32">SUM(B56:B63)</f>
        <v>175888.24209628205</v>
      </c>
      <c r="C64" s="22">
        <f t="shared" si="32"/>
        <v>178379.00382311156</v>
      </c>
      <c r="D64" s="22">
        <f t="shared" si="32"/>
        <v>180559.04269669589</v>
      </c>
      <c r="E64" s="22">
        <f t="shared" si="32"/>
        <v>182413.21831733512</v>
      </c>
      <c r="F64" s="22">
        <f t="shared" si="32"/>
        <v>183921.81209905766</v>
      </c>
      <c r="G64" s="22">
        <f t="shared" si="32"/>
        <v>192856.34392754966</v>
      </c>
      <c r="H64" s="22">
        <f t="shared" si="32"/>
        <v>193852.89784121409</v>
      </c>
      <c r="I64" s="22">
        <f t="shared" si="32"/>
        <v>194455.04824987473</v>
      </c>
      <c r="J64" s="22">
        <f t="shared" si="32"/>
        <v>194640.76304593333</v>
      </c>
      <c r="K64" s="729">
        <f t="shared" si="32"/>
        <v>194390.32915851497</v>
      </c>
      <c r="N64" s="3515"/>
      <c r="O64" s="3516"/>
    </row>
    <row r="65" spans="1:15" ht="13.35" customHeight="1">
      <c r="A65" s="21" t="str">
        <f>$A33</f>
        <v>DCR Mortgage A</v>
      </c>
      <c r="B65" s="24">
        <f t="shared" ref="B65:K65" si="33">IF(B57=0,"",-B56/B57)</f>
        <v>1.3327998404802983</v>
      </c>
      <c r="C65" s="24">
        <f t="shared" si="33"/>
        <v>1.3377066038339722</v>
      </c>
      <c r="D65" s="24">
        <f t="shared" si="33"/>
        <v>1.3420581014516473</v>
      </c>
      <c r="E65" s="24">
        <f t="shared" si="33"/>
        <v>1.3458270708477964</v>
      </c>
      <c r="F65" s="24">
        <f t="shared" si="33"/>
        <v>1.3489779157851163</v>
      </c>
      <c r="G65" s="24">
        <f t="shared" si="33"/>
        <v>1.351477604251839</v>
      </c>
      <c r="H65" s="24">
        <f t="shared" si="33"/>
        <v>1.3532938078308832</v>
      </c>
      <c r="I65" s="24">
        <f t="shared" si="33"/>
        <v>1.3543912173260815</v>
      </c>
      <c r="J65" s="24">
        <f t="shared" si="33"/>
        <v>1.3547296795734904</v>
      </c>
      <c r="K65" s="25">
        <f t="shared" si="33"/>
        <v>1.3542732678165281</v>
      </c>
      <c r="N65" s="3515"/>
      <c r="O65" s="3516"/>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15"/>
      <c r="O66" s="3516"/>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15"/>
      <c r="O67" s="3516"/>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15"/>
      <c r="O68" s="3516"/>
    </row>
    <row r="69" spans="1:15" ht="13.35" customHeight="1">
      <c r="A69" s="483" t="s">
        <v>3712</v>
      </c>
      <c r="B69" s="24">
        <f t="shared" ref="B69:K69" si="37">IF(AND(B57=0,B58=0,B59=0,B60=0),"",-B56/(B57+B58+B59+B60))</f>
        <v>1.3327998404802983</v>
      </c>
      <c r="C69" s="24">
        <f t="shared" si="37"/>
        <v>1.3377066038339722</v>
      </c>
      <c r="D69" s="24">
        <f t="shared" si="37"/>
        <v>1.3420581014516473</v>
      </c>
      <c r="E69" s="24">
        <f t="shared" si="37"/>
        <v>1.3458270708477964</v>
      </c>
      <c r="F69" s="24">
        <f t="shared" si="37"/>
        <v>1.3489779157851163</v>
      </c>
      <c r="G69" s="24">
        <f t="shared" si="37"/>
        <v>1.351477604251839</v>
      </c>
      <c r="H69" s="24">
        <f t="shared" si="37"/>
        <v>1.3532938078308832</v>
      </c>
      <c r="I69" s="24">
        <f t="shared" si="37"/>
        <v>1.3543912173260815</v>
      </c>
      <c r="J69" s="24">
        <f t="shared" si="37"/>
        <v>1.3547296795734904</v>
      </c>
      <c r="K69" s="25">
        <f t="shared" si="37"/>
        <v>1.3542732678165281</v>
      </c>
      <c r="N69" s="3515"/>
      <c r="O69" s="3516"/>
    </row>
    <row r="70" spans="1:15" ht="13.35" customHeight="1">
      <c r="A70" s="21" t="s">
        <v>770</v>
      </c>
      <c r="B70" s="296">
        <f t="shared" ref="B70:K70" si="38">IF(OR(B53="Choose mgt fee",B53="Choose One!"),"",(B46+B47+B48+B49+B50) / -(B52+B53+B54))</f>
        <v>1.6128108357244793</v>
      </c>
      <c r="C70" s="296">
        <f t="shared" si="38"/>
        <v>1.5971522831899134</v>
      </c>
      <c r="D70" s="296">
        <f t="shared" si="38"/>
        <v>1.5816451258186297</v>
      </c>
      <c r="E70" s="296">
        <f t="shared" si="38"/>
        <v>1.5662902006915145</v>
      </c>
      <c r="F70" s="296">
        <f t="shared" si="38"/>
        <v>1.551083488165802</v>
      </c>
      <c r="G70" s="296">
        <f t="shared" si="38"/>
        <v>1.5360236812786665</v>
      </c>
      <c r="H70" s="296">
        <f t="shared" si="38"/>
        <v>1.5211106378565293</v>
      </c>
      <c r="I70" s="296">
        <f t="shared" si="38"/>
        <v>1.5063431071044302</v>
      </c>
      <c r="J70" s="296">
        <f t="shared" si="38"/>
        <v>1.4917179430967165</v>
      </c>
      <c r="K70" s="297">
        <f t="shared" si="38"/>
        <v>1.4772352161583504</v>
      </c>
      <c r="N70" s="3515"/>
      <c r="O70" s="3516"/>
    </row>
    <row r="71" spans="1:15" ht="13.35" customHeight="1">
      <c r="A71" s="483" t="s">
        <v>2616</v>
      </c>
      <c r="B71" s="240">
        <f>IF('Part III-Sources of Funds'!$I$38="","",-FV('Part III-Sources of Funds'!$K$38/12,12,B57/12,K39))</f>
        <v>9033071.8594683446</v>
      </c>
      <c r="C71" s="240">
        <f>IF('Part III-Sources of Funds'!$I$38="","",-FV('Part III-Sources of Funds'!$K$38/12,12,C57/12,B71))</f>
        <v>8874165.4697555304</v>
      </c>
      <c r="D71" s="240">
        <f>IF('Part III-Sources of Funds'!$I$38="","",-FV('Part III-Sources of Funds'!$K$38/12,12,D57/12,C71))</f>
        <v>8708207.1566132288</v>
      </c>
      <c r="E71" s="240">
        <f>IF('Part III-Sources of Funds'!$I$38="","",-FV('Part III-Sources of Funds'!$K$38/12,12,E57/12,D71))</f>
        <v>8534883.9708633404</v>
      </c>
      <c r="F71" s="240">
        <f>IF('Part III-Sources of Funds'!$I$38="","",-FV('Part III-Sources of Funds'!$K$38/12,12,F57/12,E71))</f>
        <v>8353869.0753170615</v>
      </c>
      <c r="G71" s="240">
        <f>IF('Part III-Sources of Funds'!$I$38="","",-FV('Part III-Sources of Funds'!$K$38/12,12,G57/12,F71))</f>
        <v>8164821.1284548743</v>
      </c>
      <c r="H71" s="240">
        <f>IF('Part III-Sources of Funds'!$I$38="","",-FV('Part III-Sources of Funds'!$K$38/12,12,H57/12,G71))</f>
        <v>7967383.6407555742</v>
      </c>
      <c r="I71" s="240">
        <f>IF('Part III-Sources of Funds'!$I$38="","",-FV('Part III-Sources of Funds'!$K$38/12,12,I57/12,H71))</f>
        <v>7761184.3024605745</v>
      </c>
      <c r="J71" s="240">
        <f>IF('Part III-Sources of Funds'!$I$38="","",-FV('Part III-Sources of Funds'!$K$38/12,12,J57/12,I71))</f>
        <v>7545834.2815058324</v>
      </c>
      <c r="K71" s="240">
        <f>IF('Part III-Sources of Funds'!$I$38="","",-FV('Part III-Sources of Funds'!$K$38/12,12,K57/12,J71))</f>
        <v>7320927.4902975103</v>
      </c>
      <c r="N71" s="3515"/>
      <c r="O71" s="3516"/>
    </row>
    <row r="72" spans="1:15" ht="13.35" customHeight="1">
      <c r="A72" s="483" t="s">
        <v>2617</v>
      </c>
      <c r="B72" s="241">
        <f>IF('Part III-Sources of Funds'!$I$39="","",-FV('Part III-Sources of Funds'!$K$39/12,12,B58/12,K40))</f>
        <v>2232453.8745822241</v>
      </c>
      <c r="C72" s="241">
        <f>IF('Part III-Sources of Funds'!$I$39="","",-FV('Part III-Sources of Funds'!$K$39/12,12,C58/12,B72))</f>
        <v>2254881.0188887119</v>
      </c>
      <c r="D72" s="241">
        <f>IF('Part III-Sources of Funds'!$I$39="","",-FV('Part III-Sources of Funds'!$K$39/12,12,D58/12,C72))</f>
        <v>2277533.4654097138</v>
      </c>
      <c r="E72" s="241">
        <f>IF('Part III-Sources of Funds'!$I$39="","",-FV('Part III-Sources of Funds'!$K$39/12,12,E58/12,D72))</f>
        <v>2300413.4775224645</v>
      </c>
      <c r="F72" s="241">
        <f>IF('Part III-Sources of Funds'!$I$39="","",-FV('Part III-Sources of Funds'!$K$39/12,12,F58/12,E72))</f>
        <v>2323523.341341998</v>
      </c>
      <c r="G72" s="241">
        <f>IF('Part III-Sources of Funds'!$I$39="","",-FV('Part III-Sources of Funds'!$K$39/12,12,G58/12,F72))</f>
        <v>2346865.3659495707</v>
      </c>
      <c r="H72" s="241">
        <f>IF('Part III-Sources of Funds'!$I$39="","",-FV('Part III-Sources of Funds'!$K$39/12,12,H58/12,G72))</f>
        <v>2370441.8836233788</v>
      </c>
      <c r="I72" s="241">
        <f>IF('Part III-Sources of Funds'!$I$39="","",-FV('Part III-Sources of Funds'!$K$39/12,12,I58/12,H72))</f>
        <v>2394255.250071594</v>
      </c>
      <c r="J72" s="241">
        <f>IF('Part III-Sources of Funds'!$I$39="","",-FV('Part III-Sources of Funds'!$K$39/12,12,J58/12,I72))</f>
        <v>2418307.8446677402</v>
      </c>
      <c r="K72" s="241">
        <f>IF('Part III-Sources of Funds'!$I$39="","",-FV('Part III-Sources of Funds'!$K$39/12,12,K58/12,J72))</f>
        <v>2442602.0706884344</v>
      </c>
      <c r="N72" s="3515"/>
      <c r="O72" s="3516"/>
    </row>
    <row r="73" spans="1:15" ht="13.35" customHeight="1">
      <c r="A73" s="483" t="s">
        <v>2618</v>
      </c>
      <c r="B73" s="241">
        <f>IF('Part III-Sources of Funds'!$I$40="","",-FV('Part III-Sources of Funds'!$K$40/12,12,B59/12,K41))</f>
        <v>720000</v>
      </c>
      <c r="C73" s="241">
        <f>IF('Part III-Sources of Funds'!$I$40="","",-FV('Part III-Sources of Funds'!$K$40/12,12,C59/12,B73))</f>
        <v>720000</v>
      </c>
      <c r="D73" s="241">
        <f>IF('Part III-Sources of Funds'!$I$40="","",-FV('Part III-Sources of Funds'!$K$40/12,12,D59/12,C73))</f>
        <v>720000</v>
      </c>
      <c r="E73" s="241">
        <f>IF('Part III-Sources of Funds'!$I$40="","",-FV('Part III-Sources of Funds'!$K$40/12,12,E59/12,D73))</f>
        <v>720000</v>
      </c>
      <c r="F73" s="241">
        <f>IF('Part III-Sources of Funds'!$I$40="","",-FV('Part III-Sources of Funds'!$K$40/12,12,F59/12,E73))</f>
        <v>720000</v>
      </c>
      <c r="G73" s="241">
        <f>IF('Part III-Sources of Funds'!$I$40="","",-FV('Part III-Sources of Funds'!$K$40/12,12,G59/12,F73))</f>
        <v>720000</v>
      </c>
      <c r="H73" s="241">
        <f>IF('Part III-Sources of Funds'!$I$40="","",-FV('Part III-Sources of Funds'!$K$40/12,12,H59/12,G73))</f>
        <v>720000</v>
      </c>
      <c r="I73" s="241">
        <f>IF('Part III-Sources of Funds'!$I$40="","",-FV('Part III-Sources of Funds'!$K$40/12,12,I59/12,H73))</f>
        <v>720000</v>
      </c>
      <c r="J73" s="241">
        <f>IF('Part III-Sources of Funds'!$I$40="","",-FV('Part III-Sources of Funds'!$K$40/12,12,J59/12,I73))</f>
        <v>720000</v>
      </c>
      <c r="K73" s="241">
        <f>IF('Part III-Sources of Funds'!$I$40="","",-FV('Part III-Sources of Funds'!$K$40/12,12,K59/12,J73))</f>
        <v>720000</v>
      </c>
      <c r="N73" s="3515"/>
      <c r="O73" s="3516"/>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5"/>
      <c r="O74" s="3516"/>
    </row>
    <row r="75" spans="1:15" ht="13.35" customHeight="1">
      <c r="A75" s="483" t="s">
        <v>4084</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57"/>
      <c r="O75" s="3559"/>
    </row>
    <row r="76" spans="1:15" ht="4.3499999999999996" customHeight="1">
      <c r="B76" s="17"/>
      <c r="C76" s="17"/>
      <c r="D76" s="17"/>
      <c r="E76" s="17"/>
      <c r="F76" s="17"/>
      <c r="G76" s="17"/>
      <c r="H76" s="17"/>
      <c r="I76" s="17"/>
      <c r="J76" s="17"/>
      <c r="K76" s="17"/>
    </row>
    <row r="77" spans="1:15" ht="14.45" customHeight="1">
      <c r="A77" s="13" t="s">
        <v>2479</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68" t="s">
        <v>2622</v>
      </c>
      <c r="O77" s="3168"/>
    </row>
    <row r="78" spans="1:15" ht="13.35" customHeight="1">
      <c r="A78" s="18" t="s">
        <v>2403</v>
      </c>
      <c r="B78" s="19">
        <f t="shared" ref="B78:K78" si="40">$B$14*(1+$B$5)^(B77-1)</f>
        <v>2473300.0027101315</v>
      </c>
      <c r="C78" s="19">
        <f t="shared" si="40"/>
        <v>2522766.002764334</v>
      </c>
      <c r="D78" s="19">
        <f t="shared" si="40"/>
        <v>2573221.3228196208</v>
      </c>
      <c r="E78" s="19">
        <f t="shared" si="40"/>
        <v>2624685.7492760126</v>
      </c>
      <c r="F78" s="19">
        <f t="shared" si="40"/>
        <v>2677179.4642615332</v>
      </c>
      <c r="G78" s="19">
        <f t="shared" si="40"/>
        <v>2730723.053546764</v>
      </c>
      <c r="H78" s="19">
        <f t="shared" si="40"/>
        <v>2785337.5146176992</v>
      </c>
      <c r="I78" s="19">
        <f t="shared" si="40"/>
        <v>2841044.264910053</v>
      </c>
      <c r="J78" s="19">
        <f t="shared" si="40"/>
        <v>2897865.1502082543</v>
      </c>
      <c r="K78" s="20">
        <f t="shared" si="40"/>
        <v>2955822.4532124191</v>
      </c>
      <c r="N78" s="3523"/>
      <c r="O78" s="3524"/>
    </row>
    <row r="79" spans="1:15" ht="13.35" customHeight="1">
      <c r="A79" s="21" t="s">
        <v>1016</v>
      </c>
      <c r="B79" s="22">
        <f t="shared" ref="B79:K79" si="41">$B$15*(1+$B$5)^(B77-1)</f>
        <v>49466.000054202625</v>
      </c>
      <c r="C79" s="22">
        <f t="shared" si="41"/>
        <v>50455.320055286677</v>
      </c>
      <c r="D79" s="22">
        <f t="shared" si="41"/>
        <v>51464.426456392408</v>
      </c>
      <c r="E79" s="22">
        <f t="shared" si="41"/>
        <v>52493.714985520252</v>
      </c>
      <c r="F79" s="22">
        <f t="shared" si="41"/>
        <v>53543.589285230657</v>
      </c>
      <c r="G79" s="22">
        <f t="shared" si="41"/>
        <v>54614.461070935271</v>
      </c>
      <c r="H79" s="22">
        <f t="shared" si="41"/>
        <v>55706.75029235398</v>
      </c>
      <c r="I79" s="22">
        <f t="shared" si="41"/>
        <v>56820.88529820105</v>
      </c>
      <c r="J79" s="22">
        <f t="shared" si="41"/>
        <v>57957.303004165085</v>
      </c>
      <c r="K79" s="23">
        <f t="shared" si="41"/>
        <v>59116.44906424838</v>
      </c>
      <c r="N79" s="3515"/>
      <c r="O79" s="3516"/>
    </row>
    <row r="80" spans="1:15" ht="13.35" customHeight="1">
      <c r="A80" s="21" t="s">
        <v>2404</v>
      </c>
      <c r="B80" s="22">
        <f t="shared" ref="B80:K80" si="42">-(B78+B79)*$B$8</f>
        <v>-176593.62019350339</v>
      </c>
      <c r="C80" s="22">
        <f t="shared" si="42"/>
        <v>-180125.49259737346</v>
      </c>
      <c r="D80" s="22">
        <f t="shared" si="42"/>
        <v>-183728.00244932095</v>
      </c>
      <c r="E80" s="22">
        <f t="shared" si="42"/>
        <v>-187402.56249830732</v>
      </c>
      <c r="F80" s="22">
        <f t="shared" si="42"/>
        <v>-191150.61374827349</v>
      </c>
      <c r="G80" s="22">
        <f t="shared" si="42"/>
        <v>-194973.62602323896</v>
      </c>
      <c r="H80" s="22">
        <f t="shared" si="42"/>
        <v>-198873.09854370373</v>
      </c>
      <c r="I80" s="22">
        <f t="shared" si="42"/>
        <v>-202850.56051457778</v>
      </c>
      <c r="J80" s="22">
        <f t="shared" si="42"/>
        <v>-206907.5717248694</v>
      </c>
      <c r="K80" s="23">
        <f t="shared" si="42"/>
        <v>-211045.72315936672</v>
      </c>
      <c r="N80" s="3515"/>
      <c r="O80" s="3516"/>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5"/>
      <c r="O81" s="3516"/>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5"/>
      <c r="O82" s="3516"/>
    </row>
    <row r="83" spans="1:19" ht="13.35" customHeight="1">
      <c r="A83" s="483" t="s">
        <v>4939</v>
      </c>
      <c r="B83" s="22">
        <f t="shared" ref="B83:K83" si="43">SUM(B78:B82)</f>
        <v>2346172.3825708306</v>
      </c>
      <c r="C83" s="22">
        <f t="shared" si="43"/>
        <v>2393095.8302222472</v>
      </c>
      <c r="D83" s="22">
        <f t="shared" si="43"/>
        <v>2440957.746826692</v>
      </c>
      <c r="E83" s="22">
        <f t="shared" si="43"/>
        <v>2489776.9017632254</v>
      </c>
      <c r="F83" s="22">
        <f t="shared" si="43"/>
        <v>2539572.4397984906</v>
      </c>
      <c r="G83" s="22">
        <f t="shared" si="43"/>
        <v>2590363.8885944602</v>
      </c>
      <c r="H83" s="22">
        <f t="shared" si="43"/>
        <v>2642171.1663663494</v>
      </c>
      <c r="I83" s="22">
        <f t="shared" si="43"/>
        <v>2695014.5896936762</v>
      </c>
      <c r="J83" s="22">
        <f t="shared" si="43"/>
        <v>2748914.8814875502</v>
      </c>
      <c r="K83" s="23">
        <f t="shared" si="43"/>
        <v>2803893.1791173005</v>
      </c>
      <c r="N83" s="3515"/>
      <c r="O83" s="3516"/>
    </row>
    <row r="84" spans="1:19" ht="13.35" customHeight="1">
      <c r="A84" s="21" t="s">
        <v>614</v>
      </c>
      <c r="B84" s="22">
        <f t="shared" ref="B84:K84" si="44">$B$20*(1+$B$6)^(B77-1)</f>
        <v>-1376679.3908470056</v>
      </c>
      <c r="C84" s="22">
        <f t="shared" si="44"/>
        <v>-1417979.7725724154</v>
      </c>
      <c r="D84" s="22">
        <f t="shared" si="44"/>
        <v>-1460519.165749588</v>
      </c>
      <c r="E84" s="22">
        <f t="shared" si="44"/>
        <v>-1504334.7407220758</v>
      </c>
      <c r="F84" s="22">
        <f t="shared" si="44"/>
        <v>-1549464.7829437379</v>
      </c>
      <c r="G84" s="22">
        <f t="shared" si="44"/>
        <v>-1595948.7264320501</v>
      </c>
      <c r="H84" s="22">
        <f t="shared" si="44"/>
        <v>-1643827.1882250118</v>
      </c>
      <c r="I84" s="22">
        <f t="shared" si="44"/>
        <v>-1693142.003871762</v>
      </c>
      <c r="J84" s="22">
        <f t="shared" si="44"/>
        <v>-1743936.2639879149</v>
      </c>
      <c r="K84" s="23">
        <f t="shared" si="44"/>
        <v>-1796254.351907552</v>
      </c>
      <c r="N84" s="3515"/>
      <c r="O84" s="3516"/>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-142583</v>
      </c>
      <c r="C85" s="22">
        <f>IF(AND('Part VII-Pro Forma'!$G$8="Yes",'Part VII-Pro Forma'!$G$9="Yes"),"Choose One!",IF('Part VII-Pro Forma'!$G$8="Yes",ROUND((-$K$8*(1+'Part VII-Pro Forma'!$B$6)^('Part VII-Pro Forma'!C77-1)),),IF('Part VII-Pro Forma'!$G$9="Yes",ROUND((-(SUM(C78:C81)*'Part VII-Pro Forma'!$K$9)),),"Choose mgt fee")))</f>
        <v>-146861</v>
      </c>
      <c r="D85" s="22">
        <f>IF(AND('Part VII-Pro Forma'!$G$8="Yes",'Part VII-Pro Forma'!$G$9="Yes"),"Choose One!",IF('Part VII-Pro Forma'!$G$8="Yes",ROUND((-$K$8*(1+'Part VII-Pro Forma'!$B$6)^('Part VII-Pro Forma'!D77-1)),),IF('Part VII-Pro Forma'!$G$9="Yes",ROUND((-(SUM(D78:D81)*'Part VII-Pro Forma'!$K$9)),),"Choose mgt fee")))</f>
        <v>-151267</v>
      </c>
      <c r="E85" s="22">
        <f>IF(AND('Part VII-Pro Forma'!$G$8="Yes",'Part VII-Pro Forma'!$G$9="Yes"),"Choose One!",IF('Part VII-Pro Forma'!$G$8="Yes",ROUND((-$K$8*(1+'Part VII-Pro Forma'!$B$6)^('Part VII-Pro Forma'!E77-1)),),IF('Part VII-Pro Forma'!$G$9="Yes",ROUND((-(SUM(E78:E81)*'Part VII-Pro Forma'!$K$9)),),"Choose mgt fee")))</f>
        <v>-155805</v>
      </c>
      <c r="F85" s="22">
        <f>IF(AND('Part VII-Pro Forma'!$G$8="Yes",'Part VII-Pro Forma'!$G$9="Yes"),"Choose One!",IF('Part VII-Pro Forma'!$G$8="Yes",ROUND((-$K$8*(1+'Part VII-Pro Forma'!$B$6)^('Part VII-Pro Forma'!F77-1)),),IF('Part VII-Pro Forma'!$G$9="Yes",ROUND((-(SUM(F78:F81)*'Part VII-Pro Forma'!$K$9)),),"Choose mgt fee")))</f>
        <v>-160479</v>
      </c>
      <c r="G85" s="22">
        <f>IF(AND('Part VII-Pro Forma'!$G$8="Yes",'Part VII-Pro Forma'!$G$9="Yes"),"Choose One!",IF('Part VII-Pro Forma'!$G$8="Yes",ROUND((-$K$8*(1+'Part VII-Pro Forma'!$B$6)^('Part VII-Pro Forma'!G77-1)),),IF('Part VII-Pro Forma'!$G$9="Yes",ROUND((-(SUM(G78:G81)*'Part VII-Pro Forma'!$K$9)),),"Choose mgt fee")))</f>
        <v>-165293</v>
      </c>
      <c r="H85" s="22">
        <f>IF(AND('Part VII-Pro Forma'!$G$8="Yes",'Part VII-Pro Forma'!$G$9="Yes"),"Choose One!",IF('Part VII-Pro Forma'!$G$8="Yes",ROUND((-$K$8*(1+'Part VII-Pro Forma'!$B$6)^('Part VII-Pro Forma'!H77-1)),),IF('Part VII-Pro Forma'!$G$9="Yes",ROUND((-(SUM(H78:H81)*'Part VII-Pro Forma'!$K$9)),),"Choose mgt fee")))</f>
        <v>-170252</v>
      </c>
      <c r="I85" s="22">
        <f>IF(AND('Part VII-Pro Forma'!$G$8="Yes",'Part VII-Pro Forma'!$G$9="Yes"),"Choose One!",IF('Part VII-Pro Forma'!$G$8="Yes",ROUND((-$K$8*(1+'Part VII-Pro Forma'!$B$6)^('Part VII-Pro Forma'!I77-1)),),IF('Part VII-Pro Forma'!$G$9="Yes",ROUND((-(SUM(I78:I81)*'Part VII-Pro Forma'!$K$9)),),"Choose mgt fee")))</f>
        <v>-175360</v>
      </c>
      <c r="J85" s="22">
        <f>IF(AND('Part VII-Pro Forma'!$G$8="Yes",'Part VII-Pro Forma'!$G$9="Yes"),"Choose One!",IF('Part VII-Pro Forma'!$G$8="Yes",ROUND((-$K$8*(1+'Part VII-Pro Forma'!$B$6)^('Part VII-Pro Forma'!J77-1)),),IF('Part VII-Pro Forma'!$G$9="Yes",ROUND((-(SUM(J78:J81)*'Part VII-Pro Forma'!$K$9)),),"Choose mgt fee")))</f>
        <v>-180620</v>
      </c>
      <c r="K85" s="23">
        <f>IF(AND('Part VII-Pro Forma'!$G$8="Yes",'Part VII-Pro Forma'!$G$9="Yes"),"Choose One!",IF('Part VII-Pro Forma'!$G$8="Yes",ROUND((-$K$8*(1+'Part VII-Pro Forma'!$B$6)^('Part VII-Pro Forma'!K77-1)),),IF('Part VII-Pro Forma'!$G$9="Yes",ROUND((-(SUM(K78:K81)*'Part VII-Pro Forma'!$K$9)),),"Choose mgt fee")))</f>
        <v>-186039</v>
      </c>
      <c r="N85" s="3515"/>
      <c r="O85" s="3516"/>
    </row>
    <row r="86" spans="1:19" ht="13.35" customHeight="1">
      <c r="A86" s="21" t="s">
        <v>1202</v>
      </c>
      <c r="B86" s="22">
        <f t="shared" ref="B86:K86" si="45">$B$22*(1+$B$7)^(B77-1)</f>
        <v>-84526.005782528548</v>
      </c>
      <c r="C86" s="22">
        <f t="shared" si="45"/>
        <v>-87061.785956004387</v>
      </c>
      <c r="D86" s="22">
        <f t="shared" si="45"/>
        <v>-89673.639534684524</v>
      </c>
      <c r="E86" s="22">
        <f t="shared" si="45"/>
        <v>-92363.848720725073</v>
      </c>
      <c r="F86" s="22">
        <f t="shared" si="45"/>
        <v>-95134.7641823468</v>
      </c>
      <c r="G86" s="22">
        <f t="shared" si="45"/>
        <v>-97988.807107817207</v>
      </c>
      <c r="H86" s="22">
        <f t="shared" si="45"/>
        <v>-100928.47132105174</v>
      </c>
      <c r="I86" s="22">
        <f t="shared" si="45"/>
        <v>-103956.32546068328</v>
      </c>
      <c r="J86" s="22">
        <f t="shared" si="45"/>
        <v>-107075.01522450378</v>
      </c>
      <c r="K86" s="23">
        <f t="shared" si="45"/>
        <v>-110287.26568123887</v>
      </c>
      <c r="N86" s="3515"/>
      <c r="O86" s="3516"/>
    </row>
    <row r="87" spans="1:19" ht="13.35" customHeight="1">
      <c r="A87" s="483" t="s">
        <v>4938</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15"/>
      <c r="O87" s="3516"/>
      <c r="Q87" s="1125">
        <v>10</v>
      </c>
      <c r="R87" s="1333">
        <f>-SUM(B92:K92)</f>
        <v>0</v>
      </c>
      <c r="S87" s="1333">
        <f>SUM(B93:K93)+R87</f>
        <v>0</v>
      </c>
    </row>
    <row r="88" spans="1:19" ht="13.35" customHeight="1">
      <c r="A88" s="21" t="s">
        <v>1203</v>
      </c>
      <c r="B88" s="22">
        <f>SUM(B83:B87)</f>
        <v>742383.98594129644</v>
      </c>
      <c r="C88" s="22">
        <f t="shared" ref="C88" si="46">SUM(C83:C87)</f>
        <v>741193.27169382735</v>
      </c>
      <c r="D88" s="22">
        <f t="shared" ref="D88" si="47">SUM(D83:D87)</f>
        <v>739497.94154241949</v>
      </c>
      <c r="E88" s="22">
        <f t="shared" ref="E88" si="48">SUM(E83:E87)</f>
        <v>737273.31232042459</v>
      </c>
      <c r="F88" s="22">
        <f t="shared" ref="F88" si="49">SUM(F83:F87)</f>
        <v>734493.89267240593</v>
      </c>
      <c r="G88" s="22">
        <f t="shared" ref="G88" si="50">SUM(G83:G87)</f>
        <v>731133.35505459295</v>
      </c>
      <c r="H88" s="22">
        <f t="shared" ref="H88" si="51">SUM(H83:H87)</f>
        <v>727163.50682028593</v>
      </c>
      <c r="I88" s="22">
        <f t="shared" ref="I88" si="52">SUM(I83:I87)</f>
        <v>722556.26036123093</v>
      </c>
      <c r="J88" s="22">
        <f t="shared" ref="J88" si="53">SUM(J83:J87)</f>
        <v>717283.6022751315</v>
      </c>
      <c r="K88" s="2567">
        <f>SUM(K83:K87)</f>
        <v>711312.56152850972</v>
      </c>
      <c r="N88" s="3515"/>
      <c r="O88" s="3516"/>
    </row>
    <row r="89" spans="1:19" ht="13.35" customHeight="1">
      <c r="A89" s="21" t="str">
        <f>$A57</f>
        <v>Mortgage A</v>
      </c>
      <c r="B89" s="485">
        <f>IF('Part III-Sources of Funds'!$P$38="", 0,-'Part III-Sources of Funds'!$P$38)</f>
        <v>-548701.65721672866</v>
      </c>
      <c r="C89" s="485">
        <f>IF('Part III-Sources of Funds'!$P$38="", 0,-'Part III-Sources of Funds'!$P$38)</f>
        <v>-548701.65721672866</v>
      </c>
      <c r="D89" s="485">
        <f>IF('Part III-Sources of Funds'!$P$38="", 0,-'Part III-Sources of Funds'!$P$38)</f>
        <v>-548701.65721672866</v>
      </c>
      <c r="E89" s="485">
        <f>IF('Part III-Sources of Funds'!$P$38="", 0,-'Part III-Sources of Funds'!$P$38)</f>
        <v>-548701.65721672866</v>
      </c>
      <c r="F89" s="485">
        <f>IF('Part III-Sources of Funds'!$P$38="", 0,-'Part III-Sources of Funds'!$P$38)</f>
        <v>-548701.65721672866</v>
      </c>
      <c r="G89" s="485">
        <f>IF('Part III-Sources of Funds'!$P$38="", 0,-'Part III-Sources of Funds'!$P$38)</f>
        <v>-548701.65721672866</v>
      </c>
      <c r="H89" s="485">
        <f>IF('Part III-Sources of Funds'!$P$38="", 0,-'Part III-Sources of Funds'!$P$38)</f>
        <v>-548701.65721672866</v>
      </c>
      <c r="I89" s="485">
        <f>IF('Part III-Sources of Funds'!$P$38="", 0,-'Part III-Sources of Funds'!$P$38)</f>
        <v>-548701.65721672866</v>
      </c>
      <c r="J89" s="485">
        <f>IF('Part III-Sources of Funds'!$P$38="", 0,-'Part III-Sources of Funds'!$P$38)</f>
        <v>-548701.65721672866</v>
      </c>
      <c r="K89" s="485">
        <f>IF('Part III-Sources of Funds'!$P$38="", 0,-'Part III-Sources of Funds'!$P$38)</f>
        <v>-548701.65721672866</v>
      </c>
      <c r="N89" s="3515"/>
      <c r="O89" s="3516"/>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15"/>
      <c r="O90" s="3516"/>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5"/>
      <c r="O91" s="3516"/>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5"/>
      <c r="O92" s="3516"/>
    </row>
    <row r="93" spans="1:19" ht="13.35" customHeight="1">
      <c r="A93" s="21" t="s">
        <v>763</v>
      </c>
      <c r="B93" s="180"/>
      <c r="C93" s="180"/>
      <c r="D93" s="180"/>
      <c r="E93" s="180"/>
      <c r="F93" s="180"/>
      <c r="G93" s="180"/>
      <c r="H93" s="180"/>
      <c r="I93" s="180"/>
      <c r="J93" s="180"/>
      <c r="K93" s="180"/>
      <c r="N93" s="3515"/>
      <c r="O93" s="3516"/>
    </row>
    <row r="94" spans="1:19" ht="13.35" customHeight="1">
      <c r="A94" s="483" t="s">
        <v>1163</v>
      </c>
      <c r="B94" s="242"/>
      <c r="C94" s="242"/>
      <c r="D94" s="242"/>
      <c r="E94" s="242"/>
      <c r="F94" s="242"/>
      <c r="G94" s="242"/>
      <c r="H94" s="242"/>
      <c r="I94" s="242"/>
      <c r="J94" s="242"/>
      <c r="K94" s="242"/>
      <c r="N94" s="3515"/>
      <c r="O94" s="3516"/>
    </row>
    <row r="95" spans="1:19" ht="13.35" customHeight="1">
      <c r="A95" s="21" t="s">
        <v>1164</v>
      </c>
      <c r="B95" s="22">
        <f t="shared" ref="B95:K95" si="54">SUM(B88:B94)</f>
        <v>193682.32872456778</v>
      </c>
      <c r="C95" s="22">
        <f t="shared" si="54"/>
        <v>192491.61447709869</v>
      </c>
      <c r="D95" s="22">
        <f t="shared" si="54"/>
        <v>190796.28432569082</v>
      </c>
      <c r="E95" s="22">
        <f t="shared" si="54"/>
        <v>188571.65510369593</v>
      </c>
      <c r="F95" s="22">
        <f t="shared" si="54"/>
        <v>185792.23545567726</v>
      </c>
      <c r="G95" s="22">
        <f t="shared" si="54"/>
        <v>182431.69783786428</v>
      </c>
      <c r="H95" s="22">
        <f t="shared" si="54"/>
        <v>178461.84960355726</v>
      </c>
      <c r="I95" s="22">
        <f t="shared" si="54"/>
        <v>173854.60314450227</v>
      </c>
      <c r="J95" s="22">
        <f t="shared" si="54"/>
        <v>168581.94505840284</v>
      </c>
      <c r="K95" s="23">
        <f t="shared" si="54"/>
        <v>162610.90431178105</v>
      </c>
      <c r="N95" s="3515"/>
      <c r="O95" s="3516"/>
    </row>
    <row r="96" spans="1:19" ht="13.35" customHeight="1">
      <c r="A96" s="21" t="str">
        <f>$A65</f>
        <v>DCR Mortgage A</v>
      </c>
      <c r="B96" s="24">
        <f t="shared" ref="B96:K96" si="55">IF(B89=0,"",-B88/B89)</f>
        <v>1.3529829483421192</v>
      </c>
      <c r="C96" s="24">
        <f t="shared" si="55"/>
        <v>1.3508128906581149</v>
      </c>
      <c r="D96" s="24">
        <f t="shared" si="55"/>
        <v>1.3477231785548065</v>
      </c>
      <c r="E96" s="24">
        <f t="shared" si="55"/>
        <v>1.343668827355506</v>
      </c>
      <c r="F96" s="24">
        <f t="shared" si="55"/>
        <v>1.3386033794723755</v>
      </c>
      <c r="G96" s="24">
        <f t="shared" si="55"/>
        <v>1.3324788533777046</v>
      </c>
      <c r="H96" s="24">
        <f t="shared" si="55"/>
        <v>1.3252438684235057</v>
      </c>
      <c r="I96" s="24">
        <f t="shared" si="55"/>
        <v>1.3168472353926797</v>
      </c>
      <c r="J96" s="24">
        <f t="shared" si="55"/>
        <v>1.3072379003072987</v>
      </c>
      <c r="K96" s="25">
        <f t="shared" si="55"/>
        <v>1.296355773985848</v>
      </c>
      <c r="N96" s="3515"/>
      <c r="O96" s="3516"/>
    </row>
    <row r="97" spans="1:15" ht="13.35" customHeight="1">
      <c r="A97" s="21" t="str">
        <f>$A66</f>
        <v>DCR Mortgage B</v>
      </c>
      <c r="B97" s="24" t="str">
        <f t="shared" ref="B97:K97" si="56">IF(B90=0,"",-(B88+B89)/B90)</f>
        <v/>
      </c>
      <c r="C97" s="24" t="str">
        <f t="shared" si="56"/>
        <v/>
      </c>
      <c r="D97" s="24" t="str">
        <f t="shared" si="56"/>
        <v/>
      </c>
      <c r="E97" s="24" t="str">
        <f t="shared" si="56"/>
        <v/>
      </c>
      <c r="F97" s="24" t="str">
        <f t="shared" si="56"/>
        <v/>
      </c>
      <c r="G97" s="24" t="str">
        <f t="shared" si="56"/>
        <v/>
      </c>
      <c r="H97" s="24" t="str">
        <f t="shared" si="56"/>
        <v/>
      </c>
      <c r="I97" s="24" t="str">
        <f t="shared" si="56"/>
        <v/>
      </c>
      <c r="J97" s="24" t="str">
        <f t="shared" si="56"/>
        <v/>
      </c>
      <c r="K97" s="25" t="str">
        <f t="shared" si="56"/>
        <v/>
      </c>
      <c r="N97" s="3515"/>
      <c r="O97" s="3516"/>
    </row>
    <row r="98" spans="1:15" ht="13.35" customHeight="1">
      <c r="A98" s="21" t="str">
        <f>$A67</f>
        <v>DCR Mortgage C</v>
      </c>
      <c r="B98" s="24" t="str">
        <f t="shared" ref="B98:K98" si="57">IF(B91=0,"",-(B88+B89+B90)/B91)</f>
        <v/>
      </c>
      <c r="C98" s="24" t="str">
        <f t="shared" si="57"/>
        <v/>
      </c>
      <c r="D98" s="24" t="str">
        <f t="shared" si="57"/>
        <v/>
      </c>
      <c r="E98" s="24" t="str">
        <f t="shared" si="57"/>
        <v/>
      </c>
      <c r="F98" s="24" t="str">
        <f t="shared" si="57"/>
        <v/>
      </c>
      <c r="G98" s="24" t="str">
        <f t="shared" si="57"/>
        <v/>
      </c>
      <c r="H98" s="24" t="str">
        <f t="shared" si="57"/>
        <v/>
      </c>
      <c r="I98" s="24" t="str">
        <f t="shared" si="57"/>
        <v/>
      </c>
      <c r="J98" s="24" t="str">
        <f t="shared" si="57"/>
        <v/>
      </c>
      <c r="K98" s="25" t="str">
        <f t="shared" si="57"/>
        <v/>
      </c>
      <c r="N98" s="3515"/>
      <c r="O98" s="3516"/>
    </row>
    <row r="99" spans="1:15" ht="13.35" customHeight="1">
      <c r="A99" s="21" t="str">
        <f>$A68</f>
        <v>DCR Other Source</v>
      </c>
      <c r="B99" s="24" t="str">
        <f t="shared" ref="B99:K99" si="58">IF(B92=0,"",-(B88+B89+B90+B91)/B92)</f>
        <v/>
      </c>
      <c r="C99" s="24" t="str">
        <f t="shared" si="58"/>
        <v/>
      </c>
      <c r="D99" s="24" t="str">
        <f t="shared" si="58"/>
        <v/>
      </c>
      <c r="E99" s="24" t="str">
        <f t="shared" si="58"/>
        <v/>
      </c>
      <c r="F99" s="24" t="str">
        <f t="shared" si="58"/>
        <v/>
      </c>
      <c r="G99" s="24" t="str">
        <f t="shared" si="58"/>
        <v/>
      </c>
      <c r="H99" s="24" t="str">
        <f t="shared" si="58"/>
        <v/>
      </c>
      <c r="I99" s="24" t="str">
        <f t="shared" si="58"/>
        <v/>
      </c>
      <c r="J99" s="24" t="str">
        <f t="shared" si="58"/>
        <v/>
      </c>
      <c r="K99" s="25" t="str">
        <f t="shared" si="58"/>
        <v/>
      </c>
      <c r="N99" s="3515"/>
      <c r="O99" s="3516"/>
    </row>
    <row r="100" spans="1:15" ht="13.35" customHeight="1">
      <c r="A100" s="483" t="s">
        <v>3712</v>
      </c>
      <c r="B100" s="24">
        <f t="shared" ref="B100:K100" si="59">IF(AND(B89=0,B90=0,B91=0,B92=0),"",-B88/(B89+B90+B91+B92))</f>
        <v>1.3529829483421192</v>
      </c>
      <c r="C100" s="24">
        <f t="shared" si="59"/>
        <v>1.3508128906581149</v>
      </c>
      <c r="D100" s="24">
        <f t="shared" si="59"/>
        <v>1.3477231785548065</v>
      </c>
      <c r="E100" s="24">
        <f t="shared" si="59"/>
        <v>1.343668827355506</v>
      </c>
      <c r="F100" s="24">
        <f t="shared" si="59"/>
        <v>1.3386033794723755</v>
      </c>
      <c r="G100" s="24">
        <f t="shared" si="59"/>
        <v>1.3324788533777046</v>
      </c>
      <c r="H100" s="24">
        <f t="shared" si="59"/>
        <v>1.3252438684235057</v>
      </c>
      <c r="I100" s="24">
        <f t="shared" si="59"/>
        <v>1.3168472353926797</v>
      </c>
      <c r="J100" s="24">
        <f t="shared" si="59"/>
        <v>1.3072379003072987</v>
      </c>
      <c r="K100" s="25">
        <f t="shared" si="59"/>
        <v>1.296355773985848</v>
      </c>
      <c r="N100" s="3515"/>
      <c r="O100" s="3516"/>
    </row>
    <row r="101" spans="1:15" ht="13.35" customHeight="1">
      <c r="A101" s="21" t="s">
        <v>770</v>
      </c>
      <c r="B101" s="296">
        <f>IF(OR(B85="Choose mgt fee",B85="Choose One!"),"",(B78+B79+B80+B81+B82) / -(B84+B85+B86))</f>
        <v>1.4628939749791585</v>
      </c>
      <c r="C101" s="296">
        <f t="shared" ref="C101:K101" si="60">IF(OR(C85="Choose mgt fee",C85="Choose One!"),"",(C78+C79+C80+C81+C82) / -(C84+C85+C86))</f>
        <v>1.4486906735916141</v>
      </c>
      <c r="D101" s="296">
        <f t="shared" si="60"/>
        <v>1.4346255722560941</v>
      </c>
      <c r="E101" s="296">
        <f t="shared" si="60"/>
        <v>1.4206971767486287</v>
      </c>
      <c r="F101" s="296">
        <f t="shared" si="60"/>
        <v>1.4069041171874841</v>
      </c>
      <c r="G101" s="296">
        <f t="shared" si="60"/>
        <v>1.3932451311793796</v>
      </c>
      <c r="H101" s="296">
        <f t="shared" si="60"/>
        <v>1.3797183281202405</v>
      </c>
      <c r="I101" s="296">
        <f t="shared" si="60"/>
        <v>1.3663226997580078</v>
      </c>
      <c r="J101" s="296">
        <f t="shared" si="60"/>
        <v>1.3530579636247742</v>
      </c>
      <c r="K101" s="297">
        <f t="shared" si="60"/>
        <v>1.3399212224129893</v>
      </c>
      <c r="N101" s="3515"/>
      <c r="O101" s="3516"/>
    </row>
    <row r="102" spans="1:15" ht="13.35" customHeight="1">
      <c r="A102" s="483" t="s">
        <v>2616</v>
      </c>
      <c r="B102" s="240">
        <f>IF('Part III-Sources of Funds'!$I$38="","",-FV('Part III-Sources of Funds'!$K$38/12,12,B89/12,K71))</f>
        <v>7086039.8199487142</v>
      </c>
      <c r="C102" s="240">
        <f>IF('Part III-Sources of Funds'!$I$38="","",-FV('Part III-Sources of Funds'!$K$38/12,12,C89/12,B102))</f>
        <v>6840728.3405333115</v>
      </c>
      <c r="D102" s="240">
        <f>IF('Part III-Sources of Funds'!$I$38="","",-FV('Part III-Sources of Funds'!$K$38/12,12,D89/12,C102))</f>
        <v>6584530.4658487318</v>
      </c>
      <c r="E102" s="240">
        <f>IF('Part III-Sources of Funds'!$I$38="","",-FV('Part III-Sources of Funds'!$K$38/12,12,E89/12,D102))</f>
        <v>6316963.0811127434</v>
      </c>
      <c r="F102" s="240">
        <f>IF('Part III-Sources of Funds'!$I$38="","",-FV('Part III-Sources of Funds'!$K$38/12,12,F89/12,E102))</f>
        <v>6037521.6319492869</v>
      </c>
      <c r="G102" s="240">
        <f>IF('Part III-Sources of Funds'!$I$38="","",-FV('Part III-Sources of Funds'!$K$38/12,12,G89/12,F102))</f>
        <v>5745679.172945465</v>
      </c>
      <c r="H102" s="240">
        <f>IF('Part III-Sources of Funds'!$I$38="","",-FV('Part III-Sources of Funds'!$K$38/12,12,H89/12,G102))</f>
        <v>5440885.3739855373</v>
      </c>
      <c r="I102" s="240">
        <f>IF('Part III-Sources of Funds'!$I$38="","",-FV('Part III-Sources of Funds'!$K$38/12,12,I89/12,H102))</f>
        <v>5122565.4824881582</v>
      </c>
      <c r="J102" s="240">
        <f>IF('Part III-Sources of Funds'!$I$38="","",-FV('Part III-Sources of Funds'!$K$38/12,12,J89/12,I102))</f>
        <v>4790119.2395899389</v>
      </c>
      <c r="K102" s="240">
        <f>IF('Part III-Sources of Funds'!$I$38="","",-FV('Part III-Sources of Funds'!$K$38/12,12,K89/12,J102))</f>
        <v>4442919.7482315684</v>
      </c>
      <c r="N102" s="3515"/>
      <c r="O102" s="3516"/>
    </row>
    <row r="103" spans="1:15" ht="13.35" customHeight="1">
      <c r="A103" s="483" t="s">
        <v>2617</v>
      </c>
      <c r="B103" s="241">
        <f>IF('Part III-Sources of Funds'!$I$39="","",-FV('Part III-Sources of Funds'!$K$39/12,12,B90/12,K72))</f>
        <v>2467140.3555535167</v>
      </c>
      <c r="C103" s="241">
        <f>IF('Part III-Sources of Funds'!$I$39="","",-FV('Part III-Sources of Funds'!$K$39/12,12,C90/12,B103))</f>
        <v>2491925.151068592</v>
      </c>
      <c r="D103" s="241">
        <f>IF('Part III-Sources of Funds'!$I$39="","",-FV('Part III-Sources of Funds'!$K$39/12,12,D90/12,C103))</f>
        <v>2516958.9336700086</v>
      </c>
      <c r="E103" s="241">
        <f>IF('Part III-Sources of Funds'!$I$39="","",-FV('Part III-Sources of Funds'!$K$39/12,12,E90/12,D103))</f>
        <v>2542244.204672297</v>
      </c>
      <c r="F103" s="241">
        <f>IF('Part III-Sources of Funds'!$I$39="","",-FV('Part III-Sources of Funds'!$K$39/12,12,F90/12,E103))</f>
        <v>2567783.4905180964</v>
      </c>
      <c r="G103" s="241">
        <f>IF('Part III-Sources of Funds'!$I$39="","",-FV('Part III-Sources of Funds'!$K$39/12,12,G90/12,F103))</f>
        <v>2593579.3430305892</v>
      </c>
      <c r="H103" s="241">
        <f>IF('Part III-Sources of Funds'!$I$39="","",-FV('Part III-Sources of Funds'!$K$39/12,12,H90/12,G103))</f>
        <v>2619634.3396684742</v>
      </c>
      <c r="I103" s="241">
        <f>IF('Part III-Sources of Funds'!$I$39="","",-FV('Part III-Sources of Funds'!$K$39/12,12,I90/12,H103))</f>
        <v>2645951.083783499</v>
      </c>
      <c r="J103" s="241">
        <f>IF('Part III-Sources of Funds'!$I$39="","",-FV('Part III-Sources of Funds'!$K$39/12,12,J90/12,I103))</f>
        <v>2672532.2048805812</v>
      </c>
      <c r="K103" s="241">
        <f>IF('Part III-Sources of Funds'!$I$39="","",-FV('Part III-Sources of Funds'!$K$39/12,12,K90/12,J103))</f>
        <v>2699380.3588805422</v>
      </c>
      <c r="N103" s="3515"/>
      <c r="O103" s="3516"/>
    </row>
    <row r="104" spans="1:15" ht="13.35" customHeight="1">
      <c r="A104" s="483" t="s">
        <v>2618</v>
      </c>
      <c r="B104" s="241">
        <f>IF('Part III-Sources of Funds'!$I$40="","",-FV('Part III-Sources of Funds'!$K$40/12,12,B91/12,K73))</f>
        <v>720000</v>
      </c>
      <c r="C104" s="241">
        <f>IF('Part III-Sources of Funds'!$I$40="","",-FV('Part III-Sources of Funds'!$K$40/12,12,C91/12,B104))</f>
        <v>720000</v>
      </c>
      <c r="D104" s="241">
        <f>IF('Part III-Sources of Funds'!$I$40="","",-FV('Part III-Sources of Funds'!$K$40/12,12,D91/12,C104))</f>
        <v>720000</v>
      </c>
      <c r="E104" s="241">
        <f>IF('Part III-Sources of Funds'!$I$40="","",-FV('Part III-Sources of Funds'!$K$40/12,12,E91/12,D104))</f>
        <v>720000</v>
      </c>
      <c r="F104" s="241">
        <f>IF('Part III-Sources of Funds'!$I$40="","",-FV('Part III-Sources of Funds'!$K$40/12,12,F91/12,E104))</f>
        <v>720000</v>
      </c>
      <c r="G104" s="241">
        <f>IF('Part III-Sources of Funds'!$I$40="","",-FV('Part III-Sources of Funds'!$K$40/12,12,G91/12,F104))</f>
        <v>720000</v>
      </c>
      <c r="H104" s="241">
        <f>IF('Part III-Sources of Funds'!$I$40="","",-FV('Part III-Sources of Funds'!$K$40/12,12,H91/12,G104))</f>
        <v>720000</v>
      </c>
      <c r="I104" s="241">
        <f>IF('Part III-Sources of Funds'!$I$40="","",-FV('Part III-Sources of Funds'!$K$40/12,12,I91/12,H104))</f>
        <v>720000</v>
      </c>
      <c r="J104" s="241">
        <f>IF('Part III-Sources of Funds'!$I$40="","",-FV('Part III-Sources of Funds'!$K$40/12,12,J91/12,I104))</f>
        <v>720000</v>
      </c>
      <c r="K104" s="241">
        <f>IF('Part III-Sources of Funds'!$I$40="","",-FV('Part III-Sources of Funds'!$K$40/12,12,K91/12,J104))</f>
        <v>720000</v>
      </c>
      <c r="N104" s="3515"/>
      <c r="O104" s="3516"/>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57"/>
      <c r="O105" s="3559"/>
    </row>
    <row r="106" spans="1:15" ht="4.3499999999999996" customHeight="1">
      <c r="B106" s="17"/>
      <c r="C106" s="17"/>
      <c r="D106" s="17"/>
      <c r="E106" s="17"/>
      <c r="F106" s="17"/>
      <c r="G106" s="17"/>
      <c r="H106" s="17"/>
      <c r="I106" s="17"/>
      <c r="J106" s="17"/>
      <c r="K106" s="17"/>
    </row>
    <row r="107" spans="1:15" ht="14.45" customHeight="1">
      <c r="A107" s="13" t="s">
        <v>2479</v>
      </c>
      <c r="B107" s="15">
        <f>K77+1</f>
        <v>31</v>
      </c>
      <c r="C107" s="15">
        <f>B107+1</f>
        <v>32</v>
      </c>
      <c r="D107" s="15">
        <f>C107+1</f>
        <v>33</v>
      </c>
      <c r="E107" s="15">
        <f>D107+1</f>
        <v>34</v>
      </c>
      <c r="F107" s="15">
        <f>E107+1</f>
        <v>35</v>
      </c>
      <c r="G107" s="17"/>
      <c r="H107" s="17"/>
      <c r="I107" s="17"/>
      <c r="J107" s="17"/>
      <c r="K107" s="17"/>
      <c r="N107" s="3168" t="s">
        <v>3702</v>
      </c>
      <c r="O107" s="3168"/>
    </row>
    <row r="108" spans="1:15" ht="13.35" customHeight="1">
      <c r="A108" s="18" t="s">
        <v>2403</v>
      </c>
      <c r="B108" s="19">
        <f>$B$14*(1+$B$5)^(B107-1)</f>
        <v>3014938.9022766678</v>
      </c>
      <c r="C108" s="19">
        <f>$B$14*(1+$B$5)^(C107-1)</f>
        <v>3075237.6803222005</v>
      </c>
      <c r="D108" s="19">
        <f>$B$14*(1+$B$5)^(D107-1)</f>
        <v>3136742.4339286452</v>
      </c>
      <c r="E108" s="19">
        <f>$B$14*(1+$B$5)^(E107-1)</f>
        <v>3199477.2826072183</v>
      </c>
      <c r="F108" s="729">
        <f>$B$14*(1+$B$5)^(F107-1)</f>
        <v>3263466.8282593624</v>
      </c>
      <c r="G108" s="17"/>
      <c r="H108" s="17"/>
      <c r="I108" s="17"/>
      <c r="J108" s="17"/>
      <c r="K108" s="17"/>
      <c r="N108" s="3523"/>
      <c r="O108" s="3524"/>
    </row>
    <row r="109" spans="1:15" ht="13.35" customHeight="1">
      <c r="A109" s="21" t="s">
        <v>1016</v>
      </c>
      <c r="B109" s="22">
        <f>$B$15*(1+$B$5)^(B107-1)</f>
        <v>60298.778045533349</v>
      </c>
      <c r="C109" s="22">
        <f>$B$15*(1+$B$5)^(C107-1)</f>
        <v>61504.753606443999</v>
      </c>
      <c r="D109" s="22">
        <f>$B$15*(1+$B$5)^(D107-1)</f>
        <v>62734.848678572896</v>
      </c>
      <c r="E109" s="22">
        <f>$B$15*(1+$B$5)^(E107-1)</f>
        <v>63989.545652144356</v>
      </c>
      <c r="F109" s="23">
        <f>$B$15*(1+$B$5)^(F107-1)</f>
        <v>65269.336565187237</v>
      </c>
      <c r="G109" s="17"/>
      <c r="H109" s="17"/>
      <c r="I109" s="17"/>
      <c r="J109" s="17"/>
      <c r="K109" s="17"/>
      <c r="N109" s="3515"/>
      <c r="O109" s="3516"/>
    </row>
    <row r="110" spans="1:15" ht="13.35" customHeight="1">
      <c r="A110" s="21" t="s">
        <v>2404</v>
      </c>
      <c r="B110" s="22">
        <f>-(B108+B109)*$B$8</f>
        <v>-215266.63762255409</v>
      </c>
      <c r="C110" s="22">
        <f>-(C108+C109)*$B$8</f>
        <v>-219571.97037500516</v>
      </c>
      <c r="D110" s="22">
        <f>-(D108+D109)*$B$8</f>
        <v>-223963.4097825053</v>
      </c>
      <c r="E110" s="22">
        <f>-(E108+E109)*$B$8</f>
        <v>-228442.67797815541</v>
      </c>
      <c r="F110" s="23">
        <f>-(F108+F109)*$B$8</f>
        <v>-233011.53153771849</v>
      </c>
      <c r="G110" s="17"/>
      <c r="H110" s="17"/>
      <c r="I110" s="17"/>
      <c r="J110" s="17"/>
      <c r="K110" s="17"/>
      <c r="N110" s="3515"/>
      <c r="O110" s="3516"/>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5"/>
      <c r="O111" s="3516"/>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5"/>
      <c r="O112" s="3516"/>
    </row>
    <row r="113" spans="1:19" ht="13.35" customHeight="1">
      <c r="A113" s="483" t="s">
        <v>4939</v>
      </c>
      <c r="B113" s="22">
        <f>SUM(B108:B112)</f>
        <v>2859971.0426996471</v>
      </c>
      <c r="C113" s="22">
        <f>SUM(C108:C112)</f>
        <v>2917170.4635536396</v>
      </c>
      <c r="D113" s="22">
        <f>SUM(D108:D112)</f>
        <v>2975513.8728247131</v>
      </c>
      <c r="E113" s="22">
        <f>SUM(E108:E112)</f>
        <v>3035024.1502812076</v>
      </c>
      <c r="F113" s="23">
        <f>SUM(F108:F112)</f>
        <v>3095724.633286831</v>
      </c>
      <c r="G113" s="17"/>
      <c r="H113" s="17"/>
      <c r="I113" s="17"/>
      <c r="J113" s="17"/>
      <c r="K113" s="17"/>
      <c r="N113" s="3515"/>
      <c r="O113" s="3516"/>
    </row>
    <row r="114" spans="1:19" ht="13.35" customHeight="1">
      <c r="A114" s="21" t="s">
        <v>614</v>
      </c>
      <c r="B114" s="22">
        <f>$B$20*(1+$B$6)^(B107-1)</f>
        <v>-1850141.9824647787</v>
      </c>
      <c r="C114" s="22">
        <f>$B$20*(1+$B$6)^(C107-1)</f>
        <v>-1905646.2419387223</v>
      </c>
      <c r="D114" s="22">
        <f>$B$20*(1+$B$6)^(D107-1)</f>
        <v>-1962815.6291968836</v>
      </c>
      <c r="E114" s="22">
        <f>$B$20*(1+$B$6)^(E107-1)</f>
        <v>-2021700.0980727901</v>
      </c>
      <c r="F114" s="23">
        <f>$B$20*(1+$B$6)^(F107-1)</f>
        <v>-2082351.1010149736</v>
      </c>
      <c r="G114" s="17"/>
      <c r="H114" s="17"/>
      <c r="I114" s="17"/>
      <c r="J114" s="17"/>
      <c r="K114" s="17"/>
      <c r="N114" s="3515"/>
      <c r="O114" s="3516"/>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-191620</v>
      </c>
      <c r="C115" s="22">
        <f>IF(AND('Part VII-Pro Forma'!$G$8="Yes",'Part VII-Pro Forma'!$G$9="Yes"),"Choose One!",IF('Part VII-Pro Forma'!$G$8="Yes",ROUND((-$K$8*(1+'Part VII-Pro Forma'!$B$6)^('Part VII-Pro Forma'!C107-1)),),IF('Part VII-Pro Forma'!$G$9="Yes",ROUND((-(SUM(C108:C111)*'Part VII-Pro Forma'!$K$9)),),"Choose mgt fee")))</f>
        <v>-197369</v>
      </c>
      <c r="D115" s="22">
        <f>IF(AND('Part VII-Pro Forma'!$G$8="Yes",'Part VII-Pro Forma'!$G$9="Yes"),"Choose One!",IF('Part VII-Pro Forma'!$G$8="Yes",ROUND((-$K$8*(1+'Part VII-Pro Forma'!$B$6)^('Part VII-Pro Forma'!D107-1)),),IF('Part VII-Pro Forma'!$G$9="Yes",ROUND((-(SUM(D108:D111)*'Part VII-Pro Forma'!$K$9)),),"Choose mgt fee")))</f>
        <v>-203290</v>
      </c>
      <c r="E115" s="22">
        <f>IF(AND('Part VII-Pro Forma'!$G$8="Yes",'Part VII-Pro Forma'!$G$9="Yes"),"Choose One!",IF('Part VII-Pro Forma'!$G$8="Yes",ROUND((-$K$8*(1+'Part VII-Pro Forma'!$B$6)^('Part VII-Pro Forma'!E107-1)),),IF('Part VII-Pro Forma'!$G$9="Yes",ROUND((-(SUM(E108:E111)*'Part VII-Pro Forma'!$K$9)),),"Choose mgt fee")))</f>
        <v>-209389</v>
      </c>
      <c r="F115" s="23">
        <f>IF(AND('Part VII-Pro Forma'!$G$8="Yes",'Part VII-Pro Forma'!$G$9="Yes"),"Choose One!",IF('Part VII-Pro Forma'!$G$8="Yes",ROUND((-$K$8*(1+'Part VII-Pro Forma'!$B$6)^('Part VII-Pro Forma'!F107-1)),),IF('Part VII-Pro Forma'!$G$9="Yes",ROUND((-(SUM(F108:F111)*'Part VII-Pro Forma'!$K$9)),),"Choose mgt fee")))</f>
        <v>-215670</v>
      </c>
      <c r="G115" s="17"/>
      <c r="H115" s="17"/>
      <c r="I115" s="17"/>
      <c r="J115" s="17"/>
      <c r="K115" s="17"/>
      <c r="N115" s="3515"/>
      <c r="O115" s="3516"/>
    </row>
    <row r="116" spans="1:19" ht="13.35" customHeight="1">
      <c r="A116" s="21" t="s">
        <v>1202</v>
      </c>
      <c r="B116" s="22">
        <f>$B$22*(1+$B$7)^(B107-1)</f>
        <v>-113595.88365167605</v>
      </c>
      <c r="C116" s="22">
        <f>$B$22*(1+$B$7)^(C107-1)</f>
        <v>-117003.76016122635</v>
      </c>
      <c r="D116" s="22">
        <f>$B$22*(1+$B$7)^(D107-1)</f>
        <v>-120513.87296606311</v>
      </c>
      <c r="E116" s="22">
        <f>$B$22*(1+$B$7)^(E107-1)</f>
        <v>-124129.28915504501</v>
      </c>
      <c r="F116" s="23">
        <f>$B$22*(1+$B$7)^(F107-1)</f>
        <v>-127853.16782969634</v>
      </c>
      <c r="G116" s="17"/>
      <c r="H116" s="17"/>
      <c r="I116" s="17"/>
      <c r="J116" s="17"/>
      <c r="K116" s="17"/>
      <c r="N116" s="3515"/>
      <c r="O116" s="3516"/>
    </row>
    <row r="117" spans="1:19" ht="13.35" customHeight="1">
      <c r="A117" s="483" t="s">
        <v>4938</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15"/>
      <c r="O117" s="3516"/>
      <c r="Q117" s="1125">
        <v>10</v>
      </c>
      <c r="R117" s="1333">
        <f>-SUM(B122:K122)</f>
        <v>0</v>
      </c>
      <c r="S117" s="1333">
        <f>SUM(B123:K123)+R117</f>
        <v>0</v>
      </c>
    </row>
    <row r="118" spans="1:19" ht="13.35" customHeight="1">
      <c r="A118" s="21" t="s">
        <v>1203</v>
      </c>
      <c r="B118" s="22">
        <f t="shared" ref="B118" si="61">SUM(B113:B117)</f>
        <v>704613.17658319243</v>
      </c>
      <c r="C118" s="22">
        <f t="shared" ref="C118" si="62">SUM(C113:C117)</f>
        <v>697151.46145369089</v>
      </c>
      <c r="D118" s="22">
        <f t="shared" ref="D118" si="63">SUM(D113:D117)</f>
        <v>688894.37066176638</v>
      </c>
      <c r="E118" s="22">
        <f t="shared" ref="E118" si="64">SUM(E113:E117)</f>
        <v>679805.7630533725</v>
      </c>
      <c r="F118" s="2567">
        <f>SUM(F113:F117)</f>
        <v>669850.36444216105</v>
      </c>
      <c r="G118" s="17"/>
      <c r="H118" s="17"/>
      <c r="I118" s="17"/>
      <c r="J118" s="17"/>
      <c r="K118" s="17"/>
      <c r="N118" s="3515"/>
      <c r="O118" s="3516"/>
    </row>
    <row r="119" spans="1:19" ht="13.35" customHeight="1">
      <c r="A119" s="21" t="str">
        <f>$A89</f>
        <v>Mortgage A</v>
      </c>
      <c r="B119" s="485">
        <f>IF('Part III-Sources of Funds'!$P$38="", 0,-'Part III-Sources of Funds'!$P$38)</f>
        <v>-548701.65721672866</v>
      </c>
      <c r="C119" s="485">
        <f>IF('Part III-Sources of Funds'!$P$38="", 0,-'Part III-Sources of Funds'!$P$38)</f>
        <v>-548701.65721672866</v>
      </c>
      <c r="D119" s="485">
        <f>IF('Part III-Sources of Funds'!$P$38="", 0,-'Part III-Sources of Funds'!$P$38)</f>
        <v>-548701.65721672866</v>
      </c>
      <c r="E119" s="485">
        <f>IF('Part III-Sources of Funds'!$P$38="", 0,-'Part III-Sources of Funds'!$P$38)</f>
        <v>-548701.65721672866</v>
      </c>
      <c r="F119" s="485">
        <f>IF('Part III-Sources of Funds'!$P$38="", 0,-'Part III-Sources of Funds'!$P$38)</f>
        <v>-548701.65721672866</v>
      </c>
      <c r="G119" s="17"/>
      <c r="H119" s="17"/>
      <c r="I119" s="17"/>
      <c r="J119" s="17"/>
      <c r="K119" s="17"/>
      <c r="N119" s="3515"/>
      <c r="O119" s="3516"/>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15"/>
      <c r="O120" s="3516"/>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5"/>
      <c r="O121" s="3516"/>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5"/>
      <c r="O122" s="3516"/>
    </row>
    <row r="123" spans="1:19" ht="13.35" customHeight="1">
      <c r="A123" s="21" t="s">
        <v>763</v>
      </c>
      <c r="B123" s="180"/>
      <c r="C123" s="180"/>
      <c r="D123" s="180"/>
      <c r="E123" s="180"/>
      <c r="F123" s="180"/>
      <c r="G123" s="17"/>
      <c r="H123" s="17"/>
      <c r="I123" s="17"/>
      <c r="J123" s="17"/>
      <c r="K123" s="17"/>
      <c r="N123" s="3515"/>
      <c r="O123" s="3516"/>
    </row>
    <row r="124" spans="1:19" ht="13.35" customHeight="1">
      <c r="A124" s="21" t="s">
        <v>1163</v>
      </c>
      <c r="B124" s="242">
        <f>+K94</f>
        <v>0</v>
      </c>
      <c r="C124" s="242">
        <f>+B124</f>
        <v>0</v>
      </c>
      <c r="D124" s="242">
        <f>+C124</f>
        <v>0</v>
      </c>
      <c r="E124" s="242">
        <f>+D124</f>
        <v>0</v>
      </c>
      <c r="F124" s="242">
        <f>+E124</f>
        <v>0</v>
      </c>
      <c r="G124" s="17"/>
      <c r="H124" s="17"/>
      <c r="I124" s="17"/>
      <c r="J124" s="17"/>
      <c r="K124" s="17"/>
      <c r="N124" s="3515"/>
      <c r="O124" s="3516"/>
    </row>
    <row r="125" spans="1:19" ht="13.35" customHeight="1">
      <c r="A125" s="21" t="s">
        <v>1164</v>
      </c>
      <c r="B125" s="22">
        <f>SUM(B118:B124)</f>
        <v>155911.51936646376</v>
      </c>
      <c r="C125" s="22">
        <f>SUM(C118:C124)</f>
        <v>148449.80423696223</v>
      </c>
      <c r="D125" s="22">
        <f>SUM(D118:D124)</f>
        <v>140192.71344503772</v>
      </c>
      <c r="E125" s="22">
        <f>SUM(E118:E124)</f>
        <v>131104.10583664384</v>
      </c>
      <c r="F125" s="23">
        <f>SUM(F118:F124)</f>
        <v>121148.70722543239</v>
      </c>
      <c r="G125" s="17"/>
      <c r="H125" s="17"/>
      <c r="I125" s="17"/>
      <c r="J125" s="17"/>
      <c r="K125" s="17"/>
      <c r="N125" s="3515"/>
      <c r="O125" s="3516"/>
    </row>
    <row r="126" spans="1:19" ht="13.35" customHeight="1">
      <c r="A126" s="21" t="str">
        <f>$A96</f>
        <v>DCR Mortgage A</v>
      </c>
      <c r="B126" s="24">
        <f>IF(B119=0,"",-B118/B119)</f>
        <v>1.2841462520039029</v>
      </c>
      <c r="C126" s="24">
        <f>IF(C119=0,"",-C118/C119)</f>
        <v>1.2705473954461319</v>
      </c>
      <c r="D126" s="24">
        <f>IF(D119=0,"",-D118/D119)</f>
        <v>1.2554989794566336</v>
      </c>
      <c r="E126" s="24">
        <f>IF(E119=0,"",-E118/E119)</f>
        <v>1.2389351373598272</v>
      </c>
      <c r="F126" s="25">
        <f>IF(F119=0,"",-F118/F119)</f>
        <v>1.2207915825149049</v>
      </c>
      <c r="G126" s="17"/>
      <c r="H126" s="17"/>
      <c r="I126" s="17"/>
      <c r="J126" s="17"/>
      <c r="K126" s="17"/>
      <c r="N126" s="3515"/>
      <c r="O126" s="3516"/>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15"/>
      <c r="O127" s="3516"/>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5"/>
      <c r="O128" s="3516"/>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5"/>
      <c r="O129" s="3516"/>
    </row>
    <row r="130" spans="1:18" ht="13.35" customHeight="1">
      <c r="A130" s="483" t="s">
        <v>3712</v>
      </c>
      <c r="B130" s="24">
        <f>IF(AND(B119=0,B120=0,B121=0,B122=0),"",-B118/(B119+B120+B121+B122))</f>
        <v>1.2841462520039029</v>
      </c>
      <c r="C130" s="24">
        <f>IF(AND(C119=0,C120=0,C121=0,C122=0),"",-C118/(C119+C120+C121+C122))</f>
        <v>1.2705473954461319</v>
      </c>
      <c r="D130" s="24">
        <f>IF(AND(D119=0,D120=0,D121=0,D122=0),"",-D118/(D119+D120+D121+D122))</f>
        <v>1.2554989794566336</v>
      </c>
      <c r="E130" s="24">
        <f>IF(AND(E119=0,E120=0,E121=0,E122=0),"",-E118/(E119+E120+E121+E122))</f>
        <v>1.2389351373598272</v>
      </c>
      <c r="F130" s="25">
        <f>IF(AND(F119=0,F120=0,F121=0,F122=0),"",-F118/(F119+F120+F121+F122))</f>
        <v>1.2207915825149049</v>
      </c>
      <c r="G130" s="17"/>
      <c r="H130" s="17"/>
      <c r="I130" s="17"/>
      <c r="J130" s="17"/>
      <c r="K130" s="17"/>
      <c r="N130" s="3515"/>
      <c r="O130" s="3516"/>
    </row>
    <row r="131" spans="1:18" ht="13.35" customHeight="1">
      <c r="A131" s="21" t="s">
        <v>770</v>
      </c>
      <c r="B131" s="296">
        <f>IF(OR(B115="Choose mgt fee",B115="Choose One!"),"",(B108+B109+B110+B111+B112) / -(B114+B115+B116))</f>
        <v>1.3269123831639018</v>
      </c>
      <c r="C131" s="296">
        <f>IF(OR(C115="Choose mgt fee",C115="Choose One!"),"",(C108+C109+C110+C111+C112) / -(C114+C115+C116))</f>
        <v>1.3140295019070762</v>
      </c>
      <c r="D131" s="296">
        <f>IF(OR(D115="Choose mgt fee",D115="Choose One!"),"",(D108+D109+D110+D111+D112) / -(D114+D115+D116))</f>
        <v>1.3012719737630729</v>
      </c>
      <c r="E131" s="296">
        <f>IF(OR(E115="Choose mgt fee",E115="Choose One!"),"",(E108+E109+E110+E111+E112) / -(E114+E115+E116))</f>
        <v>1.2886381011374173</v>
      </c>
      <c r="F131" s="730">
        <f>IF(OR(F115="Choose mgt fee",F115="Choose One!"),"",(F108+F109+F110+F111+F112) / -(F114+F115+F116))</f>
        <v>1.2761274040641764</v>
      </c>
      <c r="G131" s="17"/>
      <c r="H131" s="17"/>
      <c r="I131" s="17"/>
      <c r="J131" s="17"/>
      <c r="K131" s="17"/>
      <c r="N131" s="3515"/>
      <c r="O131" s="3516"/>
    </row>
    <row r="132" spans="1:18" ht="13.35" customHeight="1">
      <c r="A132" s="483" t="s">
        <v>2616</v>
      </c>
      <c r="B132" s="240">
        <f>IF('Part III-Sources of Funds'!$I$38="","",-FV('Part III-Sources of Funds'!$K$38/12,12,B119/12,K102))</f>
        <v>4080312.2910120329</v>
      </c>
      <c r="C132" s="240">
        <f>IF('Part III-Sources of Funds'!$I$38="","",-FV('Part III-Sources of Funds'!$K$38/12,12,C119/12,B132))</f>
        <v>3701613.0955817532</v>
      </c>
      <c r="D132" s="240">
        <f>IF('Part III-Sources of Funds'!$I$38="","",-FV('Part III-Sources of Funds'!$K$38/12,12,D119/12,C132))</f>
        <v>3306108.0452465257</v>
      </c>
      <c r="E132" s="240">
        <f>IF('Part III-Sources of Funds'!$I$38="","",-FV('Part III-Sources of Funds'!$K$38/12,12,E119/12,D132))</f>
        <v>2893051.3323508445</v>
      </c>
      <c r="F132" s="240">
        <f>IF('Part III-Sources of Funds'!$I$38="","",-FV('Part III-Sources of Funds'!$K$38/12,12,F119/12,E132))</f>
        <v>2461664.0519012706</v>
      </c>
      <c r="G132" s="17"/>
      <c r="H132" s="17"/>
      <c r="I132" s="17"/>
      <c r="J132" s="17"/>
      <c r="K132" s="17"/>
      <c r="N132" s="3515"/>
      <c r="O132" s="3516"/>
    </row>
    <row r="133" spans="1:18" ht="13.35" customHeight="1">
      <c r="A133" s="483" t="s">
        <v>2617</v>
      </c>
      <c r="B133" s="241">
        <f>IF('Part III-Sources of Funds'!$I$39="","",-FV('Part III-Sources of Funds'!$K$39/12,12,B120/12,K103))</f>
        <v>2726498.2283854797</v>
      </c>
      <c r="C133" s="241">
        <f>IF('Part III-Sources of Funds'!$I$39="","",-FV('Part III-Sources of Funds'!$K$39/12,12,C120/12,B133))</f>
        <v>2753888.5229468071</v>
      </c>
      <c r="D133" s="241">
        <f>IF('Part III-Sources of Funds'!$I$39="","",-FV('Part III-Sources of Funds'!$K$39/12,12,D120/12,C133))</f>
        <v>2781553.9793359861</v>
      </c>
      <c r="E133" s="241">
        <f>IF('Part III-Sources of Funds'!$I$39="","",-FV('Part III-Sources of Funds'!$K$39/12,12,E120/12,D133))</f>
        <v>2809497.3618179769</v>
      </c>
      <c r="F133" s="241">
        <f>IF('Part III-Sources of Funds'!$I$39="","",-FV('Part III-Sources of Funds'!$K$39/12,12,F120/12,E133))</f>
        <v>2837721.4624274373</v>
      </c>
      <c r="G133" s="17"/>
      <c r="H133" s="17"/>
      <c r="I133" s="17"/>
      <c r="J133" s="17"/>
      <c r="K133" s="17"/>
      <c r="N133" s="3515"/>
      <c r="O133" s="3516"/>
    </row>
    <row r="134" spans="1:18" ht="13.35" customHeight="1">
      <c r="A134" s="483" t="s">
        <v>2618</v>
      </c>
      <c r="B134" s="241">
        <f>IF('Part III-Sources of Funds'!$I$40="","",-FV('Part III-Sources of Funds'!$K$40/12,12,B121/12,K104))</f>
        <v>720000</v>
      </c>
      <c r="C134" s="241">
        <f>IF('Part III-Sources of Funds'!$I$40="","",-FV('Part III-Sources of Funds'!$K$40/12,12,C121/12,B134))</f>
        <v>720000</v>
      </c>
      <c r="D134" s="241">
        <f>IF('Part III-Sources of Funds'!$I$40="","",-FV('Part III-Sources of Funds'!$K$40/12,12,D121/12,C134))</f>
        <v>720000</v>
      </c>
      <c r="E134" s="241">
        <f>IF('Part III-Sources of Funds'!$I$40="","",-FV('Part III-Sources of Funds'!$K$40/12,12,E121/12,D134))</f>
        <v>720000</v>
      </c>
      <c r="F134" s="241">
        <f>IF('Part III-Sources of Funds'!$I$40="","",-FV('Part III-Sources of Funds'!$K$40/12,12,F121/12,E134))</f>
        <v>720000</v>
      </c>
      <c r="G134" s="17"/>
      <c r="H134" s="17"/>
      <c r="I134" s="17"/>
      <c r="J134" s="17"/>
      <c r="K134" s="17"/>
      <c r="N134" s="3515"/>
      <c r="O134" s="3516"/>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57"/>
      <c r="O135" s="3559"/>
    </row>
    <row r="136" spans="1:18" ht="4.3499999999999996" customHeight="1"/>
    <row r="137" spans="1:18" ht="12" customHeight="1">
      <c r="A137" s="13" t="s">
        <v>571</v>
      </c>
      <c r="B137" s="13"/>
      <c r="G137" s="13" t="s">
        <v>1031</v>
      </c>
    </row>
    <row r="138" spans="1:18" ht="12" customHeight="1">
      <c r="B138" s="31"/>
    </row>
    <row r="139" spans="1:18" ht="409.5" customHeight="1">
      <c r="A139" s="3152" t="s">
        <v>3482</v>
      </c>
      <c r="B139" s="3594"/>
      <c r="C139" s="3594"/>
      <c r="D139" s="3594"/>
      <c r="E139" s="3594"/>
      <c r="F139" s="3595"/>
      <c r="G139" s="3596"/>
      <c r="H139" s="3597"/>
      <c r="I139" s="3597"/>
      <c r="J139" s="3597"/>
      <c r="K139" s="3598"/>
      <c r="N139" s="3278" t="s">
        <v>2692</v>
      </c>
      <c r="O139" s="3278"/>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65"/>
  <sheetViews>
    <sheetView showGridLines="0" tabSelected="1" topLeftCell="A64" zoomScaleNormal="100" workbookViewId="0">
      <selection activeCell="P494" sqref="P494"/>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96" t="str">
        <f>CONCATENATE("PART EIGHT - THRESHOLD CRITERIA","  -  ",'Part I-Project Information'!$O$6," ",'Part I-Project Information'!$F$34,", ",'Part I-Project Information'!F38,", ",'Part I-Project Information'!J39," County")</f>
        <v>PART EIGHT - THRESHOLD CRITERIA  -  2019-5 55 Milton, Atlanta, Fulton County</v>
      </c>
      <c r="B1" s="3297"/>
      <c r="C1" s="3297"/>
      <c r="D1" s="3297"/>
      <c r="E1" s="3297"/>
      <c r="F1" s="3297"/>
      <c r="G1" s="3297"/>
      <c r="H1" s="3297"/>
      <c r="I1" s="3297"/>
      <c r="J1" s="3297"/>
      <c r="K1" s="3297"/>
      <c r="L1" s="3297"/>
      <c r="M1" s="3297"/>
      <c r="N1" s="3297"/>
      <c r="O1" s="3297"/>
      <c r="P1" s="3297"/>
      <c r="Q1" s="3297"/>
      <c r="R1" s="3751" t="str">
        <f>'Part I-Project Information'!$B$6</f>
        <v>May 2019 Final</v>
      </c>
      <c r="S1" s="3751"/>
    </row>
    <row r="2" spans="1:32" s="27" customFormat="1" ht="3" customHeight="1">
      <c r="R2" s="3751"/>
      <c r="S2" s="3751"/>
      <c r="AE2" s="120"/>
      <c r="AF2" s="120"/>
    </row>
    <row r="3" spans="1:32" ht="13.5" customHeight="1">
      <c r="A3" s="373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39"/>
      <c r="C3" s="3739"/>
      <c r="D3" s="3739"/>
      <c r="E3" s="3739"/>
      <c r="F3" s="3739"/>
      <c r="G3" s="3739"/>
      <c r="H3" s="373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39"/>
      <c r="J3" s="3739"/>
      <c r="K3" s="3739"/>
      <c r="L3" s="3739"/>
      <c r="M3" s="3739"/>
      <c r="N3" s="3740"/>
      <c r="O3" s="3741" t="s">
        <v>935</v>
      </c>
      <c r="P3" s="3742"/>
      <c r="Q3" s="2620" t="s">
        <v>1842</v>
      </c>
      <c r="R3" s="3751"/>
      <c r="S3" s="3751"/>
    </row>
    <row r="4" spans="1:32" ht="3" customHeight="1">
      <c r="A4" s="1378"/>
      <c r="B4" s="3743"/>
      <c r="C4" s="3743"/>
      <c r="D4" s="3743"/>
      <c r="E4" s="1378"/>
      <c r="F4" s="1378"/>
      <c r="G4" s="1378"/>
      <c r="H4" s="1378"/>
      <c r="I4" s="1378"/>
      <c r="J4" s="1378"/>
      <c r="K4" s="1378"/>
      <c r="L4" s="1378"/>
      <c r="M4" s="1378"/>
      <c r="N4" s="1378"/>
      <c r="P4" s="1378"/>
      <c r="Q4" s="1378"/>
      <c r="R4" s="3751"/>
      <c r="S4" s="3751"/>
    </row>
    <row r="5" spans="1:32" ht="11.1" hidden="1" customHeight="1">
      <c r="A5" s="1378"/>
      <c r="B5" s="1378"/>
      <c r="C5" s="1378"/>
      <c r="D5" s="1378"/>
      <c r="E5" s="1378"/>
      <c r="F5" s="1378"/>
      <c r="G5" s="1378"/>
      <c r="H5" s="1378"/>
      <c r="I5" s="1378"/>
      <c r="J5" s="1378"/>
      <c r="K5" s="1378"/>
      <c r="L5" s="1378"/>
      <c r="M5" s="1378"/>
      <c r="N5" s="1378"/>
      <c r="P5" s="1378"/>
      <c r="Q5" s="1378"/>
      <c r="R5" s="3751"/>
      <c r="S5" s="3751"/>
    </row>
    <row r="6" spans="1:32" ht="17.25" customHeight="1">
      <c r="A6" s="129" t="s">
        <v>567</v>
      </c>
      <c r="J6" s="3746" t="s">
        <v>3844</v>
      </c>
      <c r="K6" s="3746"/>
      <c r="L6" s="3746"/>
      <c r="M6" s="3746"/>
      <c r="N6" s="3746"/>
      <c r="O6" s="3747"/>
      <c r="P6" s="3744"/>
      <c r="Q6" s="3745"/>
      <c r="R6" s="3751"/>
      <c r="S6" s="3751"/>
    </row>
    <row r="7" spans="1:32" ht="12.6" customHeight="1">
      <c r="A7" s="130" t="s">
        <v>3450</v>
      </c>
      <c r="C7" s="131"/>
      <c r="D7" s="131"/>
      <c r="H7" s="1603"/>
      <c r="I7" s="1603"/>
      <c r="J7" s="1603"/>
      <c r="K7" s="1603"/>
      <c r="L7" s="1603"/>
      <c r="M7" s="1378"/>
      <c r="N7" s="1378"/>
    </row>
    <row r="8" spans="1:32" ht="24.6" customHeight="1">
      <c r="A8" s="3748" t="s">
        <v>1408</v>
      </c>
      <c r="B8" s="3749"/>
      <c r="C8" s="3749"/>
      <c r="D8" s="3749"/>
      <c r="E8" s="3749"/>
      <c r="F8" s="3749"/>
      <c r="G8" s="3749"/>
      <c r="H8" s="3749"/>
      <c r="I8" s="3749"/>
      <c r="J8" s="3749"/>
      <c r="K8" s="3749"/>
      <c r="L8" s="3749"/>
      <c r="M8" s="3749"/>
      <c r="N8" s="3749"/>
      <c r="O8" s="3749"/>
      <c r="P8" s="3749"/>
      <c r="Q8" s="3750"/>
      <c r="R8" s="3572" t="s">
        <v>2030</v>
      </c>
      <c r="S8" s="2881"/>
    </row>
    <row r="9" spans="1:32" ht="24.6" customHeight="1">
      <c r="A9" s="3709" t="s">
        <v>226</v>
      </c>
      <c r="B9" s="3710"/>
      <c r="C9" s="3710"/>
      <c r="D9" s="3710"/>
      <c r="E9" s="3710"/>
      <c r="F9" s="3710"/>
      <c r="G9" s="3710"/>
      <c r="H9" s="3710"/>
      <c r="I9" s="3710"/>
      <c r="J9" s="3710"/>
      <c r="K9" s="3710"/>
      <c r="L9" s="3710"/>
      <c r="M9" s="3710"/>
      <c r="N9" s="3710"/>
      <c r="O9" s="3710"/>
      <c r="P9" s="3710"/>
      <c r="Q9" s="3711"/>
      <c r="R9" s="3572"/>
      <c r="S9" s="2881"/>
    </row>
    <row r="10" spans="1:32" ht="24.6" customHeight="1">
      <c r="A10" s="3709" t="s">
        <v>1404</v>
      </c>
      <c r="B10" s="3710"/>
      <c r="C10" s="3710"/>
      <c r="D10" s="3710"/>
      <c r="E10" s="3710"/>
      <c r="F10" s="3710"/>
      <c r="G10" s="3710"/>
      <c r="H10" s="3710"/>
      <c r="I10" s="3710"/>
      <c r="J10" s="3710"/>
      <c r="K10" s="3710"/>
      <c r="L10" s="3710"/>
      <c r="M10" s="3710"/>
      <c r="N10" s="3710"/>
      <c r="O10" s="3710"/>
      <c r="P10" s="3710"/>
      <c r="Q10" s="3711"/>
      <c r="R10" s="3572"/>
      <c r="S10" s="2881"/>
    </row>
    <row r="11" spans="1:32" ht="24.6" customHeight="1">
      <c r="A11" s="3709" t="s">
        <v>1405</v>
      </c>
      <c r="B11" s="3710"/>
      <c r="C11" s="3710"/>
      <c r="D11" s="3710"/>
      <c r="E11" s="3710"/>
      <c r="F11" s="3710"/>
      <c r="G11" s="3710"/>
      <c r="H11" s="3710"/>
      <c r="I11" s="3710"/>
      <c r="J11" s="3710"/>
      <c r="K11" s="3710"/>
      <c r="L11" s="3710"/>
      <c r="M11" s="3710"/>
      <c r="N11" s="3710"/>
      <c r="O11" s="3710"/>
      <c r="P11" s="3710"/>
      <c r="Q11" s="3711"/>
      <c r="R11" s="3572"/>
      <c r="S11" s="2881"/>
    </row>
    <row r="12" spans="1:32" ht="24" customHeight="1">
      <c r="A12" s="3709" t="s">
        <v>1406</v>
      </c>
      <c r="B12" s="3710"/>
      <c r="C12" s="3710"/>
      <c r="D12" s="3710"/>
      <c r="E12" s="3710"/>
      <c r="F12" s="3710"/>
      <c r="G12" s="3710"/>
      <c r="H12" s="3710"/>
      <c r="I12" s="3710"/>
      <c r="J12" s="3710"/>
      <c r="K12" s="3710"/>
      <c r="L12" s="3710"/>
      <c r="M12" s="3710"/>
      <c r="N12" s="3710"/>
      <c r="O12" s="3710"/>
      <c r="P12" s="3710"/>
      <c r="Q12" s="3711"/>
      <c r="R12" s="1375"/>
      <c r="S12" s="1375"/>
    </row>
    <row r="13" spans="1:32" ht="11.25" customHeight="1">
      <c r="A13" s="3709" t="s">
        <v>1407</v>
      </c>
      <c r="B13" s="3710"/>
      <c r="C13" s="3710"/>
      <c r="D13" s="3710"/>
      <c r="E13" s="3710"/>
      <c r="F13" s="3710"/>
      <c r="G13" s="3710"/>
      <c r="H13" s="3710"/>
      <c r="I13" s="3710"/>
      <c r="J13" s="3710"/>
      <c r="K13" s="3710"/>
      <c r="L13" s="3710"/>
      <c r="M13" s="3710"/>
      <c r="N13" s="3710"/>
      <c r="O13" s="3710"/>
      <c r="P13" s="3710"/>
      <c r="Q13" s="3711"/>
      <c r="R13" s="1375"/>
      <c r="S13" s="1375"/>
    </row>
    <row r="14" spans="1:32" ht="11.25" customHeight="1">
      <c r="A14" s="3709" t="s">
        <v>1409</v>
      </c>
      <c r="B14" s="3710"/>
      <c r="C14" s="3710"/>
      <c r="D14" s="3710"/>
      <c r="E14" s="3710"/>
      <c r="F14" s="3710"/>
      <c r="G14" s="3710"/>
      <c r="H14" s="3710"/>
      <c r="I14" s="3710"/>
      <c r="J14" s="3710"/>
      <c r="K14" s="3710"/>
      <c r="L14" s="3710"/>
      <c r="M14" s="3710"/>
      <c r="N14" s="3710"/>
      <c r="O14" s="3710"/>
      <c r="P14" s="3710"/>
      <c r="Q14" s="3711"/>
    </row>
    <row r="15" spans="1:32" ht="11.25" customHeight="1">
      <c r="A15" s="3709" t="s">
        <v>2017</v>
      </c>
      <c r="B15" s="3710"/>
      <c r="C15" s="3710"/>
      <c r="D15" s="3710"/>
      <c r="E15" s="3710"/>
      <c r="F15" s="3710"/>
      <c r="G15" s="3710"/>
      <c r="H15" s="3710"/>
      <c r="I15" s="3710"/>
      <c r="J15" s="3710"/>
      <c r="K15" s="3710"/>
      <c r="L15" s="3710"/>
      <c r="M15" s="3710"/>
      <c r="N15" s="3710"/>
      <c r="O15" s="3710"/>
      <c r="P15" s="3710"/>
      <c r="Q15" s="3711"/>
      <c r="R15" s="3572" t="s">
        <v>2030</v>
      </c>
      <c r="S15" s="3065"/>
    </row>
    <row r="16" spans="1:32" ht="11.25" customHeight="1">
      <c r="A16" s="3709" t="s">
        <v>2018</v>
      </c>
      <c r="B16" s="3710"/>
      <c r="C16" s="3710"/>
      <c r="D16" s="3710"/>
      <c r="E16" s="3710"/>
      <c r="F16" s="3710"/>
      <c r="G16" s="3710"/>
      <c r="H16" s="3710"/>
      <c r="I16" s="3710"/>
      <c r="J16" s="3710"/>
      <c r="K16" s="3710"/>
      <c r="L16" s="3710"/>
      <c r="M16" s="3710"/>
      <c r="N16" s="3710"/>
      <c r="O16" s="3710"/>
      <c r="P16" s="3710"/>
      <c r="Q16" s="3711"/>
      <c r="R16" s="3572"/>
      <c r="S16" s="3065"/>
    </row>
    <row r="17" spans="1:31" ht="11.25" customHeight="1">
      <c r="A17" s="3709" t="s">
        <v>2019</v>
      </c>
      <c r="B17" s="3710"/>
      <c r="C17" s="3710"/>
      <c r="D17" s="3710"/>
      <c r="E17" s="3710"/>
      <c r="F17" s="3710"/>
      <c r="G17" s="3710"/>
      <c r="H17" s="3710"/>
      <c r="I17" s="3710"/>
      <c r="J17" s="3710"/>
      <c r="K17" s="3710"/>
      <c r="L17" s="3710"/>
      <c r="M17" s="3710"/>
      <c r="N17" s="3710"/>
      <c r="O17" s="3710"/>
      <c r="P17" s="3710"/>
      <c r="Q17" s="3711"/>
      <c r="R17" s="3572"/>
      <c r="S17" s="3065"/>
    </row>
    <row r="18" spans="1:31" ht="11.25" customHeight="1">
      <c r="A18" s="3709" t="s">
        <v>2020</v>
      </c>
      <c r="B18" s="3710"/>
      <c r="C18" s="3710"/>
      <c r="D18" s="3710"/>
      <c r="E18" s="3710"/>
      <c r="F18" s="3710"/>
      <c r="G18" s="3710"/>
      <c r="H18" s="3710"/>
      <c r="I18" s="3710"/>
      <c r="J18" s="3710"/>
      <c r="K18" s="3710"/>
      <c r="L18" s="3710"/>
      <c r="M18" s="3710"/>
      <c r="N18" s="3710"/>
      <c r="O18" s="3710"/>
      <c r="P18" s="3710"/>
      <c r="Q18" s="3711"/>
      <c r="R18" s="3572"/>
      <c r="S18" s="3065"/>
    </row>
    <row r="19" spans="1:31" ht="11.25" customHeight="1">
      <c r="A19" s="3709" t="s">
        <v>2021</v>
      </c>
      <c r="B19" s="3710"/>
      <c r="C19" s="3710"/>
      <c r="D19" s="3710"/>
      <c r="E19" s="3710"/>
      <c r="F19" s="3710"/>
      <c r="G19" s="3710"/>
      <c r="H19" s="3710"/>
      <c r="I19" s="3710"/>
      <c r="J19" s="3710"/>
      <c r="K19" s="3710"/>
      <c r="L19" s="3710"/>
      <c r="M19" s="3710"/>
      <c r="N19" s="3710"/>
      <c r="O19" s="3710"/>
      <c r="P19" s="3710"/>
      <c r="Q19" s="3711"/>
      <c r="R19" s="3572"/>
      <c r="S19" s="3065"/>
    </row>
    <row r="20" spans="1:31" ht="11.25" customHeight="1">
      <c r="A20" s="3709" t="s">
        <v>2022</v>
      </c>
      <c r="B20" s="3710"/>
      <c r="C20" s="3710"/>
      <c r="D20" s="3710"/>
      <c r="E20" s="3710"/>
      <c r="F20" s="3710"/>
      <c r="G20" s="3710"/>
      <c r="H20" s="3710"/>
      <c r="I20" s="3710"/>
      <c r="J20" s="3710"/>
      <c r="K20" s="3710"/>
      <c r="L20" s="3710"/>
      <c r="M20" s="3710"/>
      <c r="N20" s="3710"/>
      <c r="O20" s="3710"/>
      <c r="P20" s="3710"/>
      <c r="Q20" s="3711"/>
      <c r="R20" s="3572"/>
      <c r="S20" s="3065"/>
    </row>
    <row r="21" spans="1:31" ht="11.25" customHeight="1">
      <c r="A21" s="3709" t="s">
        <v>2023</v>
      </c>
      <c r="B21" s="3710"/>
      <c r="C21" s="3710"/>
      <c r="D21" s="3710"/>
      <c r="E21" s="3710"/>
      <c r="F21" s="3710"/>
      <c r="G21" s="3710"/>
      <c r="H21" s="3710"/>
      <c r="I21" s="3710"/>
      <c r="J21" s="3710"/>
      <c r="K21" s="3710"/>
      <c r="L21" s="3710"/>
      <c r="M21" s="3710"/>
      <c r="N21" s="3710"/>
      <c r="O21" s="3710"/>
      <c r="P21" s="3710"/>
      <c r="Q21" s="3711"/>
    </row>
    <row r="22" spans="1:31" ht="11.25" customHeight="1">
      <c r="A22" s="3709" t="s">
        <v>2024</v>
      </c>
      <c r="B22" s="3710"/>
      <c r="C22" s="3710"/>
      <c r="D22" s="3710"/>
      <c r="E22" s="3710"/>
      <c r="F22" s="3710"/>
      <c r="G22" s="3710"/>
      <c r="H22" s="3710"/>
      <c r="I22" s="3710"/>
      <c r="J22" s="3710"/>
      <c r="K22" s="3710"/>
      <c r="L22" s="3710"/>
      <c r="M22" s="3710"/>
      <c r="N22" s="3710"/>
      <c r="O22" s="3710"/>
      <c r="P22" s="3710"/>
      <c r="Q22" s="3711"/>
      <c r="R22" s="3572" t="s">
        <v>2030</v>
      </c>
      <c r="S22" s="3065"/>
    </row>
    <row r="23" spans="1:31" ht="11.25" customHeight="1">
      <c r="A23" s="3709" t="s">
        <v>2025</v>
      </c>
      <c r="B23" s="3710"/>
      <c r="C23" s="3710"/>
      <c r="D23" s="3710"/>
      <c r="E23" s="3710"/>
      <c r="F23" s="3710"/>
      <c r="G23" s="3710"/>
      <c r="H23" s="3710"/>
      <c r="I23" s="3710"/>
      <c r="J23" s="3710"/>
      <c r="K23" s="3710"/>
      <c r="L23" s="3710"/>
      <c r="M23" s="3710"/>
      <c r="N23" s="3710"/>
      <c r="O23" s="3710"/>
      <c r="P23" s="3710"/>
      <c r="Q23" s="3711"/>
      <c r="R23" s="3572"/>
      <c r="S23" s="3065"/>
    </row>
    <row r="24" spans="1:31" ht="11.25" customHeight="1">
      <c r="A24" s="3709" t="s">
        <v>2026</v>
      </c>
      <c r="B24" s="3710"/>
      <c r="C24" s="3710"/>
      <c r="D24" s="3710"/>
      <c r="E24" s="3710"/>
      <c r="F24" s="3710"/>
      <c r="G24" s="3710"/>
      <c r="H24" s="3710"/>
      <c r="I24" s="3710"/>
      <c r="J24" s="3710"/>
      <c r="K24" s="3710"/>
      <c r="L24" s="3710"/>
      <c r="M24" s="3710"/>
      <c r="N24" s="3710"/>
      <c r="O24" s="3710"/>
      <c r="P24" s="3710"/>
      <c r="Q24" s="3711"/>
      <c r="R24" s="3572"/>
      <c r="S24" s="3065"/>
    </row>
    <row r="25" spans="1:31" ht="11.25" customHeight="1">
      <c r="A25" s="3709" t="s">
        <v>2027</v>
      </c>
      <c r="B25" s="3710"/>
      <c r="C25" s="3710"/>
      <c r="D25" s="3710"/>
      <c r="E25" s="3710"/>
      <c r="F25" s="3710"/>
      <c r="G25" s="3710"/>
      <c r="H25" s="3710"/>
      <c r="I25" s="3710"/>
      <c r="J25" s="3710"/>
      <c r="K25" s="3710"/>
      <c r="L25" s="3710"/>
      <c r="M25" s="3710"/>
      <c r="N25" s="3710"/>
      <c r="O25" s="3710"/>
      <c r="P25" s="3710"/>
      <c r="Q25" s="3711"/>
      <c r="R25" s="3572"/>
      <c r="S25" s="3065"/>
    </row>
    <row r="26" spans="1:31" ht="11.25" customHeight="1">
      <c r="A26" s="3709" t="s">
        <v>2028</v>
      </c>
      <c r="B26" s="3710"/>
      <c r="C26" s="3710"/>
      <c r="D26" s="3710"/>
      <c r="E26" s="3710"/>
      <c r="F26" s="3710"/>
      <c r="G26" s="3710"/>
      <c r="H26" s="3710"/>
      <c r="I26" s="3710"/>
      <c r="J26" s="3710"/>
      <c r="K26" s="3710"/>
      <c r="L26" s="3710"/>
      <c r="M26" s="3710"/>
      <c r="N26" s="3710"/>
      <c r="O26" s="3710"/>
      <c r="P26" s="3710"/>
      <c r="Q26" s="3711"/>
      <c r="R26" s="3572"/>
      <c r="S26" s="3065"/>
    </row>
    <row r="27" spans="1:31" ht="11.25" customHeight="1">
      <c r="A27" s="3719" t="s">
        <v>2029</v>
      </c>
      <c r="B27" s="3720"/>
      <c r="C27" s="3720"/>
      <c r="D27" s="3720"/>
      <c r="E27" s="3720"/>
      <c r="F27" s="3720"/>
      <c r="G27" s="3720"/>
      <c r="H27" s="3720"/>
      <c r="I27" s="3720"/>
      <c r="J27" s="3720"/>
      <c r="K27" s="3720"/>
      <c r="L27" s="3720"/>
      <c r="M27" s="3720"/>
      <c r="N27" s="3720"/>
      <c r="O27" s="3720"/>
      <c r="P27" s="3720"/>
      <c r="Q27" s="3721"/>
      <c r="R27" s="3572"/>
      <c r="S27" s="3065"/>
    </row>
    <row r="28" spans="1:31" ht="6" customHeight="1"/>
    <row r="29" spans="1:31" ht="14.1" customHeight="1">
      <c r="A29" s="132" t="s">
        <v>616</v>
      </c>
      <c r="B29" s="133" t="s">
        <v>2650</v>
      </c>
      <c r="C29" s="134"/>
      <c r="D29" s="88"/>
      <c r="E29" s="88"/>
      <c r="F29" s="88"/>
      <c r="G29" s="88"/>
      <c r="I29" s="1385"/>
      <c r="J29" s="1385"/>
      <c r="K29" s="1385"/>
      <c r="L29" s="1378"/>
      <c r="M29" s="1378"/>
      <c r="O29" s="135" t="s">
        <v>1866</v>
      </c>
      <c r="P29" s="3626"/>
      <c r="Q29" s="3606"/>
    </row>
    <row r="30" spans="1:31" ht="3" customHeight="1"/>
    <row r="31" spans="1:31" ht="11.25" customHeight="1">
      <c r="B31" s="67" t="s">
        <v>3753</v>
      </c>
      <c r="C31" s="67"/>
      <c r="D31" s="67"/>
      <c r="E31" s="67"/>
      <c r="F31" s="67"/>
      <c r="G31" s="1385"/>
      <c r="H31" s="1385"/>
      <c r="I31" s="1385"/>
      <c r="J31" s="1385"/>
      <c r="K31" s="1378"/>
      <c r="L31" s="1378"/>
      <c r="M31" s="1378"/>
      <c r="N31" s="1378"/>
      <c r="O31" s="1378"/>
      <c r="P31" s="1020"/>
      <c r="S31" s="162"/>
      <c r="T31" s="162"/>
    </row>
    <row r="32" spans="1:31" ht="108.75" customHeight="1">
      <c r="A32" s="3621" t="s">
        <v>5306</v>
      </c>
      <c r="B32" s="3622"/>
      <c r="C32" s="3622"/>
      <c r="D32" s="3622"/>
      <c r="E32" s="3622"/>
      <c r="F32" s="3622"/>
      <c r="G32" s="3622"/>
      <c r="H32" s="3622"/>
      <c r="I32" s="3622"/>
      <c r="J32" s="3622"/>
      <c r="K32" s="3622"/>
      <c r="L32" s="3622"/>
      <c r="M32" s="3622"/>
      <c r="N32" s="3622"/>
      <c r="O32" s="3622"/>
      <c r="P32" s="3622"/>
      <c r="Q32" s="3623"/>
      <c r="R32" s="509" t="s">
        <v>1254</v>
      </c>
      <c r="S32" s="510"/>
      <c r="T32" s="162"/>
      <c r="U32" s="139"/>
      <c r="V32" s="139"/>
      <c r="W32" s="139"/>
      <c r="X32" s="139"/>
      <c r="Y32" s="139"/>
      <c r="Z32" s="139"/>
      <c r="AA32" s="139"/>
      <c r="AB32" s="139"/>
      <c r="AC32" s="139"/>
      <c r="AD32" s="139"/>
      <c r="AE32" s="529"/>
    </row>
    <row r="33" spans="1:295" ht="11.25" customHeight="1">
      <c r="B33" s="140" t="s">
        <v>1865</v>
      </c>
      <c r="C33" s="141"/>
      <c r="D33" s="1379"/>
      <c r="E33" s="1379"/>
      <c r="F33" s="1379"/>
      <c r="G33" s="1379"/>
      <c r="H33" s="1379"/>
      <c r="I33" s="1379"/>
      <c r="J33" s="1379"/>
      <c r="K33" s="1379"/>
      <c r="L33" s="1379"/>
      <c r="M33" s="1379"/>
      <c r="N33" s="1379"/>
      <c r="O33" s="1379"/>
      <c r="P33" s="1379"/>
    </row>
    <row r="34" spans="1:295" ht="36" customHeight="1">
      <c r="A34" s="3722"/>
      <c r="B34" s="3722"/>
      <c r="C34" s="3722"/>
      <c r="D34" s="3722"/>
      <c r="E34" s="3722"/>
      <c r="F34" s="3722"/>
      <c r="G34" s="3722"/>
      <c r="H34" s="3722"/>
      <c r="I34" s="3722"/>
      <c r="J34" s="3722"/>
      <c r="K34" s="3722"/>
      <c r="L34" s="3722"/>
      <c r="M34" s="3722"/>
      <c r="N34" s="3722"/>
      <c r="O34" s="3722"/>
      <c r="P34" s="3722"/>
      <c r="Q34" s="3722"/>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2710</v>
      </c>
      <c r="C36" s="4"/>
      <c r="D36" s="4"/>
      <c r="E36" s="1379"/>
      <c r="G36" s="715"/>
      <c r="H36" s="715"/>
      <c r="I36" s="715"/>
      <c r="J36" s="42"/>
      <c r="L36" s="716"/>
      <c r="M36" s="716"/>
      <c r="N36" s="716"/>
      <c r="O36" s="135" t="s">
        <v>1866</v>
      </c>
      <c r="P36" s="3626"/>
      <c r="Q36" s="3606"/>
    </row>
    <row r="37" spans="1:295" ht="11.25" customHeight="1">
      <c r="A37" s="3821"/>
      <c r="B37" s="3821"/>
      <c r="C37" s="3821"/>
      <c r="D37" s="3821"/>
      <c r="E37" s="3821"/>
      <c r="F37" s="2624"/>
      <c r="G37" s="3723" t="s">
        <v>2714</v>
      </c>
      <c r="H37" s="3724"/>
      <c r="I37" s="719"/>
      <c r="J37" s="42"/>
      <c r="K37" s="3725" t="s">
        <v>3634</v>
      </c>
      <c r="L37" s="3726"/>
      <c r="M37" s="3726"/>
      <c r="N37" s="3727"/>
    </row>
    <row r="38" spans="1:295" ht="11.25" customHeight="1">
      <c r="A38" s="3821"/>
      <c r="B38" s="3821"/>
      <c r="C38" s="3821"/>
      <c r="D38" s="3821"/>
      <c r="E38" s="3821"/>
      <c r="F38" s="2624"/>
      <c r="G38" s="3728" t="s">
        <v>346</v>
      </c>
      <c r="H38" s="3729"/>
      <c r="I38" s="719"/>
      <c r="J38" s="42"/>
      <c r="K38" s="3730" t="s">
        <v>3635</v>
      </c>
      <c r="L38" s="3731"/>
      <c r="M38" s="3731"/>
      <c r="N38" s="3732"/>
      <c r="P38" s="596" t="s">
        <v>2734</v>
      </c>
      <c r="Q38" s="98"/>
    </row>
    <row r="39" spans="1:295" ht="4.5" customHeight="1">
      <c r="A39" s="2624"/>
      <c r="B39" s="2624"/>
      <c r="C39" s="2624"/>
      <c r="D39" s="2624"/>
      <c r="E39" s="2624"/>
      <c r="F39" s="2624"/>
      <c r="G39" s="235"/>
      <c r="H39" s="235"/>
      <c r="I39" s="235"/>
      <c r="J39" s="42"/>
      <c r="K39" s="3733"/>
      <c r="L39" s="3733"/>
      <c r="M39" s="3733"/>
      <c r="N39" s="3733"/>
    </row>
    <row r="40" spans="1:295" s="84" customFormat="1" ht="10.5" customHeight="1">
      <c r="D40" s="720" t="s">
        <v>2713</v>
      </c>
      <c r="E40" s="35"/>
      <c r="F40" s="721" t="s">
        <v>3452</v>
      </c>
      <c r="G40" s="3734" t="s">
        <v>5040</v>
      </c>
      <c r="H40" s="3734"/>
      <c r="I40" s="3734"/>
      <c r="J40" s="35"/>
      <c r="K40" s="721" t="s">
        <v>3452</v>
      </c>
      <c r="L40" s="3734" t="s">
        <v>5039</v>
      </c>
      <c r="M40" s="3734"/>
      <c r="N40" s="3734"/>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18" t="s">
        <v>3357</v>
      </c>
      <c r="B41" s="3718"/>
      <c r="C41" s="3718"/>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3" t="str">
        <f>IF(K41="","",K41*L41)</f>
        <v/>
      </c>
      <c r="O41" s="1379"/>
      <c r="P41" s="3681" t="s">
        <v>3890</v>
      </c>
      <c r="Q41" s="3681"/>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18"/>
      <c r="B42" s="3718"/>
      <c r="C42" s="3718"/>
      <c r="D42" s="970" t="s">
        <v>2439</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3" t="str">
        <f>IF(K42="","",K42*L42)</f>
        <v/>
      </c>
      <c r="O42" s="1379"/>
      <c r="P42" s="3735" t="str">
        <f>IF('Part I-Project Information'!$F$38="","",VLOOKUP('Part I-Project Information'!$J$39,'DCA Underwriting Assumptions'!$G$158:$N$317,8,FALSE))</f>
        <v>Atlanta</v>
      </c>
      <c r="Q42" s="3736"/>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18"/>
      <c r="B43" s="3718"/>
      <c r="C43" s="3718"/>
      <c r="D43" s="970" t="s">
        <v>2440</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3" t="str">
        <f t="shared" ref="N43:N45" si="1">IF(K43="","",K43*L43)</f>
        <v/>
      </c>
      <c r="O43" s="1379"/>
      <c r="P43" s="3737"/>
      <c r="Q43" s="3738"/>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18"/>
      <c r="B44" s="3718"/>
      <c r="C44" s="3718"/>
      <c r="D44" s="970" t="s">
        <v>2441</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3" t="str">
        <f t="shared" si="1"/>
        <v/>
      </c>
      <c r="O44" s="1379"/>
      <c r="P44" s="3601" t="s">
        <v>5038</v>
      </c>
      <c r="Q44" s="3601"/>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2442</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3" t="str">
        <f t="shared" si="1"/>
        <v/>
      </c>
      <c r="O45" s="1379"/>
      <c r="P45" s="3704">
        <f>'Part IV-A-Uses of Funds'!$G$132</f>
        <v>32698126.5</v>
      </c>
      <c r="Q45" s="3705"/>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3367</v>
      </c>
      <c r="E46" s="136"/>
      <c r="F46" s="1334">
        <f>SUM(F41:F45)</f>
        <v>0</v>
      </c>
      <c r="G46" s="722"/>
      <c r="H46" s="1335"/>
      <c r="I46" s="1336">
        <f>SUM(I41:I45)</f>
        <v>0</v>
      </c>
      <c r="J46" s="1337"/>
      <c r="K46" s="1334">
        <f>SUM(K41:K45)</f>
        <v>0</v>
      </c>
      <c r="L46" s="1337"/>
      <c r="M46" s="1335"/>
      <c r="N46" s="1336">
        <f>SUM(N41:N45)</f>
        <v>0</v>
      </c>
      <c r="O46" s="1379"/>
      <c r="P46" s="3706"/>
      <c r="Q46" s="3707"/>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18" t="s">
        <v>3352</v>
      </c>
      <c r="B48" s="3718"/>
      <c r="C48" s="3718"/>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3" t="str">
        <f>IF(K48="","",K48*L48)</f>
        <v/>
      </c>
      <c r="P48" s="2621"/>
      <c r="Q48" s="2621"/>
      <c r="S48" s="3682" t="s">
        <v>4742</v>
      </c>
      <c r="T48" s="3683"/>
      <c r="U48" s="3683"/>
      <c r="V48" s="3684"/>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18"/>
      <c r="B49" s="3718"/>
      <c r="C49" s="3718"/>
      <c r="D49" s="970" t="s">
        <v>2439</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3" t="str">
        <f>IF(K49="","",K49*L49)</f>
        <v/>
      </c>
      <c r="P49" s="3436" t="s">
        <v>4087</v>
      </c>
      <c r="Q49" s="3436"/>
      <c r="S49" s="3685"/>
      <c r="T49" s="3686"/>
      <c r="U49" s="3686"/>
      <c r="V49" s="3687"/>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18"/>
      <c r="B50" s="3718"/>
      <c r="C50" s="3718"/>
      <c r="D50" s="970" t="s">
        <v>2440</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3" t="str">
        <f t="shared" ref="N50:N52" si="3">IF(K50="","",K50*L50)</f>
        <v/>
      </c>
      <c r="O50" s="652"/>
      <c r="P50" s="3693"/>
      <c r="Q50" s="3694"/>
      <c r="R50" s="466"/>
      <c r="S50" s="3685"/>
      <c r="T50" s="3686"/>
      <c r="U50" s="3686"/>
      <c r="V50" s="3687"/>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2441</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3" t="str">
        <f t="shared" si="3"/>
        <v/>
      </c>
      <c r="O51" s="652"/>
      <c r="P51" s="3695"/>
      <c r="Q51" s="3696"/>
      <c r="S51" s="3685"/>
      <c r="T51" s="3686"/>
      <c r="U51" s="3686"/>
      <c r="V51" s="3687"/>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2442</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3" t="str">
        <f t="shared" si="3"/>
        <v/>
      </c>
      <c r="O52" s="652"/>
      <c r="P52" s="3703" t="s">
        <v>3629</v>
      </c>
      <c r="Q52" s="3703"/>
      <c r="S52" s="3685"/>
      <c r="T52" s="3686"/>
      <c r="U52" s="3686"/>
      <c r="V52" s="3687"/>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3367</v>
      </c>
      <c r="E53" s="136"/>
      <c r="F53" s="1334">
        <f>SUM(F48:F52)</f>
        <v>0</v>
      </c>
      <c r="G53" s="722"/>
      <c r="H53" s="1335"/>
      <c r="I53" s="1336">
        <f>SUM(I48:I52)</f>
        <v>0</v>
      </c>
      <c r="J53" s="1337"/>
      <c r="K53" s="1334">
        <f>SUM(K48:K52)</f>
        <v>0</v>
      </c>
      <c r="L53" s="1337"/>
      <c r="M53" s="1335"/>
      <c r="N53" s="1336">
        <f>SUM(N48:N52)</f>
        <v>0</v>
      </c>
      <c r="O53" s="652"/>
      <c r="P53" s="1342" t="s">
        <v>3245</v>
      </c>
      <c r="Q53" s="1342" t="s">
        <v>256</v>
      </c>
      <c r="R53" s="466"/>
      <c r="S53" s="3685"/>
      <c r="T53" s="3686"/>
      <c r="U53" s="3686"/>
      <c r="V53" s="3687"/>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685"/>
      <c r="T54" s="3686"/>
      <c r="U54" s="3686"/>
      <c r="V54" s="3687"/>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3353</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3" t="str">
        <f>IF(K55="","",K55*L55)</f>
        <v/>
      </c>
      <c r="O55" s="652"/>
      <c r="P55" s="1341">
        <f>'Part IX Scoring Criteria'!O420</f>
        <v>0</v>
      </c>
      <c r="Q55" s="1341">
        <f>'Part IX Scoring Criteria'!P420</f>
        <v>0</v>
      </c>
      <c r="R55" s="466"/>
      <c r="S55" s="3685"/>
      <c r="T55" s="3686"/>
      <c r="U55" s="3686"/>
      <c r="V55" s="3687"/>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2439</v>
      </c>
      <c r="E56" s="971">
        <v>1</v>
      </c>
      <c r="F56" s="2622"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3" t="str">
        <f>IF(F56="","",F56*G56)</f>
        <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3" t="str">
        <f>IF(K56="","",K56*L56)</f>
        <v/>
      </c>
      <c r="P56" s="3703" t="s">
        <v>3630</v>
      </c>
      <c r="Q56" s="3703"/>
      <c r="S56" s="3685"/>
      <c r="T56" s="3686"/>
      <c r="U56" s="3686"/>
      <c r="V56" s="3687"/>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2440</v>
      </c>
      <c r="E57" s="971">
        <v>2</v>
      </c>
      <c r="F57" s="2622"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23" t="str">
        <f t="shared" ref="I57:I59" si="4">IF(F57="","",F57*G57)</f>
        <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3" t="str">
        <f t="shared" ref="N57:N59" si="5">IF(K57="","",K57*L57)</f>
        <v/>
      </c>
      <c r="P57" s="1342" t="s">
        <v>3245</v>
      </c>
      <c r="Q57" s="1342" t="s">
        <v>256</v>
      </c>
      <c r="S57" s="3685"/>
      <c r="T57" s="3686"/>
      <c r="U57" s="3686"/>
      <c r="V57" s="3687"/>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2441</v>
      </c>
      <c r="E58" s="971">
        <v>3</v>
      </c>
      <c r="F58" s="2622"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23" t="str">
        <f t="shared" si="4"/>
        <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3" t="str">
        <f t="shared" si="5"/>
        <v/>
      </c>
      <c r="O58" s="652"/>
      <c r="P58" s="1341">
        <f>'Part IX Scoring Criteria'!O71</f>
        <v>0</v>
      </c>
      <c r="Q58" s="1341">
        <f>'Part IX Scoring Criteria'!P71</f>
        <v>0</v>
      </c>
      <c r="S58" s="3688"/>
      <c r="T58" s="3689"/>
      <c r="U58" s="3689"/>
      <c r="V58" s="3690"/>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2442</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3" t="str">
        <f t="shared" si="5"/>
        <v/>
      </c>
      <c r="O59" s="652"/>
      <c r="P59" s="3712" t="s">
        <v>2769</v>
      </c>
      <c r="Q59" s="3712"/>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3367</v>
      </c>
      <c r="E60" s="136"/>
      <c r="F60" s="1334">
        <f>SUM(F55:F59)</f>
        <v>0</v>
      </c>
      <c r="G60" s="722"/>
      <c r="H60" s="1335"/>
      <c r="I60" s="1336">
        <f>SUM(I55:I59)</f>
        <v>0</v>
      </c>
      <c r="J60" s="1337"/>
      <c r="K60" s="1334">
        <f>SUM(K55:K59)</f>
        <v>0</v>
      </c>
      <c r="L60" s="1337"/>
      <c r="M60" s="1335"/>
      <c r="N60" s="1336">
        <f>SUM(N55:N59)</f>
        <v>0</v>
      </c>
      <c r="O60" s="652"/>
      <c r="P60" s="3712"/>
      <c r="Q60" s="3712"/>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12"/>
      <c r="Q61" s="3712"/>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3354</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3" t="str">
        <f>IF(K62="","",K62*L62)</f>
        <v/>
      </c>
      <c r="O62" s="652"/>
      <c r="P62" s="3713"/>
      <c r="Q62" s="3713"/>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2439</v>
      </c>
      <c r="E63" s="971">
        <v>1</v>
      </c>
      <c r="F63" s="2622">
        <f>IF('Part VI-Revenues &amp; Expenses'!$K$141 =0,"",'Part VI-Revenues &amp; Expenses'!$K$141)</f>
        <v>61</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61 units = </v>
      </c>
      <c r="I63" s="2623">
        <f>IF(F63="","",F63*G63)</f>
        <v>9864005</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3" t="str">
        <f>IF(K63="","",K63*L63)</f>
        <v/>
      </c>
      <c r="O63" s="652"/>
      <c r="P63" s="3714">
        <f>IF(P50&gt;1,P50, IF(OR('Part IX Scoring Criteria'!$O$71='Part IX Scoring Criteria'!$M$71,AND('Part IV-A-Uses of Funds'!$T$165="Yes",'Part IX Scoring Criteria'!$O$420&gt;0)),H69+M69,H69))</f>
        <v>31486324</v>
      </c>
      <c r="Q63" s="3715"/>
      <c r="R63" s="3700"/>
      <c r="S63" s="3701"/>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2440</v>
      </c>
      <c r="E64" s="971">
        <v>2</v>
      </c>
      <c r="F64" s="2622">
        <f>IF('Part VI-Revenues &amp; Expenses'!$L$141 =0,"",'Part VI-Revenues &amp; Expenses'!$L$141)</f>
        <v>68</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68 units = </v>
      </c>
      <c r="I64" s="2623">
        <f t="shared" ref="I64:I66" si="6">IF(F64="","",F64*G64)</f>
        <v>14137676</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3" t="str">
        <f t="shared" ref="N64:N66" si="7">IF(K64="","",K64*L64)</f>
        <v/>
      </c>
      <c r="P64" s="3716"/>
      <c r="Q64" s="3717"/>
      <c r="R64" s="3700"/>
      <c r="S64" s="3701"/>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2441</v>
      </c>
      <c r="E65" s="971">
        <v>3</v>
      </c>
      <c r="F65" s="2622">
        <f>IF('Part VI-Revenues &amp; Expenses'!$M$141 =0,"",'Part VI-Revenues &amp; Expenses'!$M$141)</f>
        <v>27</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27 units = </v>
      </c>
      <c r="I65" s="2623">
        <f t="shared" si="6"/>
        <v>7484643</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3" t="str">
        <f t="shared" si="7"/>
        <v/>
      </c>
      <c r="P65" s="3697" t="s">
        <v>4239</v>
      </c>
      <c r="Q65" s="3697"/>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2442</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3" t="str">
        <f t="shared" si="6"/>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3" t="str">
        <f t="shared" si="7"/>
        <v/>
      </c>
      <c r="O66" s="652"/>
      <c r="P66" s="3698"/>
      <c r="Q66" s="3698"/>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3367</v>
      </c>
      <c r="E67" s="136"/>
      <c r="F67" s="1334">
        <f>SUM(F62:F66)</f>
        <v>156</v>
      </c>
      <c r="G67" s="722"/>
      <c r="H67" s="1335"/>
      <c r="I67" s="1338">
        <f>SUM(I62:I66)</f>
        <v>31486324</v>
      </c>
      <c r="J67" s="1337"/>
      <c r="K67" s="1334">
        <f>SUM(K62:K66)</f>
        <v>0</v>
      </c>
      <c r="L67" s="1337"/>
      <c r="M67" s="1335"/>
      <c r="N67" s="1338">
        <f>SUM(N62:N66)</f>
        <v>0</v>
      </c>
      <c r="O67" s="652"/>
      <c r="P67" s="3698"/>
      <c r="Q67" s="3698"/>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698"/>
      <c r="Q68" s="3698"/>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3368</v>
      </c>
      <c r="B69" s="1"/>
      <c r="C69" s="1"/>
      <c r="D69" s="92"/>
      <c r="E69" s="114"/>
      <c r="F69" s="713">
        <f>F46+F53+F60+F67</f>
        <v>156</v>
      </c>
      <c r="G69" s="370"/>
      <c r="H69" s="3702">
        <f>I46+I53+I60+I67</f>
        <v>31486324</v>
      </c>
      <c r="I69" s="3702"/>
      <c r="J69" s="3702"/>
      <c r="K69" s="713">
        <f>K46+K53+K60+K67</f>
        <v>0</v>
      </c>
      <c r="L69" s="714"/>
      <c r="M69" s="3702">
        <f>N46+N53+N60+N67</f>
        <v>0</v>
      </c>
      <c r="N69" s="3702"/>
      <c r="O69" s="3702"/>
      <c r="P69" s="3698"/>
      <c r="Q69" s="3698"/>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3753</v>
      </c>
      <c r="D70" s="97"/>
      <c r="E70" s="97"/>
      <c r="F70" s="97"/>
      <c r="G70" s="97"/>
      <c r="H70" s="40"/>
      <c r="I70" s="1385"/>
      <c r="J70" s="1385"/>
      <c r="K70" s="140" t="s">
        <v>1865</v>
      </c>
      <c r="L70" s="1378"/>
      <c r="M70" s="1378"/>
      <c r="N70" s="1378"/>
      <c r="O70" s="1378"/>
      <c r="P70" s="3699"/>
      <c r="Q70" s="3699"/>
    </row>
    <row r="71" spans="1:295" ht="37.5" customHeight="1">
      <c r="A71" s="3621" t="s">
        <v>5307</v>
      </c>
      <c r="B71" s="3622"/>
      <c r="C71" s="3622"/>
      <c r="D71" s="3622"/>
      <c r="E71" s="3622"/>
      <c r="F71" s="3622"/>
      <c r="G71" s="3622"/>
      <c r="H71" s="3622"/>
      <c r="I71" s="3622"/>
      <c r="J71" s="3623"/>
      <c r="K71" s="3602"/>
      <c r="L71" s="3603"/>
      <c r="M71" s="3603"/>
      <c r="N71" s="3603"/>
      <c r="O71" s="3603"/>
      <c r="P71" s="3603"/>
      <c r="Q71" s="3604"/>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708" t="str">
        <f>'Part I-Project Information'!$H$82</f>
        <v>Family</v>
      </c>
      <c r="K73" s="3708"/>
      <c r="L73" s="3708"/>
      <c r="O73" s="135" t="s">
        <v>1866</v>
      </c>
      <c r="P73" s="3626"/>
      <c r="Q73" s="3606"/>
    </row>
    <row r="74" spans="1:295" ht="10.5" customHeight="1">
      <c r="B74" s="97" t="s">
        <v>3753</v>
      </c>
      <c r="D74" s="97"/>
      <c r="E74" s="97"/>
      <c r="F74" s="97"/>
      <c r="G74" s="97"/>
      <c r="H74" s="40"/>
      <c r="I74" s="1385"/>
      <c r="J74" s="1385"/>
      <c r="K74" s="140" t="s">
        <v>1865</v>
      </c>
      <c r="L74" s="1378"/>
      <c r="M74" s="1378"/>
      <c r="N74" s="1378"/>
      <c r="O74" s="1378"/>
      <c r="P74" s="1378"/>
      <c r="Q74" s="1020"/>
    </row>
    <row r="75" spans="1:295" ht="10.5" customHeight="1">
      <c r="A75" s="3621" t="s">
        <v>5308</v>
      </c>
      <c r="B75" s="3622"/>
      <c r="C75" s="3622"/>
      <c r="D75" s="3622"/>
      <c r="E75" s="3622"/>
      <c r="F75" s="3622"/>
      <c r="G75" s="3622"/>
      <c r="H75" s="3622"/>
      <c r="I75" s="3622"/>
      <c r="J75" s="3623"/>
      <c r="K75" s="3602"/>
      <c r="L75" s="3603"/>
      <c r="M75" s="3603"/>
      <c r="N75" s="3603"/>
      <c r="O75" s="3603"/>
      <c r="P75" s="3603"/>
      <c r="Q75" s="3604"/>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2651</v>
      </c>
      <c r="C77" s="117"/>
      <c r="D77" s="1379"/>
      <c r="E77" s="1379"/>
      <c r="F77" s="1379"/>
      <c r="G77" s="1379"/>
      <c r="H77" s="1379"/>
      <c r="I77" s="1379"/>
      <c r="J77" s="1379"/>
      <c r="L77" s="2413" t="s">
        <v>4751</v>
      </c>
      <c r="M77" s="2414" t="s">
        <v>4752</v>
      </c>
      <c r="O77" s="135" t="s">
        <v>1866</v>
      </c>
      <c r="P77" s="3626"/>
      <c r="Q77" s="3606"/>
    </row>
    <row r="78" spans="1:295" ht="1.5" customHeight="1"/>
    <row r="79" spans="1:295" ht="12" customHeight="1">
      <c r="A79" s="145" t="s">
        <v>1982</v>
      </c>
      <c r="B79" s="3610" t="s">
        <v>4743</v>
      </c>
      <c r="C79" s="3610"/>
      <c r="D79" s="3610"/>
      <c r="E79" s="3610"/>
      <c r="F79" s="3610"/>
      <c r="G79" s="3610"/>
      <c r="H79" s="3610"/>
      <c r="I79" s="3610"/>
      <c r="J79" s="3610"/>
      <c r="K79" s="151"/>
      <c r="L79" s="498" t="s">
        <v>2910</v>
      </c>
      <c r="M79" s="2519">
        <v>2</v>
      </c>
      <c r="N79" s="450" t="s">
        <v>3696</v>
      </c>
      <c r="P79" s="3691" t="s">
        <v>5309</v>
      </c>
      <c r="Q79" s="3679"/>
    </row>
    <row r="80" spans="1:295" ht="12" customHeight="1">
      <c r="A80" s="145"/>
      <c r="B80" s="3610"/>
      <c r="C80" s="3610"/>
      <c r="D80" s="3610"/>
      <c r="E80" s="3610"/>
      <c r="F80" s="3610"/>
      <c r="G80" s="3610"/>
      <c r="H80" s="3610"/>
      <c r="I80" s="3610"/>
      <c r="J80" s="3610"/>
      <c r="K80" s="151"/>
      <c r="L80" s="498" t="s">
        <v>4750</v>
      </c>
      <c r="M80" s="2520">
        <v>4</v>
      </c>
      <c r="O80" s="146"/>
      <c r="P80" s="3692"/>
      <c r="Q80" s="3680"/>
    </row>
    <row r="81" spans="1:31" ht="12" customHeight="1">
      <c r="A81" s="47" t="s">
        <v>1984</v>
      </c>
      <c r="B81" s="450" t="s">
        <v>4753</v>
      </c>
      <c r="C81" s="450"/>
      <c r="D81" s="450"/>
      <c r="E81" s="450"/>
      <c r="F81" s="450"/>
      <c r="G81" s="450"/>
      <c r="H81" s="450"/>
      <c r="I81" s="450"/>
      <c r="J81" s="450"/>
      <c r="K81" s="675"/>
      <c r="L81" s="450"/>
      <c r="M81" s="151"/>
      <c r="N81" s="1080"/>
      <c r="O81" s="1080"/>
      <c r="P81" s="1080"/>
    </row>
    <row r="82" spans="1:31" ht="12" customHeight="1">
      <c r="A82" s="2408"/>
      <c r="B82" s="2579" t="s">
        <v>1737</v>
      </c>
      <c r="C82" s="450" t="s">
        <v>4757</v>
      </c>
      <c r="D82" s="2412"/>
      <c r="E82" s="2412"/>
      <c r="F82" s="2412"/>
      <c r="G82" s="2412"/>
      <c r="H82" s="2412"/>
      <c r="I82" s="2412"/>
      <c r="J82" s="2412"/>
      <c r="K82" s="2411"/>
      <c r="L82" s="1079"/>
      <c r="N82" s="450" t="s">
        <v>3696</v>
      </c>
      <c r="O82" s="1080"/>
      <c r="P82" s="238" t="s">
        <v>5309</v>
      </c>
      <c r="Q82" s="617"/>
    </row>
    <row r="83" spans="1:31" ht="12" customHeight="1">
      <c r="A83" s="2408"/>
      <c r="B83" s="2579" t="s">
        <v>1738</v>
      </c>
      <c r="C83" s="450" t="s">
        <v>4754</v>
      </c>
      <c r="D83" s="2412"/>
      <c r="E83" s="2412"/>
      <c r="F83" s="2412"/>
      <c r="G83" s="2412"/>
      <c r="H83" s="2412"/>
      <c r="I83" s="2412"/>
      <c r="J83" s="2412"/>
      <c r="K83" s="2411"/>
      <c r="L83" s="1079"/>
      <c r="N83" s="450" t="s">
        <v>3696</v>
      </c>
      <c r="O83" s="1080"/>
      <c r="P83" s="422" t="s">
        <v>5309</v>
      </c>
      <c r="Q83" s="618"/>
    </row>
    <row r="84" spans="1:31" ht="12" customHeight="1">
      <c r="A84" s="2407"/>
      <c r="B84" s="2579" t="s">
        <v>1739</v>
      </c>
      <c r="C84" s="450" t="s">
        <v>4755</v>
      </c>
      <c r="E84" s="2412"/>
      <c r="F84" s="2412"/>
      <c r="G84" s="2412"/>
      <c r="H84" s="2412"/>
      <c r="I84" s="2412"/>
      <c r="J84" s="2412"/>
      <c r="K84" s="2411"/>
      <c r="L84" s="1079"/>
      <c r="M84" s="1080"/>
      <c r="N84" s="450" t="s">
        <v>3696</v>
      </c>
      <c r="O84" s="1080"/>
      <c r="P84" s="422" t="s">
        <v>5309</v>
      </c>
      <c r="Q84" s="618"/>
    </row>
    <row r="85" spans="1:31" ht="11.1" customHeight="1">
      <c r="A85" s="147"/>
      <c r="B85" s="541" t="s">
        <v>2364</v>
      </c>
      <c r="C85" s="541" t="s">
        <v>4758</v>
      </c>
      <c r="D85" s="137"/>
      <c r="E85" s="137"/>
      <c r="F85" s="137"/>
      <c r="G85" s="137"/>
      <c r="H85" s="137"/>
      <c r="I85" s="42"/>
      <c r="J85" s="42"/>
      <c r="N85" s="450" t="s">
        <v>3696</v>
      </c>
      <c r="O85" s="1080"/>
      <c r="P85" s="239"/>
      <c r="Q85" s="619"/>
    </row>
    <row r="86" spans="1:31" ht="11.1" customHeight="1">
      <c r="A86" s="147"/>
      <c r="B86" s="541"/>
      <c r="C86" s="450" t="s">
        <v>4759</v>
      </c>
      <c r="D86" s="137"/>
      <c r="E86" s="137"/>
      <c r="F86" s="137"/>
      <c r="G86" s="137"/>
      <c r="H86" s="137"/>
      <c r="I86" s="42"/>
      <c r="J86" s="42"/>
      <c r="L86" s="3607"/>
      <c r="M86" s="3608"/>
      <c r="N86" s="3608"/>
      <c r="O86" s="3608"/>
      <c r="P86" s="3608"/>
      <c r="Q86" s="3609"/>
    </row>
    <row r="87" spans="1:31" ht="11.1" customHeight="1">
      <c r="A87" s="147"/>
      <c r="B87" s="541" t="s">
        <v>1549</v>
      </c>
      <c r="C87" s="3610" t="s">
        <v>4756</v>
      </c>
      <c r="D87" s="3610"/>
      <c r="E87" s="3610"/>
      <c r="F87" s="3610"/>
      <c r="G87" s="3610"/>
      <c r="H87" s="3610"/>
      <c r="I87" s="3610"/>
      <c r="J87" s="3610"/>
      <c r="K87" s="3610"/>
      <c r="L87" s="3610"/>
      <c r="M87" s="610"/>
      <c r="N87" s="450" t="s">
        <v>3696</v>
      </c>
      <c r="O87" s="1080"/>
      <c r="P87" s="542" t="s">
        <v>5309</v>
      </c>
      <c r="Q87" s="616"/>
    </row>
    <row r="88" spans="1:31" ht="11.1" customHeight="1">
      <c r="A88" s="47"/>
      <c r="C88" s="3610"/>
      <c r="D88" s="3610"/>
      <c r="E88" s="3610"/>
      <c r="F88" s="3610"/>
      <c r="G88" s="3610"/>
      <c r="H88" s="3610"/>
      <c r="I88" s="3610"/>
      <c r="J88" s="3610"/>
      <c r="K88" s="3610"/>
      <c r="L88" s="3610"/>
      <c r="M88" s="610"/>
    </row>
    <row r="89" spans="1:31" ht="10.5" customHeight="1">
      <c r="B89" s="97" t="s">
        <v>3753</v>
      </c>
      <c r="D89" s="97"/>
      <c r="E89" s="97"/>
      <c r="F89" s="97"/>
      <c r="G89" s="97"/>
      <c r="H89" s="40"/>
      <c r="I89" s="1385"/>
      <c r="J89" s="1385"/>
      <c r="K89" s="140" t="s">
        <v>1865</v>
      </c>
      <c r="L89" s="1378"/>
      <c r="M89" s="1378"/>
      <c r="N89" s="1378"/>
      <c r="O89" s="1378"/>
      <c r="P89" s="1378"/>
      <c r="Q89" s="1020"/>
    </row>
    <row r="90" spans="1:31" ht="24" customHeight="1">
      <c r="A90" s="3621" t="s">
        <v>5341</v>
      </c>
      <c r="B90" s="3622"/>
      <c r="C90" s="3622"/>
      <c r="D90" s="3622"/>
      <c r="E90" s="3622"/>
      <c r="F90" s="3622"/>
      <c r="G90" s="3622"/>
      <c r="H90" s="3622"/>
      <c r="I90" s="3622"/>
      <c r="J90" s="3623"/>
      <c r="K90" s="3602"/>
      <c r="L90" s="3603"/>
      <c r="M90" s="3603"/>
      <c r="N90" s="3603"/>
      <c r="O90" s="3603"/>
      <c r="P90" s="3603"/>
      <c r="Q90" s="3604"/>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2652</v>
      </c>
      <c r="C92" s="1384"/>
      <c r="D92" s="1379"/>
      <c r="E92" s="1379"/>
      <c r="F92" s="1379"/>
      <c r="G92" s="1379"/>
      <c r="H92" s="1379"/>
      <c r="I92" s="1379"/>
      <c r="J92" s="1379"/>
      <c r="K92" s="1379"/>
      <c r="O92" s="135" t="s">
        <v>1866</v>
      </c>
      <c r="P92" s="3626"/>
      <c r="Q92" s="3606"/>
    </row>
    <row r="93" spans="1:31" ht="3" customHeight="1"/>
    <row r="94" spans="1:31" ht="10.5" customHeight="1">
      <c r="A94" s="47" t="s">
        <v>1982</v>
      </c>
      <c r="B94" s="148" t="s">
        <v>2459</v>
      </c>
      <c r="D94" s="137"/>
      <c r="E94" s="137"/>
      <c r="F94" s="137"/>
      <c r="G94" s="137"/>
      <c r="H94" s="137"/>
      <c r="I94" s="42"/>
      <c r="J94" s="42"/>
      <c r="K94" s="42"/>
      <c r="L94" s="527" t="s">
        <v>1982</v>
      </c>
      <c r="M94" s="3661" t="s">
        <v>5346</v>
      </c>
      <c r="N94" s="3662"/>
      <c r="O94" s="3662"/>
      <c r="P94" s="3671"/>
      <c r="Q94" s="617"/>
    </row>
    <row r="95" spans="1:31" ht="10.5" customHeight="1">
      <c r="A95" s="47" t="s">
        <v>1984</v>
      </c>
      <c r="B95" s="52" t="s">
        <v>2035</v>
      </c>
      <c r="D95" s="137"/>
      <c r="E95" s="137"/>
      <c r="F95" s="137"/>
      <c r="L95" s="527" t="s">
        <v>1984</v>
      </c>
      <c r="M95" s="3672" t="s">
        <v>5347</v>
      </c>
      <c r="N95" s="3673"/>
      <c r="O95" s="3673"/>
      <c r="P95" s="3674"/>
      <c r="Q95" s="618"/>
    </row>
    <row r="96" spans="1:31" ht="10.5" customHeight="1">
      <c r="A96" s="47" t="s">
        <v>749</v>
      </c>
      <c r="B96" s="52" t="s">
        <v>2878</v>
      </c>
      <c r="D96" s="137"/>
      <c r="E96" s="137"/>
      <c r="F96" s="137"/>
      <c r="L96" s="527" t="s">
        <v>749</v>
      </c>
      <c r="M96" s="3675">
        <v>0.96</v>
      </c>
      <c r="N96" s="3676"/>
      <c r="O96" s="3676"/>
      <c r="P96" s="3677"/>
      <c r="Q96" s="618"/>
    </row>
    <row r="97" spans="1:31" ht="10.5" customHeight="1">
      <c r="A97" s="47" t="s">
        <v>2114</v>
      </c>
      <c r="B97" s="52" t="s">
        <v>3894</v>
      </c>
      <c r="D97" s="137"/>
      <c r="E97" s="137"/>
      <c r="F97" s="137"/>
      <c r="L97" s="527" t="s">
        <v>3895</v>
      </c>
      <c r="M97" s="1497">
        <v>0.97399999999999998</v>
      </c>
      <c r="N97" s="1343"/>
      <c r="O97" s="1344" t="s">
        <v>4126</v>
      </c>
      <c r="P97" s="1345">
        <v>0.94399999999999995</v>
      </c>
      <c r="Q97" s="619"/>
    </row>
    <row r="98" spans="1:31" ht="10.5" customHeight="1">
      <c r="A98" s="145" t="s">
        <v>1735</v>
      </c>
      <c r="B98" s="143" t="s">
        <v>3893</v>
      </c>
      <c r="D98" s="143"/>
      <c r="E98" s="143"/>
      <c r="F98" s="143"/>
      <c r="G98" s="143"/>
      <c r="H98" s="143"/>
      <c r="I98" s="143"/>
      <c r="J98" s="143"/>
      <c r="K98" s="143"/>
      <c r="L98" s="143"/>
      <c r="M98" s="143"/>
      <c r="N98" s="143"/>
      <c r="O98" s="143"/>
      <c r="P98" s="143"/>
      <c r="Q98" s="143"/>
    </row>
    <row r="99" spans="1:31" ht="10.5" customHeight="1">
      <c r="B99" s="47"/>
      <c r="C99" s="52"/>
      <c r="D99" s="1386" t="s">
        <v>2377</v>
      </c>
      <c r="E99" s="1021" t="s">
        <v>617</v>
      </c>
      <c r="F99" s="1021"/>
      <c r="H99" s="52"/>
      <c r="I99" s="1386" t="s">
        <v>2377</v>
      </c>
      <c r="J99" s="1021" t="s">
        <v>617</v>
      </c>
      <c r="K99" s="1021"/>
      <c r="M99" s="52"/>
      <c r="N99" s="1386" t="s">
        <v>2377</v>
      </c>
      <c r="O99" s="1021" t="s">
        <v>617</v>
      </c>
      <c r="P99" s="1021"/>
      <c r="Q99" s="527"/>
    </row>
    <row r="100" spans="1:31" ht="10.5" customHeight="1">
      <c r="C100" s="527" t="s">
        <v>1737</v>
      </c>
      <c r="D100" s="559" t="s">
        <v>5349</v>
      </c>
      <c r="E100" s="3648" t="s">
        <v>5350</v>
      </c>
      <c r="F100" s="3648"/>
      <c r="G100" s="3648"/>
      <c r="H100" s="66" t="s">
        <v>1739</v>
      </c>
      <c r="I100" s="559" t="s">
        <v>5351</v>
      </c>
      <c r="J100" s="3648" t="s">
        <v>5352</v>
      </c>
      <c r="K100" s="3648"/>
      <c r="L100" s="3648"/>
      <c r="M100" s="65" t="s">
        <v>1549</v>
      </c>
      <c r="N100" s="559" t="s">
        <v>5353</v>
      </c>
      <c r="O100" s="3648" t="s">
        <v>5354</v>
      </c>
      <c r="P100" s="3648"/>
      <c r="Q100" s="3648"/>
    </row>
    <row r="101" spans="1:31" ht="10.5" customHeight="1">
      <c r="C101" s="66" t="s">
        <v>1738</v>
      </c>
      <c r="D101" s="560" t="s">
        <v>5355</v>
      </c>
      <c r="E101" s="3649" t="s">
        <v>5356</v>
      </c>
      <c r="F101" s="3649"/>
      <c r="G101" s="3649"/>
      <c r="H101" s="527" t="s">
        <v>2364</v>
      </c>
      <c r="I101" s="560" t="s">
        <v>5357</v>
      </c>
      <c r="J101" s="3649" t="s">
        <v>5358</v>
      </c>
      <c r="K101" s="3649"/>
      <c r="L101" s="3649"/>
      <c r="M101" s="65" t="s">
        <v>1550</v>
      </c>
      <c r="N101" s="560" t="s">
        <v>5359</v>
      </c>
      <c r="O101" s="3649" t="s">
        <v>5360</v>
      </c>
      <c r="P101" s="3649"/>
      <c r="Q101" s="3649"/>
    </row>
    <row r="102" spans="1:31" ht="10.5" customHeight="1">
      <c r="A102" s="47" t="s">
        <v>1736</v>
      </c>
      <c r="B102" s="52" t="s">
        <v>0</v>
      </c>
      <c r="D102" s="137"/>
      <c r="E102" s="137"/>
      <c r="F102" s="137"/>
      <c r="G102" s="137"/>
      <c r="H102" s="137"/>
      <c r="I102" s="42"/>
      <c r="J102" s="42"/>
      <c r="K102" s="137"/>
      <c r="L102" s="1381"/>
      <c r="M102" s="1381"/>
      <c r="O102" s="527" t="s">
        <v>1736</v>
      </c>
      <c r="P102" s="113" t="s">
        <v>2989</v>
      </c>
      <c r="Q102" s="621"/>
    </row>
    <row r="103" spans="1:31" ht="9.75" customHeight="1">
      <c r="B103" s="144" t="s">
        <v>3753</v>
      </c>
      <c r="D103" s="144"/>
      <c r="E103" s="144"/>
      <c r="F103" s="144"/>
      <c r="G103" s="144"/>
      <c r="H103" s="40"/>
      <c r="I103" s="1385"/>
      <c r="J103" s="1385"/>
      <c r="K103" s="1385"/>
      <c r="L103" s="1378"/>
      <c r="M103" s="1378"/>
      <c r="N103" s="1378"/>
      <c r="O103" s="1378"/>
      <c r="P103" s="1378"/>
      <c r="Q103" s="1020"/>
    </row>
    <row r="104" spans="1:31" ht="44.25" customHeight="1">
      <c r="A104" s="3621" t="s">
        <v>5348</v>
      </c>
      <c r="B104" s="3622"/>
      <c r="C104" s="3622"/>
      <c r="D104" s="3622"/>
      <c r="E104" s="3622"/>
      <c r="F104" s="3622"/>
      <c r="G104" s="3622"/>
      <c r="H104" s="3622"/>
      <c r="I104" s="3622"/>
      <c r="J104" s="3622"/>
      <c r="K104" s="3622"/>
      <c r="L104" s="3622"/>
      <c r="M104" s="3622"/>
      <c r="N104" s="3622"/>
      <c r="O104" s="3622"/>
      <c r="P104" s="3622"/>
      <c r="Q104" s="3623"/>
      <c r="U104" s="139"/>
      <c r="V104" s="139"/>
      <c r="W104" s="139"/>
      <c r="X104" s="139"/>
      <c r="Y104" s="139"/>
      <c r="Z104" s="139"/>
      <c r="AA104" s="139"/>
      <c r="AB104" s="139"/>
      <c r="AC104" s="139"/>
      <c r="AD104" s="139"/>
      <c r="AE104" s="529"/>
    </row>
    <row r="105" spans="1:31" ht="9.75" customHeight="1">
      <c r="B105" s="140" t="s">
        <v>1865</v>
      </c>
      <c r="C105" s="141"/>
      <c r="D105" s="1379"/>
      <c r="E105" s="1379"/>
      <c r="F105" s="1379"/>
      <c r="G105" s="1379"/>
      <c r="H105" s="1379"/>
      <c r="I105" s="1379"/>
      <c r="J105" s="1379"/>
      <c r="K105" s="1379"/>
      <c r="L105" s="1379"/>
      <c r="M105" s="1379"/>
      <c r="N105" s="1379"/>
      <c r="O105" s="1379"/>
      <c r="P105" s="1379"/>
      <c r="Q105" s="1379"/>
    </row>
    <row r="106" spans="1:31" ht="44.25" customHeight="1">
      <c r="A106" s="3602"/>
      <c r="B106" s="3603"/>
      <c r="C106" s="3603"/>
      <c r="D106" s="3603"/>
      <c r="E106" s="3603"/>
      <c r="F106" s="3603"/>
      <c r="G106" s="3603"/>
      <c r="H106" s="3603"/>
      <c r="I106" s="3603"/>
      <c r="J106" s="3603"/>
      <c r="K106" s="3603"/>
      <c r="L106" s="3603"/>
      <c r="M106" s="3603"/>
      <c r="N106" s="3603"/>
      <c r="O106" s="3603"/>
      <c r="P106" s="3603"/>
      <c r="Q106" s="3604"/>
    </row>
    <row r="107" spans="1:31" ht="14.1" customHeight="1">
      <c r="A107" s="1384" t="s">
        <v>530</v>
      </c>
      <c r="B107" s="1384" t="s">
        <v>2653</v>
      </c>
      <c r="C107" s="1384"/>
      <c r="D107" s="1379"/>
      <c r="E107" s="1379"/>
      <c r="F107" s="1379"/>
      <c r="G107" s="1379"/>
      <c r="H107" s="1379"/>
      <c r="I107" s="1379"/>
      <c r="J107" s="1379"/>
      <c r="K107" s="1379"/>
      <c r="L107" s="1379"/>
      <c r="M107" s="1379"/>
      <c r="O107" s="135" t="s">
        <v>1866</v>
      </c>
      <c r="P107" s="3626"/>
      <c r="Q107" s="3606"/>
    </row>
    <row r="108" spans="1:31" ht="3" customHeight="1"/>
    <row r="109" spans="1:31" ht="9.75" customHeight="1">
      <c r="B109" s="55" t="s">
        <v>4937</v>
      </c>
      <c r="P109" s="542" t="s">
        <v>2989</v>
      </c>
      <c r="Q109" s="616"/>
    </row>
    <row r="110" spans="1:31" ht="10.5" customHeight="1">
      <c r="A110" s="47" t="s">
        <v>1982</v>
      </c>
      <c r="B110" s="52" t="s">
        <v>493</v>
      </c>
      <c r="C110" s="52"/>
      <c r="E110" s="52"/>
      <c r="F110" s="52"/>
      <c r="G110" s="52"/>
      <c r="H110" s="52"/>
      <c r="I110" s="52"/>
      <c r="J110" s="52"/>
      <c r="K110" s="52"/>
      <c r="L110" s="52"/>
      <c r="M110" s="52"/>
      <c r="O110" s="527" t="s">
        <v>1982</v>
      </c>
      <c r="P110" s="1174" t="s">
        <v>2989</v>
      </c>
      <c r="Q110" s="1084"/>
    </row>
    <row r="111" spans="1:31" ht="10.5" customHeight="1">
      <c r="A111" s="47" t="s">
        <v>1984</v>
      </c>
      <c r="B111" s="52" t="s">
        <v>1304</v>
      </c>
      <c r="C111" s="52"/>
      <c r="E111" s="52"/>
      <c r="F111" s="52"/>
      <c r="G111" s="52"/>
      <c r="H111" s="52"/>
      <c r="I111" s="52"/>
      <c r="J111" s="52"/>
      <c r="K111" s="52"/>
      <c r="L111" s="1021"/>
      <c r="M111" s="1021"/>
      <c r="O111" s="527" t="s">
        <v>1984</v>
      </c>
      <c r="P111" s="239" t="s">
        <v>2989</v>
      </c>
      <c r="Q111" s="618"/>
    </row>
    <row r="112" spans="1:31" ht="10.5" customHeight="1">
      <c r="A112" s="36"/>
      <c r="B112" s="39" t="s">
        <v>554</v>
      </c>
      <c r="E112" s="42"/>
      <c r="F112" s="42"/>
      <c r="G112" s="42"/>
      <c r="H112" s="42"/>
      <c r="I112" s="42"/>
      <c r="L112" s="66" t="s">
        <v>555</v>
      </c>
      <c r="M112" s="3607" t="s">
        <v>5344</v>
      </c>
      <c r="N112" s="3608"/>
      <c r="O112" s="3608"/>
      <c r="P112" s="3177"/>
      <c r="Q112" s="618"/>
    </row>
    <row r="113" spans="1:32" ht="10.5" customHeight="1">
      <c r="A113" s="2403"/>
      <c r="B113" s="2579" t="s">
        <v>1737</v>
      </c>
      <c r="C113" s="1021" t="s">
        <v>4760</v>
      </c>
      <c r="D113" s="1186"/>
      <c r="E113" s="1186"/>
      <c r="F113" s="1186"/>
      <c r="G113" s="1186"/>
      <c r="H113" s="1186"/>
      <c r="I113" s="1186"/>
      <c r="J113" s="1186"/>
      <c r="K113" s="1186"/>
      <c r="L113" s="1186"/>
      <c r="M113" s="1186"/>
      <c r="O113" s="153" t="s">
        <v>1737</v>
      </c>
      <c r="P113" s="238" t="s">
        <v>2989</v>
      </c>
      <c r="Q113" s="618"/>
    </row>
    <row r="114" spans="1:32" ht="10.5" customHeight="1">
      <c r="A114" s="2403"/>
      <c r="B114" s="149" t="s">
        <v>1738</v>
      </c>
      <c r="C114" s="1021" t="s">
        <v>3470</v>
      </c>
      <c r="D114" s="1186"/>
      <c r="E114" s="1186"/>
      <c r="F114" s="1186"/>
      <c r="G114" s="1186"/>
      <c r="H114" s="1186"/>
      <c r="I114" s="1186"/>
      <c r="J114" s="1186"/>
      <c r="K114" s="1186"/>
      <c r="L114" s="1186"/>
      <c r="M114" s="1186"/>
      <c r="O114" s="66" t="s">
        <v>1738</v>
      </c>
      <c r="P114" s="422" t="s">
        <v>2989</v>
      </c>
      <c r="Q114" s="618"/>
    </row>
    <row r="115" spans="1:32" ht="10.5" customHeight="1">
      <c r="A115" s="1385"/>
      <c r="B115" s="2579" t="s">
        <v>1739</v>
      </c>
      <c r="C115" s="1021" t="s">
        <v>3471</v>
      </c>
      <c r="D115" s="1186"/>
      <c r="E115" s="1186"/>
      <c r="F115" s="1186"/>
      <c r="G115" s="1186"/>
      <c r="H115" s="1186"/>
      <c r="I115" s="1186"/>
      <c r="J115" s="1186"/>
      <c r="K115" s="1186"/>
      <c r="L115" s="1186"/>
      <c r="M115" s="1186"/>
      <c r="O115" s="153" t="s">
        <v>1739</v>
      </c>
      <c r="P115" s="422" t="s">
        <v>2989</v>
      </c>
      <c r="Q115" s="618"/>
    </row>
    <row r="116" spans="1:32" ht="10.5" customHeight="1">
      <c r="A116" s="1385"/>
      <c r="B116" s="541" t="s">
        <v>2364</v>
      </c>
      <c r="C116" s="1021" t="s">
        <v>2879</v>
      </c>
      <c r="D116" s="1021"/>
      <c r="E116" s="1021"/>
      <c r="F116" s="1021"/>
      <c r="G116" s="1021"/>
      <c r="H116" s="1021"/>
      <c r="I116" s="1021"/>
      <c r="J116" s="1021"/>
      <c r="K116" s="1021"/>
      <c r="L116" s="1021"/>
      <c r="M116" s="1450"/>
      <c r="O116" s="166" t="s">
        <v>2364</v>
      </c>
      <c r="P116" s="422" t="s">
        <v>2989</v>
      </c>
      <c r="Q116" s="618"/>
    </row>
    <row r="117" spans="1:32" s="136" customFormat="1" ht="24.75" customHeight="1">
      <c r="A117" s="498"/>
      <c r="B117" s="541" t="s">
        <v>1549</v>
      </c>
      <c r="C117" s="3650" t="s">
        <v>2688</v>
      </c>
      <c r="D117" s="3650"/>
      <c r="E117" s="3650"/>
      <c r="F117" s="3650"/>
      <c r="G117" s="3650"/>
      <c r="H117" s="3650"/>
      <c r="I117" s="3650"/>
      <c r="J117" s="3650"/>
      <c r="K117" s="3650"/>
      <c r="L117" s="3650"/>
      <c r="M117" s="3650"/>
      <c r="N117" s="3650"/>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t="s">
        <v>2989</v>
      </c>
      <c r="Q118" s="619"/>
    </row>
    <row r="119" spans="1:32" ht="10.5" customHeight="1">
      <c r="A119" s="47" t="s">
        <v>2114</v>
      </c>
      <c r="B119" s="52" t="s">
        <v>1428</v>
      </c>
      <c r="D119" s="52"/>
      <c r="E119" s="52"/>
      <c r="G119" s="52"/>
      <c r="I119" s="52"/>
      <c r="K119" s="52"/>
      <c r="L119" s="1021"/>
      <c r="M119" s="1021"/>
      <c r="N119" s="1021"/>
      <c r="O119" s="527" t="s">
        <v>2114</v>
      </c>
      <c r="P119" s="1021"/>
      <c r="Q119" s="1021"/>
    </row>
    <row r="120" spans="1:32" ht="10.5" customHeight="1">
      <c r="B120" s="149" t="s">
        <v>1737</v>
      </c>
      <c r="C120" s="52" t="s">
        <v>1429</v>
      </c>
      <c r="E120" s="52"/>
      <c r="F120" s="52"/>
      <c r="G120" s="52"/>
      <c r="H120" s="52"/>
      <c r="I120" s="52"/>
      <c r="J120" s="52"/>
      <c r="K120" s="52"/>
      <c r="L120" s="1021"/>
      <c r="M120" s="1021"/>
      <c r="O120" s="66" t="s">
        <v>1737</v>
      </c>
      <c r="P120" s="238" t="s">
        <v>2989</v>
      </c>
      <c r="Q120" s="617"/>
    </row>
    <row r="121" spans="1:32" ht="10.5" customHeight="1">
      <c r="B121" s="149" t="s">
        <v>1738</v>
      </c>
      <c r="C121" s="52" t="s">
        <v>1430</v>
      </c>
      <c r="E121" s="52"/>
      <c r="F121" s="52"/>
      <c r="G121" s="52"/>
      <c r="H121" s="52"/>
      <c r="I121" s="52"/>
      <c r="J121" s="52"/>
      <c r="K121" s="52"/>
      <c r="L121" s="1021"/>
      <c r="M121" s="1021"/>
      <c r="O121" s="66" t="s">
        <v>1738</v>
      </c>
      <c r="P121" s="422" t="s">
        <v>2992</v>
      </c>
      <c r="Q121" s="618"/>
    </row>
    <row r="122" spans="1:32" ht="10.5" customHeight="1">
      <c r="B122" s="149" t="s">
        <v>1739</v>
      </c>
      <c r="C122" s="52" t="s">
        <v>1431</v>
      </c>
      <c r="E122" s="52"/>
      <c r="F122" s="52"/>
      <c r="G122" s="52"/>
      <c r="H122" s="52"/>
      <c r="I122" s="52"/>
      <c r="J122" s="52"/>
      <c r="K122" s="52"/>
      <c r="L122" s="1021"/>
      <c r="M122" s="1021"/>
      <c r="O122" s="66" t="s">
        <v>1739</v>
      </c>
      <c r="P122" s="239" t="s">
        <v>2992</v>
      </c>
      <c r="Q122" s="619"/>
    </row>
    <row r="123" spans="1:32" ht="10.5" customHeight="1">
      <c r="B123" s="144" t="s">
        <v>3753</v>
      </c>
      <c r="D123" s="144"/>
      <c r="E123" s="144"/>
      <c r="F123" s="144"/>
      <c r="G123" s="144"/>
      <c r="H123" s="40"/>
      <c r="I123" s="1385"/>
      <c r="J123" s="1385"/>
      <c r="K123" s="1385"/>
      <c r="L123" s="1378"/>
      <c r="M123" s="1378"/>
      <c r="N123" s="1378"/>
      <c r="O123" s="1378"/>
      <c r="P123" s="1378"/>
      <c r="Q123" s="1020"/>
    </row>
    <row r="124" spans="1:32" ht="22.5" customHeight="1">
      <c r="A124" s="3621" t="s">
        <v>5345</v>
      </c>
      <c r="B124" s="3622"/>
      <c r="C124" s="3622"/>
      <c r="D124" s="3622"/>
      <c r="E124" s="3622"/>
      <c r="F124" s="3622"/>
      <c r="G124" s="3622"/>
      <c r="H124" s="3622"/>
      <c r="I124" s="3622"/>
      <c r="J124" s="3622"/>
      <c r="K124" s="3622"/>
      <c r="L124" s="3622"/>
      <c r="M124" s="3622"/>
      <c r="N124" s="3622"/>
      <c r="O124" s="3622"/>
      <c r="P124" s="3622"/>
      <c r="Q124" s="3623"/>
      <c r="U124" s="139"/>
      <c r="V124" s="139"/>
      <c r="W124" s="139"/>
      <c r="X124" s="139"/>
      <c r="Y124" s="139"/>
      <c r="Z124" s="139"/>
      <c r="AA124" s="139"/>
      <c r="AB124" s="139"/>
      <c r="AC124" s="139"/>
      <c r="AD124" s="139"/>
      <c r="AE124" s="529"/>
    </row>
    <row r="125" spans="1:32" ht="11.25" customHeight="1">
      <c r="B125" s="140" t="s">
        <v>1865</v>
      </c>
      <c r="C125" s="141"/>
      <c r="D125" s="1379"/>
      <c r="E125" s="1379"/>
      <c r="F125" s="1379"/>
      <c r="G125" s="1379"/>
      <c r="H125" s="1379"/>
      <c r="I125" s="1379"/>
      <c r="J125" s="1379"/>
      <c r="K125" s="1379"/>
      <c r="L125" s="1379"/>
      <c r="M125" s="1379"/>
      <c r="N125" s="1379"/>
      <c r="O125" s="1379"/>
      <c r="P125" s="1379"/>
      <c r="Q125" s="1379"/>
    </row>
    <row r="126" spans="1:32" ht="22.5" customHeight="1">
      <c r="A126" s="3602"/>
      <c r="B126" s="3603"/>
      <c r="C126" s="3603"/>
      <c r="D126" s="3603"/>
      <c r="E126" s="3603"/>
      <c r="F126" s="3603"/>
      <c r="G126" s="3603"/>
      <c r="H126" s="3603"/>
      <c r="I126" s="3603"/>
      <c r="J126" s="3603"/>
      <c r="K126" s="3603"/>
      <c r="L126" s="3603"/>
      <c r="M126" s="3603"/>
      <c r="N126" s="3603"/>
      <c r="O126" s="3603"/>
      <c r="P126" s="3603"/>
      <c r="Q126" s="3604"/>
    </row>
    <row r="127" spans="1:32" ht="14.1" customHeight="1">
      <c r="A127" s="1384" t="s">
        <v>772</v>
      </c>
      <c r="B127" s="1384" t="s">
        <v>2654</v>
      </c>
      <c r="C127" s="40"/>
      <c r="D127" s="1379"/>
      <c r="E127" s="1379"/>
      <c r="F127" s="1379"/>
      <c r="G127" s="1379"/>
      <c r="H127" s="1379"/>
      <c r="I127" s="1379"/>
      <c r="J127" s="1379"/>
      <c r="K127" s="1379"/>
      <c r="L127" s="1379"/>
      <c r="M127" s="1379"/>
      <c r="O127" s="135" t="s">
        <v>1866</v>
      </c>
      <c r="P127" s="3626"/>
      <c r="Q127" s="3606"/>
    </row>
    <row r="128" spans="1:32" ht="6.6" customHeight="1"/>
    <row r="129" spans="1:17" ht="12" customHeight="1">
      <c r="A129" s="47" t="s">
        <v>1982</v>
      </c>
      <c r="B129" s="52" t="s">
        <v>3636</v>
      </c>
      <c r="D129" s="137"/>
      <c r="E129" s="137"/>
      <c r="F129" s="137"/>
      <c r="G129" s="137"/>
      <c r="H129" s="137"/>
      <c r="I129" s="42"/>
      <c r="J129" s="42"/>
      <c r="K129" s="527" t="s">
        <v>1982</v>
      </c>
      <c r="L129" s="3657" t="s">
        <v>5342</v>
      </c>
      <c r="M129" s="3657"/>
      <c r="N129" s="3657"/>
      <c r="O129" s="3657"/>
      <c r="P129" s="3657"/>
      <c r="Q129" s="616"/>
    </row>
    <row r="130" spans="1:17" ht="12" customHeight="1">
      <c r="A130" s="47" t="s">
        <v>1984</v>
      </c>
      <c r="B130" s="52" t="s">
        <v>1538</v>
      </c>
      <c r="D130" s="137"/>
      <c r="E130" s="137"/>
      <c r="F130" s="137"/>
      <c r="G130" s="137"/>
      <c r="H130" s="137"/>
      <c r="I130" s="42"/>
      <c r="J130" s="42"/>
      <c r="K130" s="137"/>
      <c r="L130" s="1381"/>
      <c r="O130" s="527" t="s">
        <v>1984</v>
      </c>
      <c r="P130" s="1174" t="s">
        <v>2989</v>
      </c>
      <c r="Q130" s="1084"/>
    </row>
    <row r="131" spans="1:17" ht="12" customHeight="1">
      <c r="A131" s="47" t="s">
        <v>749</v>
      </c>
      <c r="B131" s="52" t="s">
        <v>151</v>
      </c>
      <c r="D131" s="137"/>
      <c r="E131" s="137"/>
      <c r="F131" s="137"/>
      <c r="G131" s="137"/>
      <c r="H131" s="137"/>
      <c r="I131" s="42"/>
      <c r="J131" s="42"/>
      <c r="K131" s="1381"/>
      <c r="L131" s="1381"/>
      <c r="O131" s="527" t="s">
        <v>749</v>
      </c>
      <c r="P131" s="239" t="s">
        <v>2989</v>
      </c>
      <c r="Q131" s="1035"/>
    </row>
    <row r="132" spans="1:17" ht="12" customHeight="1">
      <c r="A132" s="47"/>
      <c r="B132" s="1021" t="s">
        <v>1737</v>
      </c>
      <c r="C132" s="52" t="s">
        <v>2687</v>
      </c>
      <c r="E132" s="137"/>
      <c r="F132" s="137"/>
      <c r="G132" s="137"/>
      <c r="H132" s="137"/>
      <c r="I132" s="42"/>
      <c r="J132" s="42"/>
      <c r="K132" s="66" t="s">
        <v>1737</v>
      </c>
      <c r="L132" s="3657" t="s">
        <v>5342</v>
      </c>
      <c r="M132" s="3657"/>
      <c r="N132" s="3657"/>
      <c r="O132" s="3657"/>
      <c r="P132" s="3657"/>
      <c r="Q132" s="616"/>
    </row>
    <row r="133" spans="1:17" ht="12" customHeight="1">
      <c r="A133" s="142"/>
      <c r="B133" s="149" t="s">
        <v>1738</v>
      </c>
      <c r="C133" s="36" t="s">
        <v>3472</v>
      </c>
      <c r="E133" s="42"/>
      <c r="F133" s="42"/>
      <c r="G133" s="42"/>
      <c r="H133" s="52"/>
      <c r="I133" s="42"/>
      <c r="J133" s="42"/>
      <c r="K133" s="137"/>
      <c r="L133" s="1381"/>
      <c r="M133" s="1381"/>
      <c r="O133" s="527" t="s">
        <v>1738</v>
      </c>
      <c r="P133" s="113">
        <v>61.7</v>
      </c>
      <c r="Q133" s="621"/>
    </row>
    <row r="134" spans="1:17" ht="12" customHeight="1">
      <c r="A134" s="142"/>
      <c r="B134" s="40" t="s">
        <v>1739</v>
      </c>
      <c r="C134" s="36" t="s">
        <v>4744</v>
      </c>
      <c r="D134" s="151"/>
      <c r="E134" s="42"/>
      <c r="F134" s="42"/>
      <c r="G134" s="42"/>
      <c r="H134" s="52"/>
      <c r="I134" s="42"/>
      <c r="J134" s="42"/>
      <c r="K134" s="137"/>
      <c r="L134" s="2400"/>
      <c r="M134" s="2400"/>
      <c r="O134" s="527" t="s">
        <v>1739</v>
      </c>
      <c r="P134" s="113"/>
      <c r="Q134" s="621"/>
    </row>
    <row r="135" spans="1:17" ht="12" customHeight="1">
      <c r="A135" s="47" t="s">
        <v>2114</v>
      </c>
      <c r="B135" s="52" t="s">
        <v>1260</v>
      </c>
      <c r="D135" s="137"/>
      <c r="E135" s="137"/>
      <c r="F135" s="137"/>
      <c r="G135" s="137"/>
      <c r="H135" s="137"/>
      <c r="I135" s="42"/>
      <c r="J135" s="42"/>
      <c r="K135" s="137"/>
      <c r="L135" s="1381"/>
      <c r="M135" s="1381"/>
      <c r="N135" s="1381"/>
      <c r="O135" s="527" t="s">
        <v>2114</v>
      </c>
    </row>
    <row r="136" spans="1:17" ht="12" customHeight="1">
      <c r="A136" s="47"/>
      <c r="B136" s="149" t="s">
        <v>1737</v>
      </c>
      <c r="C136" s="52" t="s">
        <v>149</v>
      </c>
      <c r="E136" s="137"/>
      <c r="F136" s="137"/>
      <c r="G136" s="137"/>
      <c r="H136" s="137"/>
      <c r="I136" s="42"/>
      <c r="J136" s="42"/>
      <c r="K136" s="137"/>
      <c r="L136" s="1381"/>
      <c r="M136" s="1381"/>
      <c r="O136" s="66" t="s">
        <v>1737</v>
      </c>
      <c r="P136" s="238" t="s">
        <v>2989</v>
      </c>
      <c r="Q136" s="617"/>
    </row>
    <row r="137" spans="1:17" ht="12" customHeight="1">
      <c r="A137" s="47"/>
      <c r="B137" s="149" t="s">
        <v>1738</v>
      </c>
      <c r="C137" s="52" t="s">
        <v>1261</v>
      </c>
      <c r="E137" s="137"/>
      <c r="F137" s="137"/>
      <c r="G137" s="137"/>
      <c r="H137" s="42"/>
      <c r="I137" s="42"/>
      <c r="J137" s="42"/>
      <c r="K137" s="137"/>
      <c r="L137" s="1381"/>
      <c r="M137" s="1381"/>
      <c r="O137" s="66" t="s">
        <v>1738</v>
      </c>
      <c r="P137" s="422" t="s">
        <v>2992</v>
      </c>
      <c r="Q137" s="618"/>
    </row>
    <row r="138" spans="1:17" ht="12" customHeight="1">
      <c r="A138" s="47"/>
      <c r="B138" s="149"/>
      <c r="C138" s="52" t="s">
        <v>2631</v>
      </c>
      <c r="E138" s="527" t="s">
        <v>2434</v>
      </c>
      <c r="F138" s="52" t="s">
        <v>2632</v>
      </c>
      <c r="G138" s="42"/>
      <c r="H138" s="52"/>
      <c r="I138" s="42"/>
      <c r="J138" s="42"/>
      <c r="K138" s="137"/>
      <c r="L138" s="1381"/>
      <c r="M138" s="1381"/>
      <c r="O138" s="527" t="s">
        <v>2434</v>
      </c>
      <c r="P138" s="634"/>
      <c r="Q138" s="976"/>
    </row>
    <row r="139" spans="1:17" ht="12" customHeight="1">
      <c r="A139" s="47"/>
      <c r="B139" s="149"/>
      <c r="E139" s="527" t="s">
        <v>2435</v>
      </c>
      <c r="F139" s="52" t="s">
        <v>2633</v>
      </c>
      <c r="G139" s="42"/>
      <c r="H139" s="52"/>
      <c r="I139" s="42"/>
      <c r="J139" s="42"/>
      <c r="K139" s="137"/>
      <c r="L139" s="1381"/>
      <c r="M139" s="1381"/>
      <c r="O139" s="527" t="s">
        <v>2435</v>
      </c>
      <c r="P139" s="422"/>
      <c r="Q139" s="618"/>
    </row>
    <row r="140" spans="1:17" ht="12" customHeight="1">
      <c r="A140" s="47"/>
      <c r="B140" s="149"/>
      <c r="E140" s="527" t="s">
        <v>2436</v>
      </c>
      <c r="F140" s="52" t="s">
        <v>2634</v>
      </c>
      <c r="G140" s="42"/>
      <c r="H140" s="52"/>
      <c r="I140" s="42"/>
      <c r="J140" s="42"/>
      <c r="K140" s="137"/>
      <c r="L140" s="1381"/>
      <c r="M140" s="1381"/>
      <c r="O140" s="527" t="s">
        <v>2436</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2992</v>
      </c>
      <c r="Q141" s="618"/>
    </row>
    <row r="142" spans="1:17" ht="12" customHeight="1">
      <c r="A142" s="47"/>
      <c r="B142" s="66"/>
      <c r="C142" s="52" t="s">
        <v>2631</v>
      </c>
      <c r="E142" s="527" t="s">
        <v>2434</v>
      </c>
      <c r="F142" s="52" t="s">
        <v>2635</v>
      </c>
      <c r="G142" s="42"/>
      <c r="H142" s="52"/>
      <c r="I142" s="42"/>
      <c r="J142" s="42"/>
      <c r="K142" s="137"/>
      <c r="L142" s="1381"/>
      <c r="O142" s="527" t="s">
        <v>2434</v>
      </c>
      <c r="P142" s="634"/>
      <c r="Q142" s="976"/>
    </row>
    <row r="143" spans="1:17" ht="12" customHeight="1">
      <c r="A143" s="47"/>
      <c r="B143" s="66"/>
      <c r="E143" s="527" t="s">
        <v>2435</v>
      </c>
      <c r="F143" s="52" t="s">
        <v>2636</v>
      </c>
      <c r="G143" s="42"/>
      <c r="H143" s="52"/>
      <c r="I143" s="42"/>
      <c r="J143" s="42"/>
      <c r="O143" s="527" t="s">
        <v>2435</v>
      </c>
      <c r="P143" s="422"/>
      <c r="Q143" s="618"/>
    </row>
    <row r="144" spans="1:17" ht="12" customHeight="1">
      <c r="A144" s="47"/>
      <c r="B144" s="66"/>
      <c r="E144" s="527" t="s">
        <v>2436</v>
      </c>
      <c r="F144" s="52" t="s">
        <v>2634</v>
      </c>
      <c r="G144" s="42"/>
      <c r="H144" s="52"/>
      <c r="I144" s="42"/>
      <c r="J144" s="42"/>
      <c r="O144" s="527" t="s">
        <v>2436</v>
      </c>
      <c r="P144" s="239"/>
      <c r="Q144" s="619"/>
    </row>
    <row r="145" spans="1:32" ht="12" customHeight="1">
      <c r="A145" s="47" t="s">
        <v>1735</v>
      </c>
      <c r="B145" s="149" t="s">
        <v>2413</v>
      </c>
      <c r="D145" s="137"/>
      <c r="E145" s="137"/>
      <c r="F145" s="137"/>
      <c r="G145" s="137"/>
      <c r="H145" s="137"/>
      <c r="I145" s="42"/>
      <c r="J145" s="42"/>
      <c r="K145" s="137"/>
      <c r="L145" s="1381"/>
      <c r="M145" s="1381"/>
      <c r="N145" s="1381"/>
      <c r="O145" s="1381"/>
      <c r="P145" s="1381"/>
      <c r="Q145" s="1381"/>
    </row>
    <row r="146" spans="1:32" ht="12" customHeight="1">
      <c r="B146" s="149" t="s">
        <v>1737</v>
      </c>
      <c r="C146" s="52" t="s">
        <v>2494</v>
      </c>
      <c r="E146" s="137"/>
      <c r="F146" s="238" t="s">
        <v>2989</v>
      </c>
      <c r="G146" s="617"/>
      <c r="H146" s="527" t="s">
        <v>4981</v>
      </c>
      <c r="I146" s="55" t="s">
        <v>2639</v>
      </c>
      <c r="L146" s="238" t="s">
        <v>2992</v>
      </c>
      <c r="M146" s="617"/>
      <c r="N146" s="527" t="s">
        <v>4985</v>
      </c>
      <c r="O146" s="52" t="s">
        <v>1552</v>
      </c>
      <c r="P146" s="238" t="s">
        <v>2992</v>
      </c>
      <c r="Q146" s="617"/>
    </row>
    <row r="147" spans="1:32" ht="12" customHeight="1">
      <c r="A147" s="36"/>
      <c r="B147" s="149" t="s">
        <v>1738</v>
      </c>
      <c r="C147" s="52" t="s">
        <v>2802</v>
      </c>
      <c r="E147" s="137"/>
      <c r="F147" s="422" t="s">
        <v>2989</v>
      </c>
      <c r="G147" s="618"/>
      <c r="H147" s="527" t="s">
        <v>4982</v>
      </c>
      <c r="I147" s="55" t="s">
        <v>2640</v>
      </c>
      <c r="L147" s="422" t="s">
        <v>2992</v>
      </c>
      <c r="M147" s="618"/>
      <c r="N147" s="527" t="s">
        <v>4986</v>
      </c>
      <c r="O147" s="52" t="s">
        <v>1551</v>
      </c>
      <c r="P147" s="422" t="s">
        <v>2992</v>
      </c>
      <c r="Q147" s="618"/>
    </row>
    <row r="148" spans="1:32" ht="12" customHeight="1">
      <c r="A148" s="36"/>
      <c r="B148" s="149" t="s">
        <v>1739</v>
      </c>
      <c r="C148" s="52" t="s">
        <v>2638</v>
      </c>
      <c r="E148" s="137"/>
      <c r="F148" s="422" t="s">
        <v>2992</v>
      </c>
      <c r="G148" s="618"/>
      <c r="H148" s="527" t="s">
        <v>4983</v>
      </c>
      <c r="I148" s="55" t="s">
        <v>3845</v>
      </c>
      <c r="L148" s="422" t="s">
        <v>2989</v>
      </c>
      <c r="M148" s="618"/>
      <c r="N148" s="527" t="s">
        <v>4987</v>
      </c>
      <c r="O148" s="52" t="s">
        <v>1553</v>
      </c>
      <c r="P148" s="239" t="s">
        <v>2989</v>
      </c>
      <c r="Q148" s="619"/>
    </row>
    <row r="149" spans="1:32" ht="12" customHeight="1">
      <c r="A149" s="36"/>
      <c r="B149" s="149" t="s">
        <v>2364</v>
      </c>
      <c r="C149" s="52" t="s">
        <v>2805</v>
      </c>
      <c r="E149" s="137"/>
      <c r="F149" s="239" t="s">
        <v>2992</v>
      </c>
      <c r="G149" s="619"/>
      <c r="H149" s="527" t="s">
        <v>4984</v>
      </c>
      <c r="I149" s="52" t="s">
        <v>2801</v>
      </c>
      <c r="L149" s="239" t="s">
        <v>2989</v>
      </c>
      <c r="M149" s="619"/>
      <c r="O149" s="66"/>
    </row>
    <row r="150" spans="1:32" ht="12" customHeight="1">
      <c r="A150" s="36"/>
      <c r="B150" s="40" t="s">
        <v>2893</v>
      </c>
      <c r="C150" s="52" t="s">
        <v>2803</v>
      </c>
      <c r="E150" s="137"/>
      <c r="F150" s="137"/>
      <c r="G150" s="137"/>
      <c r="H150" s="137"/>
      <c r="I150" s="137"/>
      <c r="J150" s="137"/>
      <c r="K150" s="137"/>
      <c r="L150" s="137"/>
      <c r="M150" s="52"/>
      <c r="O150" s="66"/>
      <c r="P150" s="66"/>
    </row>
    <row r="151" spans="1:32" ht="12" customHeight="1">
      <c r="A151" s="36"/>
      <c r="C151" s="3678"/>
      <c r="D151" s="3678"/>
      <c r="E151" s="3678"/>
      <c r="F151" s="3678"/>
      <c r="G151" s="3678"/>
      <c r="H151" s="3678"/>
      <c r="I151" s="3678"/>
      <c r="J151" s="3678"/>
      <c r="K151" s="3678"/>
      <c r="L151" s="3678"/>
      <c r="M151" s="3678"/>
      <c r="N151" s="3678"/>
      <c r="O151" s="3678"/>
      <c r="P151" s="3678"/>
      <c r="Q151" s="3678"/>
    </row>
    <row r="152" spans="1:32" ht="12" customHeight="1">
      <c r="A152" s="47" t="s">
        <v>1736</v>
      </c>
      <c r="B152" s="52" t="s">
        <v>3570</v>
      </c>
      <c r="D152" s="137"/>
      <c r="E152" s="137"/>
      <c r="F152" s="137"/>
      <c r="G152" s="137"/>
      <c r="H152" s="137"/>
      <c r="I152" s="42"/>
      <c r="J152" s="42"/>
      <c r="K152" s="137"/>
      <c r="L152" s="137"/>
      <c r="M152" s="1381"/>
    </row>
    <row r="153" spans="1:32" ht="12" customHeight="1">
      <c r="A153" s="42"/>
      <c r="B153" s="149" t="s">
        <v>1737</v>
      </c>
      <c r="C153" s="52" t="s">
        <v>2806</v>
      </c>
      <c r="E153" s="137"/>
      <c r="F153" s="137"/>
      <c r="G153" s="137"/>
      <c r="H153" s="137"/>
      <c r="O153" s="66" t="s">
        <v>1737</v>
      </c>
      <c r="P153" s="238"/>
      <c r="Q153" s="617"/>
    </row>
    <row r="154" spans="1:32" ht="12" customHeight="1">
      <c r="A154" s="1385"/>
      <c r="B154" s="149" t="s">
        <v>1738</v>
      </c>
      <c r="C154" s="52" t="s">
        <v>490</v>
      </c>
      <c r="E154" s="52"/>
      <c r="F154" s="52"/>
      <c r="G154" s="52"/>
      <c r="H154" s="52"/>
      <c r="I154" s="42"/>
      <c r="J154" s="42"/>
      <c r="K154" s="52"/>
      <c r="L154" s="52"/>
      <c r="M154" s="52"/>
      <c r="O154" s="66" t="s">
        <v>1738</v>
      </c>
      <c r="P154" s="422"/>
      <c r="Q154" s="618"/>
    </row>
    <row r="155" spans="1:32" ht="12" customHeight="1">
      <c r="A155" s="1385"/>
      <c r="B155" s="149" t="s">
        <v>1739</v>
      </c>
      <c r="C155" s="52" t="s">
        <v>681</v>
      </c>
      <c r="E155" s="52"/>
      <c r="F155" s="52"/>
      <c r="G155" s="52"/>
      <c r="H155" s="52"/>
      <c r="I155" s="42"/>
      <c r="J155" s="42"/>
      <c r="K155" s="52"/>
      <c r="L155" s="52"/>
      <c r="M155" s="52"/>
      <c r="O155" s="66" t="s">
        <v>1739</v>
      </c>
      <c r="P155" s="422"/>
      <c r="Q155" s="618"/>
    </row>
    <row r="156" spans="1:32" ht="12" customHeight="1">
      <c r="A156" s="2558"/>
      <c r="B156" s="40" t="s">
        <v>2364</v>
      </c>
      <c r="C156" s="52" t="s">
        <v>4963</v>
      </c>
      <c r="E156" s="52"/>
      <c r="F156" s="52"/>
      <c r="G156" s="52"/>
      <c r="H156" s="52"/>
      <c r="I156" s="42"/>
      <c r="J156" s="42"/>
      <c r="K156" s="52"/>
      <c r="L156" s="52"/>
      <c r="M156" s="52"/>
      <c r="O156" s="527" t="s">
        <v>2364</v>
      </c>
      <c r="P156" s="239"/>
      <c r="Q156" s="619"/>
    </row>
    <row r="157" spans="1:32" ht="12" customHeight="1">
      <c r="A157" s="470" t="s">
        <v>3462</v>
      </c>
      <c r="C157" s="52"/>
      <c r="D157" s="137"/>
      <c r="E157" s="137"/>
      <c r="F157" s="137"/>
      <c r="G157" s="137"/>
      <c r="H157" s="137"/>
      <c r="I157" s="42"/>
      <c r="J157" s="42"/>
      <c r="K157" s="137"/>
      <c r="L157" s="137"/>
      <c r="M157" s="1381"/>
      <c r="N157" s="1381"/>
      <c r="O157" s="1381"/>
      <c r="P157" s="1381"/>
      <c r="Q157" s="1381"/>
      <c r="R157" s="1381"/>
    </row>
    <row r="158" spans="1:32" s="1" customFormat="1" ht="23.45" customHeight="1">
      <c r="A158" s="47" t="s">
        <v>1946</v>
      </c>
      <c r="B158" s="3650" t="s">
        <v>148</v>
      </c>
      <c r="C158" s="3650"/>
      <c r="D158" s="3650"/>
      <c r="E158" s="3650"/>
      <c r="F158" s="3650"/>
      <c r="G158" s="3650"/>
      <c r="H158" s="3650"/>
      <c r="I158" s="3650"/>
      <c r="J158" s="3650"/>
      <c r="K158" s="3650"/>
      <c r="L158" s="3650"/>
      <c r="M158" s="527" t="s">
        <v>1946</v>
      </c>
      <c r="N158" s="3651" t="s">
        <v>1771</v>
      </c>
      <c r="O158" s="3652"/>
      <c r="P158" s="3653" t="s">
        <v>1771</v>
      </c>
      <c r="Q158" s="3654"/>
      <c r="AE158" s="5"/>
      <c r="AF158" s="5"/>
    </row>
    <row r="159" spans="1:32" ht="11.25" customHeight="1">
      <c r="B159" s="144" t="s">
        <v>3753</v>
      </c>
      <c r="D159" s="144"/>
      <c r="E159" s="144"/>
      <c r="F159" s="144"/>
      <c r="G159" s="144"/>
      <c r="H159" s="40"/>
      <c r="I159" s="1385"/>
      <c r="J159" s="1385"/>
      <c r="K159" s="1385"/>
      <c r="L159" s="1378"/>
      <c r="M159" s="1378"/>
      <c r="N159" s="1378"/>
      <c r="O159" s="1378"/>
      <c r="P159" s="1378"/>
      <c r="Q159" s="1020"/>
    </row>
    <row r="160" spans="1:32" ht="23.25" customHeight="1">
      <c r="A160" s="3621" t="s">
        <v>5343</v>
      </c>
      <c r="B160" s="3622"/>
      <c r="C160" s="3622"/>
      <c r="D160" s="3622"/>
      <c r="E160" s="3622"/>
      <c r="F160" s="3622"/>
      <c r="G160" s="3622"/>
      <c r="H160" s="3622"/>
      <c r="I160" s="3622"/>
      <c r="J160" s="3622"/>
      <c r="K160" s="3622"/>
      <c r="L160" s="3622"/>
      <c r="M160" s="3622"/>
      <c r="N160" s="3622"/>
      <c r="O160" s="3622"/>
      <c r="P160" s="3622"/>
      <c r="Q160" s="3623"/>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1865</v>
      </c>
      <c r="C162" s="141"/>
      <c r="D162" s="1379"/>
      <c r="E162" s="1379"/>
      <c r="F162" s="1379"/>
      <c r="G162" s="1379"/>
      <c r="H162" s="1379"/>
      <c r="I162" s="1379"/>
      <c r="J162" s="1379"/>
      <c r="K162" s="1379"/>
      <c r="L162" s="1379"/>
      <c r="M162" s="1379"/>
      <c r="N162" s="1379"/>
      <c r="O162" s="1379"/>
      <c r="P162" s="1379"/>
      <c r="Q162" s="1379"/>
    </row>
    <row r="163" spans="1:32" ht="11.45" customHeight="1">
      <c r="A163" s="3602"/>
      <c r="B163" s="3603"/>
      <c r="C163" s="3603"/>
      <c r="D163" s="3603"/>
      <c r="E163" s="3603"/>
      <c r="F163" s="3603"/>
      <c r="G163" s="3603"/>
      <c r="H163" s="3603"/>
      <c r="I163" s="3603"/>
      <c r="J163" s="3603"/>
      <c r="K163" s="3603"/>
      <c r="L163" s="3603"/>
      <c r="M163" s="3603"/>
      <c r="N163" s="3603"/>
      <c r="O163" s="3603"/>
      <c r="P163" s="3603"/>
      <c r="Q163" s="3604"/>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2655</v>
      </c>
      <c r="C165" s="1384"/>
      <c r="D165" s="1379"/>
      <c r="E165" s="1379"/>
      <c r="F165" s="1379"/>
      <c r="G165" s="1379"/>
      <c r="H165" s="1379"/>
      <c r="I165" s="1379"/>
      <c r="J165" s="1379"/>
      <c r="K165" s="1379"/>
      <c r="O165" s="135" t="s">
        <v>1866</v>
      </c>
      <c r="P165" s="3626"/>
      <c r="Q165" s="3606"/>
    </row>
    <row r="166" spans="1:32" ht="12" customHeight="1">
      <c r="A166" s="47" t="s">
        <v>1982</v>
      </c>
      <c r="B166" s="52" t="s">
        <v>4745</v>
      </c>
      <c r="D166" s="52"/>
      <c r="E166" s="52"/>
      <c r="F166" s="52"/>
      <c r="G166" s="52"/>
      <c r="H166" s="52" t="s">
        <v>2706</v>
      </c>
      <c r="K166" s="3665">
        <v>44150</v>
      </c>
      <c r="L166" s="3666"/>
      <c r="N166" s="52"/>
      <c r="O166" s="527" t="s">
        <v>1982</v>
      </c>
      <c r="P166" s="98" t="s">
        <v>2989</v>
      </c>
      <c r="Q166" s="615"/>
    </row>
    <row r="167" spans="1:32" ht="12" customHeight="1">
      <c r="A167" s="47" t="s">
        <v>1984</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1984</v>
      </c>
      <c r="N167" s="3667" t="s">
        <v>5311</v>
      </c>
      <c r="O167" s="3668"/>
      <c r="P167" s="3669" t="s">
        <v>1771</v>
      </c>
      <c r="Q167" s="3670"/>
    </row>
    <row r="168" spans="1:32" ht="12" customHeight="1">
      <c r="A168" s="47" t="s">
        <v>749</v>
      </c>
      <c r="B168" s="143" t="s">
        <v>682</v>
      </c>
      <c r="D168" s="143"/>
      <c r="E168" s="143"/>
      <c r="F168" s="143"/>
      <c r="G168" s="143"/>
      <c r="H168" s="143"/>
      <c r="J168" s="527" t="s">
        <v>749</v>
      </c>
      <c r="K168" s="3607" t="s">
        <v>5237</v>
      </c>
      <c r="L168" s="3608"/>
      <c r="M168" s="3608"/>
      <c r="N168" s="3608"/>
      <c r="O168" s="3608"/>
      <c r="P168" s="3609"/>
      <c r="Q168" s="615"/>
    </row>
    <row r="169" spans="1:32" ht="12" customHeight="1">
      <c r="B169" s="144" t="s">
        <v>3753</v>
      </c>
      <c r="D169" s="144"/>
      <c r="E169" s="144"/>
      <c r="F169" s="144"/>
      <c r="G169" s="144"/>
      <c r="H169" s="40"/>
      <c r="I169" s="1385"/>
      <c r="J169" s="1385"/>
      <c r="K169" s="1385"/>
      <c r="L169" s="1378"/>
      <c r="M169" s="1378"/>
      <c r="N169" s="1378"/>
      <c r="O169" s="1378"/>
      <c r="P169" s="1378"/>
      <c r="Q169" s="1020"/>
    </row>
    <row r="170" spans="1:32" ht="11.45" customHeight="1">
      <c r="A170" s="3621" t="s">
        <v>5310</v>
      </c>
      <c r="B170" s="3622"/>
      <c r="C170" s="3622"/>
      <c r="D170" s="3622"/>
      <c r="E170" s="3622"/>
      <c r="F170" s="3622"/>
      <c r="G170" s="3622"/>
      <c r="H170" s="3622"/>
      <c r="I170" s="3622"/>
      <c r="J170" s="3622"/>
      <c r="K170" s="3622"/>
      <c r="L170" s="3622"/>
      <c r="M170" s="3622"/>
      <c r="N170" s="3622"/>
      <c r="O170" s="3622"/>
      <c r="P170" s="3622"/>
      <c r="Q170" s="3623"/>
      <c r="U170" s="139"/>
      <c r="V170" s="139"/>
      <c r="W170" s="139"/>
      <c r="X170" s="139"/>
      <c r="Y170" s="139"/>
      <c r="Z170" s="139"/>
      <c r="AA170" s="139"/>
      <c r="AB170" s="139"/>
      <c r="AC170" s="139"/>
      <c r="AD170" s="139"/>
      <c r="AE170" s="529"/>
    </row>
    <row r="171" spans="1:32" ht="12" customHeight="1">
      <c r="B171" s="140" t="s">
        <v>1865</v>
      </c>
      <c r="C171" s="141"/>
      <c r="D171" s="1379"/>
      <c r="E171" s="1379"/>
      <c r="F171" s="1379"/>
      <c r="G171" s="1379"/>
      <c r="H171" s="1379"/>
      <c r="I171" s="1379"/>
      <c r="J171" s="1379"/>
      <c r="K171" s="1379"/>
      <c r="L171" s="1379"/>
      <c r="M171" s="1379"/>
      <c r="N171" s="1379"/>
      <c r="O171" s="1379"/>
      <c r="P171" s="1379"/>
      <c r="Q171" s="1379"/>
    </row>
    <row r="172" spans="1:32" ht="11.45" customHeight="1">
      <c r="A172" s="3602"/>
      <c r="B172" s="3603"/>
      <c r="C172" s="3603"/>
      <c r="D172" s="3603"/>
      <c r="E172" s="3603"/>
      <c r="F172" s="3603"/>
      <c r="G172" s="3603"/>
      <c r="H172" s="3603"/>
      <c r="I172" s="3603"/>
      <c r="J172" s="3603"/>
      <c r="K172" s="3603"/>
      <c r="L172" s="3603"/>
      <c r="M172" s="3603"/>
      <c r="N172" s="3603"/>
      <c r="O172" s="3603"/>
      <c r="P172" s="3603"/>
      <c r="Q172" s="3604"/>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2656</v>
      </c>
      <c r="C174" s="1384"/>
      <c r="D174" s="1379"/>
      <c r="E174" s="1379"/>
      <c r="F174" s="1379"/>
      <c r="G174" s="1379"/>
      <c r="H174" s="1379"/>
      <c r="I174" s="1379"/>
      <c r="J174" s="1379"/>
      <c r="K174" s="1379"/>
      <c r="L174" s="1379"/>
      <c r="M174" s="1379"/>
      <c r="O174" s="135" t="s">
        <v>1866</v>
      </c>
      <c r="P174" s="3626"/>
      <c r="Q174" s="3606"/>
    </row>
    <row r="175" spans="1:32" ht="21.75" customHeight="1">
      <c r="A175" s="145" t="s">
        <v>1982</v>
      </c>
      <c r="B175" s="3650" t="s">
        <v>3742</v>
      </c>
      <c r="C175" s="3650"/>
      <c r="D175" s="3650"/>
      <c r="E175" s="3650"/>
      <c r="F175" s="3650"/>
      <c r="G175" s="3650"/>
      <c r="H175" s="3650"/>
      <c r="I175" s="3650"/>
      <c r="J175" s="3650"/>
      <c r="K175" s="3650"/>
      <c r="L175" s="3650"/>
      <c r="M175" s="3650"/>
      <c r="N175" s="3650"/>
      <c r="O175" s="166" t="s">
        <v>1982</v>
      </c>
      <c r="P175" s="1422" t="s">
        <v>2989</v>
      </c>
      <c r="Q175" s="1421"/>
    </row>
    <row r="176" spans="1:32" ht="22.35" customHeight="1">
      <c r="A176" s="145" t="s">
        <v>1984</v>
      </c>
      <c r="B176" s="3650" t="s">
        <v>4761</v>
      </c>
      <c r="C176" s="3650"/>
      <c r="D176" s="3650"/>
      <c r="E176" s="3650"/>
      <c r="F176" s="3650"/>
      <c r="G176" s="3650"/>
      <c r="H176" s="3650"/>
      <c r="I176" s="3650"/>
      <c r="J176" s="3650"/>
      <c r="K176" s="3650"/>
      <c r="L176" s="3650"/>
      <c r="M176" s="3650"/>
      <c r="N176" s="3650"/>
      <c r="O176" s="166" t="s">
        <v>1984</v>
      </c>
      <c r="P176" s="633" t="s">
        <v>5312</v>
      </c>
      <c r="Q176" s="620"/>
    </row>
    <row r="177" spans="1:32" ht="22.35" customHeight="1">
      <c r="A177" s="145" t="s">
        <v>749</v>
      </c>
      <c r="B177" s="3650" t="s">
        <v>3743</v>
      </c>
      <c r="C177" s="3650"/>
      <c r="D177" s="3650"/>
      <c r="E177" s="3650"/>
      <c r="F177" s="3650"/>
      <c r="G177" s="3650"/>
      <c r="H177" s="3650"/>
      <c r="I177" s="3650"/>
      <c r="J177" s="3650"/>
      <c r="K177" s="3650"/>
      <c r="L177" s="3650"/>
      <c r="M177" s="3650"/>
      <c r="N177" s="3650"/>
      <c r="O177" s="166" t="s">
        <v>749</v>
      </c>
      <c r="P177" s="633" t="s">
        <v>5312</v>
      </c>
      <c r="Q177" s="620"/>
    </row>
    <row r="178" spans="1:32" ht="21.75" customHeight="1">
      <c r="A178" s="145" t="s">
        <v>2114</v>
      </c>
      <c r="B178" s="3650" t="s">
        <v>4907</v>
      </c>
      <c r="C178" s="3650"/>
      <c r="D178" s="3650"/>
      <c r="E178" s="3650"/>
      <c r="F178" s="3650"/>
      <c r="G178" s="3650"/>
      <c r="H178" s="3650"/>
      <c r="I178" s="3650"/>
      <c r="J178" s="3650"/>
      <c r="K178" s="3650"/>
      <c r="L178" s="3650"/>
      <c r="M178" s="3650"/>
      <c r="N178" s="3650"/>
      <c r="O178" s="166" t="s">
        <v>2114</v>
      </c>
      <c r="P178" s="1426" t="s">
        <v>5312</v>
      </c>
      <c r="Q178" s="1423"/>
    </row>
    <row r="179" spans="1:32" ht="12" customHeight="1">
      <c r="B179" s="144" t="s">
        <v>3753</v>
      </c>
      <c r="D179" s="144"/>
      <c r="E179" s="144"/>
      <c r="F179" s="144"/>
      <c r="G179" s="144"/>
      <c r="H179" s="40"/>
      <c r="I179" s="1385"/>
      <c r="J179" s="1385"/>
      <c r="K179" s="1385"/>
      <c r="L179" s="1378"/>
      <c r="M179" s="1378"/>
      <c r="N179" s="1378"/>
      <c r="O179" s="1378"/>
      <c r="P179" s="1378"/>
      <c r="Q179" s="1020"/>
    </row>
    <row r="180" spans="1:32" ht="11.45" customHeight="1">
      <c r="A180" s="3621" t="s">
        <v>5313</v>
      </c>
      <c r="B180" s="3622"/>
      <c r="C180" s="3622"/>
      <c r="D180" s="3622"/>
      <c r="E180" s="3622"/>
      <c r="F180" s="3622"/>
      <c r="G180" s="3622"/>
      <c r="H180" s="3622"/>
      <c r="I180" s="3622"/>
      <c r="J180" s="3622"/>
      <c r="K180" s="3622"/>
      <c r="L180" s="3622"/>
      <c r="M180" s="3622"/>
      <c r="N180" s="3622"/>
      <c r="O180" s="3622"/>
      <c r="P180" s="3622"/>
      <c r="Q180" s="3623"/>
      <c r="U180" s="139"/>
      <c r="V180" s="139"/>
      <c r="W180" s="139"/>
      <c r="X180" s="139"/>
      <c r="Y180" s="139"/>
      <c r="Z180" s="139"/>
      <c r="AA180" s="139"/>
      <c r="AB180" s="139"/>
      <c r="AC180" s="139"/>
      <c r="AD180" s="139"/>
      <c r="AE180" s="529"/>
    </row>
    <row r="181" spans="1:32" ht="12" customHeight="1">
      <c r="B181" s="140" t="s">
        <v>1865</v>
      </c>
      <c r="C181" s="141"/>
      <c r="D181" s="1379"/>
      <c r="E181" s="1379"/>
      <c r="F181" s="1379"/>
      <c r="G181" s="1379"/>
      <c r="H181" s="1379"/>
      <c r="I181" s="1379"/>
      <c r="J181" s="1379"/>
      <c r="K181" s="1379"/>
      <c r="L181" s="1379"/>
      <c r="M181" s="1379"/>
      <c r="N181" s="1379"/>
      <c r="O181" s="1379"/>
      <c r="P181" s="1379"/>
      <c r="Q181" s="1379"/>
    </row>
    <row r="182" spans="1:32" ht="11.45" customHeight="1">
      <c r="A182" s="3602"/>
      <c r="B182" s="3603"/>
      <c r="C182" s="3603"/>
      <c r="D182" s="3603"/>
      <c r="E182" s="3603"/>
      <c r="F182" s="3603"/>
      <c r="G182" s="3603"/>
      <c r="H182" s="3603"/>
      <c r="I182" s="3603"/>
      <c r="J182" s="3603"/>
      <c r="K182" s="3603"/>
      <c r="L182" s="3603"/>
      <c r="M182" s="3603"/>
      <c r="N182" s="3603"/>
      <c r="O182" s="3603"/>
      <c r="P182" s="3603"/>
      <c r="Q182" s="3604"/>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499" t="s">
        <v>2657</v>
      </c>
      <c r="C184" s="3499"/>
      <c r="D184" s="3499"/>
      <c r="O184" s="135" t="s">
        <v>1866</v>
      </c>
      <c r="P184" s="3626"/>
      <c r="Q184" s="3606"/>
    </row>
    <row r="185" spans="1:32" ht="12" customHeight="1">
      <c r="A185" s="145" t="s">
        <v>1982</v>
      </c>
      <c r="B185" s="1002" t="s">
        <v>468</v>
      </c>
      <c r="D185" s="1002"/>
      <c r="E185" s="1002"/>
      <c r="F185" s="1002"/>
      <c r="G185" s="1002"/>
      <c r="H185" s="1002"/>
      <c r="I185" s="1002"/>
      <c r="J185" s="1002"/>
      <c r="K185" s="1002"/>
      <c r="L185" s="1002"/>
      <c r="M185" s="1002"/>
      <c r="O185" s="166" t="s">
        <v>1982</v>
      </c>
      <c r="P185" s="238" t="s">
        <v>2989</v>
      </c>
      <c r="Q185" s="617"/>
    </row>
    <row r="186" spans="1:32" ht="12" customHeight="1">
      <c r="A186" s="145" t="s">
        <v>1984</v>
      </c>
      <c r="B186" s="1002" t="s">
        <v>2642</v>
      </c>
      <c r="D186" s="1002"/>
      <c r="E186" s="1002"/>
      <c r="F186" s="1002"/>
      <c r="G186" s="1002"/>
      <c r="H186" s="1002"/>
      <c r="I186" s="1002"/>
      <c r="J186" s="1002"/>
      <c r="K186" s="1002"/>
      <c r="L186" s="1002"/>
      <c r="M186" s="1002"/>
      <c r="O186" s="166" t="s">
        <v>1984</v>
      </c>
      <c r="P186" s="422" t="s">
        <v>2989</v>
      </c>
      <c r="Q186" s="618"/>
    </row>
    <row r="187" spans="1:32" ht="12" customHeight="1">
      <c r="A187" s="145" t="s">
        <v>749</v>
      </c>
      <c r="B187" s="1002" t="s">
        <v>2643</v>
      </c>
      <c r="D187" s="1002"/>
      <c r="E187" s="1002"/>
      <c r="F187" s="1002"/>
      <c r="G187" s="1002"/>
      <c r="H187" s="1002"/>
      <c r="I187" s="1002"/>
      <c r="J187" s="143" t="s">
        <v>4924</v>
      </c>
      <c r="L187" s="1002"/>
      <c r="M187" s="1002"/>
      <c r="O187" s="166" t="s">
        <v>749</v>
      </c>
      <c r="P187" s="422" t="s">
        <v>2989</v>
      </c>
      <c r="Q187" s="618"/>
    </row>
    <row r="188" spans="1:32" ht="12" customHeight="1">
      <c r="B188" s="40" t="s">
        <v>1737</v>
      </c>
      <c r="C188" s="1021" t="s">
        <v>2644</v>
      </c>
      <c r="G188" s="1002"/>
      <c r="H188" s="1002"/>
      <c r="J188" s="1002"/>
      <c r="K188" s="1002"/>
      <c r="L188" s="1002"/>
      <c r="M188" s="1002"/>
      <c r="O188" s="507" t="s">
        <v>1737</v>
      </c>
      <c r="P188" s="422" t="s">
        <v>2989</v>
      </c>
      <c r="Q188" s="618"/>
    </row>
    <row r="189" spans="1:32" ht="12" customHeight="1">
      <c r="A189" s="143"/>
      <c r="B189" s="40" t="s">
        <v>1738</v>
      </c>
      <c r="C189" s="1021" t="s">
        <v>2645</v>
      </c>
      <c r="G189" s="1002"/>
      <c r="H189" s="1002"/>
      <c r="I189" s="1002"/>
      <c r="J189" s="1002"/>
      <c r="K189" s="1002"/>
      <c r="L189" s="1002"/>
      <c r="M189" s="1002"/>
      <c r="O189" s="507" t="s">
        <v>1738</v>
      </c>
      <c r="P189" s="422" t="s">
        <v>2989</v>
      </c>
      <c r="Q189" s="618"/>
    </row>
    <row r="190" spans="1:32" s="136" customFormat="1" ht="21.75" customHeight="1">
      <c r="A190" s="145"/>
      <c r="B190" s="541" t="s">
        <v>1739</v>
      </c>
      <c r="C190" s="3650" t="s">
        <v>3744</v>
      </c>
      <c r="D190" s="3650"/>
      <c r="E190" s="3650"/>
      <c r="F190" s="3650"/>
      <c r="G190" s="3650"/>
      <c r="H190" s="3650"/>
      <c r="I190" s="3650"/>
      <c r="J190" s="3650"/>
      <c r="K190" s="3650"/>
      <c r="L190" s="3650"/>
      <c r="M190" s="3650"/>
      <c r="N190" s="3650"/>
      <c r="O190" s="166" t="s">
        <v>1739</v>
      </c>
      <c r="P190" s="633" t="s">
        <v>2989</v>
      </c>
      <c r="Q190" s="620"/>
      <c r="AE190" s="530"/>
      <c r="AF190" s="530"/>
    </row>
    <row r="191" spans="1:32" ht="12" customHeight="1">
      <c r="A191" s="145"/>
      <c r="B191" s="40" t="s">
        <v>2364</v>
      </c>
      <c r="C191" s="1021" t="s">
        <v>2646</v>
      </c>
      <c r="G191" s="1002"/>
      <c r="H191" s="1002"/>
      <c r="I191" s="1002"/>
      <c r="J191" s="1002"/>
      <c r="K191" s="1002"/>
      <c r="L191" s="1002"/>
      <c r="M191" s="1002"/>
      <c r="O191" s="507" t="s">
        <v>2364</v>
      </c>
      <c r="P191" s="422" t="s">
        <v>2989</v>
      </c>
      <c r="Q191" s="618"/>
    </row>
    <row r="192" spans="1:32" s="136" customFormat="1" ht="21.75" customHeight="1">
      <c r="A192" s="145"/>
      <c r="B192" s="541" t="s">
        <v>1549</v>
      </c>
      <c r="C192" s="3650" t="s">
        <v>2647</v>
      </c>
      <c r="D192" s="3650"/>
      <c r="E192" s="3650"/>
      <c r="F192" s="3650"/>
      <c r="G192" s="3650"/>
      <c r="H192" s="3650"/>
      <c r="I192" s="3650"/>
      <c r="J192" s="3650"/>
      <c r="K192" s="3650"/>
      <c r="L192" s="3650"/>
      <c r="M192" s="3650"/>
      <c r="N192" s="3650"/>
      <c r="O192" s="166" t="s">
        <v>1549</v>
      </c>
      <c r="P192" s="633" t="s">
        <v>5312</v>
      </c>
      <c r="Q192" s="620"/>
      <c r="AE192" s="530"/>
      <c r="AF192" s="530"/>
    </row>
    <row r="193" spans="1:32" s="136" customFormat="1" ht="21.75" customHeight="1">
      <c r="A193" s="145"/>
      <c r="B193" s="541" t="s">
        <v>1550</v>
      </c>
      <c r="C193" s="3650" t="s">
        <v>3896</v>
      </c>
      <c r="D193" s="3650"/>
      <c r="E193" s="3650"/>
      <c r="F193" s="3650"/>
      <c r="G193" s="3650"/>
      <c r="H193" s="3650"/>
      <c r="I193" s="3650"/>
      <c r="J193" s="3650"/>
      <c r="K193" s="3650"/>
      <c r="L193" s="3650"/>
      <c r="M193" s="3650"/>
      <c r="N193" s="3650"/>
      <c r="O193" s="166" t="s">
        <v>1550</v>
      </c>
      <c r="P193" s="633" t="s">
        <v>5312</v>
      </c>
      <c r="Q193" s="620"/>
      <c r="AE193" s="530"/>
      <c r="AF193" s="530"/>
    </row>
    <row r="194" spans="1:32" ht="21.75" customHeight="1">
      <c r="A194" s="145" t="s">
        <v>2114</v>
      </c>
      <c r="B194" s="3650" t="s">
        <v>2648</v>
      </c>
      <c r="C194" s="3650"/>
      <c r="D194" s="3650"/>
      <c r="E194" s="3650"/>
      <c r="F194" s="3650"/>
      <c r="G194" s="3650"/>
      <c r="H194" s="3650"/>
      <c r="I194" s="3650"/>
      <c r="J194" s="3650"/>
      <c r="K194" s="3650"/>
      <c r="L194" s="3650"/>
      <c r="M194" s="3650"/>
      <c r="N194" s="3650"/>
      <c r="O194" s="166" t="s">
        <v>2114</v>
      </c>
      <c r="P194" s="633" t="s">
        <v>2989</v>
      </c>
      <c r="Q194" s="620"/>
    </row>
    <row r="195" spans="1:32" ht="12" customHeight="1">
      <c r="A195" s="145" t="s">
        <v>1735</v>
      </c>
      <c r="B195" s="1002" t="s">
        <v>2378</v>
      </c>
      <c r="D195" s="1002"/>
      <c r="E195" s="1002"/>
      <c r="F195" s="1002"/>
      <c r="G195" s="1002"/>
      <c r="H195" s="1002"/>
      <c r="I195" s="1002"/>
      <c r="J195" s="1002"/>
      <c r="K195" s="1002"/>
      <c r="L195" s="1002"/>
      <c r="M195" s="1002"/>
      <c r="O195" s="166" t="s">
        <v>1735</v>
      </c>
      <c r="P195" s="239" t="s">
        <v>2989</v>
      </c>
      <c r="Q195" s="619"/>
    </row>
    <row r="196" spans="1:32" ht="12" customHeight="1">
      <c r="B196" s="144" t="s">
        <v>3753</v>
      </c>
      <c r="D196" s="144"/>
      <c r="E196" s="144"/>
      <c r="F196" s="144"/>
      <c r="G196" s="144"/>
      <c r="H196" s="40"/>
      <c r="I196" s="1385"/>
      <c r="J196" s="1385"/>
      <c r="K196" s="1385"/>
      <c r="L196" s="1378"/>
      <c r="M196" s="1378"/>
      <c r="N196" s="1378"/>
      <c r="O196" s="1378"/>
      <c r="P196" s="1378"/>
      <c r="Q196" s="1020"/>
    </row>
    <row r="197" spans="1:32" ht="11.45" customHeight="1">
      <c r="A197" s="3621" t="s">
        <v>5314</v>
      </c>
      <c r="B197" s="3622"/>
      <c r="C197" s="3622"/>
      <c r="D197" s="3622"/>
      <c r="E197" s="3622"/>
      <c r="F197" s="3622"/>
      <c r="G197" s="3622"/>
      <c r="H197" s="3622"/>
      <c r="I197" s="3622"/>
      <c r="J197" s="3622"/>
      <c r="K197" s="3622"/>
      <c r="L197" s="3622"/>
      <c r="M197" s="3622"/>
      <c r="N197" s="3622"/>
      <c r="O197" s="3622"/>
      <c r="P197" s="3622"/>
      <c r="Q197" s="3623"/>
      <c r="U197" s="139"/>
      <c r="V197" s="139"/>
      <c r="W197" s="139"/>
      <c r="X197" s="139"/>
      <c r="Y197" s="139"/>
      <c r="Z197" s="139"/>
      <c r="AA197" s="139"/>
      <c r="AB197" s="139"/>
      <c r="AC197" s="139"/>
      <c r="AD197" s="139"/>
      <c r="AE197" s="529"/>
    </row>
    <row r="198" spans="1:32" ht="12" customHeight="1">
      <c r="B198" s="140" t="s">
        <v>1865</v>
      </c>
      <c r="C198" s="141"/>
      <c r="D198" s="1379"/>
      <c r="E198" s="1379"/>
      <c r="F198" s="1379"/>
      <c r="G198" s="1379"/>
      <c r="H198" s="1379"/>
      <c r="I198" s="1379"/>
      <c r="J198" s="1379"/>
      <c r="K198" s="1379"/>
      <c r="L198" s="1379"/>
      <c r="M198" s="1379"/>
      <c r="N198" s="1379"/>
      <c r="O198" s="1379"/>
      <c r="P198" s="1379"/>
      <c r="Q198" s="1379"/>
    </row>
    <row r="199" spans="1:32" ht="11.45" customHeight="1">
      <c r="A199" s="3602"/>
      <c r="B199" s="3603"/>
      <c r="C199" s="3603"/>
      <c r="D199" s="3603"/>
      <c r="E199" s="3603"/>
      <c r="F199" s="3603"/>
      <c r="G199" s="3603"/>
      <c r="H199" s="3603"/>
      <c r="I199" s="3603"/>
      <c r="J199" s="3603"/>
      <c r="K199" s="3603"/>
      <c r="L199" s="3603"/>
      <c r="M199" s="3603"/>
      <c r="N199" s="3603"/>
      <c r="O199" s="3603"/>
      <c r="P199" s="3603"/>
      <c r="Q199" s="3604"/>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2658</v>
      </c>
      <c r="C201" s="1384"/>
      <c r="D201" s="1379"/>
      <c r="E201" s="150"/>
      <c r="F201" s="150"/>
      <c r="G201" s="1379"/>
      <c r="J201" s="1022"/>
      <c r="K201" s="1022"/>
      <c r="L201" s="1022"/>
      <c r="M201" s="1022"/>
      <c r="N201" s="1022"/>
      <c r="O201" s="135" t="s">
        <v>1866</v>
      </c>
      <c r="P201" s="3626"/>
      <c r="Q201" s="3606"/>
    </row>
    <row r="202" spans="1:32" ht="22.5" customHeight="1">
      <c r="A202" s="3664" t="s">
        <v>5077</v>
      </c>
      <c r="B202" s="3664"/>
      <c r="C202" s="3664"/>
      <c r="D202" s="3664"/>
      <c r="E202" s="3664"/>
      <c r="F202" s="3664"/>
      <c r="G202" s="3664"/>
      <c r="H202" s="3664"/>
      <c r="I202" s="3664"/>
      <c r="J202" s="3664"/>
      <c r="K202" s="3664"/>
      <c r="L202" s="3664"/>
      <c r="M202" s="3664"/>
      <c r="N202" s="3664"/>
      <c r="O202" s="3664"/>
      <c r="P202" s="3664"/>
      <c r="Q202" s="3664"/>
    </row>
    <row r="203" spans="1:32" ht="11.25" customHeight="1">
      <c r="A203" s="142"/>
      <c r="B203" s="143" t="s">
        <v>97</v>
      </c>
      <c r="D203" s="143"/>
      <c r="E203" s="143"/>
      <c r="F203" s="143"/>
      <c r="G203" s="143"/>
      <c r="H203" s="66" t="s">
        <v>1737</v>
      </c>
      <c r="I203" s="52" t="s">
        <v>152</v>
      </c>
      <c r="J203" s="3661" t="s">
        <v>970</v>
      </c>
      <c r="K203" s="3662"/>
      <c r="L203" s="3662"/>
      <c r="M203" s="3662"/>
      <c r="N203" s="3663"/>
      <c r="O203" s="66" t="s">
        <v>1737</v>
      </c>
      <c r="P203" s="238" t="s">
        <v>2992</v>
      </c>
      <c r="Q203" s="617"/>
    </row>
    <row r="204" spans="1:32" ht="11.25" customHeight="1">
      <c r="A204" s="142"/>
      <c r="B204" s="144" t="s">
        <v>3753</v>
      </c>
      <c r="C204" s="107"/>
      <c r="D204" s="107"/>
      <c r="E204" s="107"/>
      <c r="F204" s="107"/>
      <c r="H204" s="66" t="s">
        <v>1738</v>
      </c>
      <c r="I204" s="52" t="s">
        <v>1596</v>
      </c>
      <c r="J204" s="3658" t="s">
        <v>5315</v>
      </c>
      <c r="K204" s="3659"/>
      <c r="L204" s="3659"/>
      <c r="M204" s="3659"/>
      <c r="N204" s="3660"/>
      <c r="O204" s="66" t="s">
        <v>1738</v>
      </c>
      <c r="P204" s="239" t="s">
        <v>2989</v>
      </c>
      <c r="Q204" s="619"/>
    </row>
    <row r="205" spans="1:32" ht="11.45" customHeight="1">
      <c r="A205" s="3621"/>
      <c r="B205" s="3622"/>
      <c r="C205" s="3622"/>
      <c r="D205" s="3622"/>
      <c r="E205" s="3622"/>
      <c r="F205" s="3622"/>
      <c r="G205" s="3622"/>
      <c r="H205" s="3622"/>
      <c r="I205" s="3622"/>
      <c r="J205" s="3622"/>
      <c r="K205" s="3622"/>
      <c r="L205" s="3622"/>
      <c r="M205" s="3622"/>
      <c r="N205" s="3622"/>
      <c r="O205" s="3622"/>
      <c r="P205" s="3622"/>
      <c r="Q205" s="3623"/>
      <c r="U205" s="139"/>
      <c r="V205" s="139"/>
      <c r="W205" s="139"/>
      <c r="X205" s="139"/>
      <c r="Y205" s="139"/>
      <c r="Z205" s="139"/>
      <c r="AA205" s="139"/>
      <c r="AB205" s="139"/>
      <c r="AC205" s="139"/>
      <c r="AD205" s="139"/>
      <c r="AE205" s="529"/>
    </row>
    <row r="206" spans="1:32" ht="11.25" customHeight="1">
      <c r="B206" s="140" t="s">
        <v>1865</v>
      </c>
      <c r="C206" s="141"/>
      <c r="D206" s="1379"/>
      <c r="E206" s="1379"/>
      <c r="F206" s="1379"/>
      <c r="G206" s="1379"/>
      <c r="H206" s="1379"/>
      <c r="I206" s="1379"/>
      <c r="J206" s="1379"/>
      <c r="K206" s="1379"/>
      <c r="L206" s="1379"/>
      <c r="M206" s="1379"/>
      <c r="N206" s="1379"/>
      <c r="O206" s="1379"/>
      <c r="P206" s="1379"/>
      <c r="Q206" s="1379"/>
    </row>
    <row r="207" spans="1:32" ht="11.45" customHeight="1">
      <c r="A207" s="3602"/>
      <c r="B207" s="3603"/>
      <c r="C207" s="3603"/>
      <c r="D207" s="3603"/>
      <c r="E207" s="3603"/>
      <c r="F207" s="3603"/>
      <c r="G207" s="3603"/>
      <c r="H207" s="3603"/>
      <c r="I207" s="3603"/>
      <c r="J207" s="3603"/>
      <c r="K207" s="3603"/>
      <c r="L207" s="3603"/>
      <c r="M207" s="3603"/>
      <c r="N207" s="3603"/>
      <c r="O207" s="3603"/>
      <c r="P207" s="3603"/>
      <c r="Q207" s="3604"/>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2659</v>
      </c>
      <c r="C209" s="4"/>
      <c r="D209" s="88"/>
      <c r="E209" s="88"/>
      <c r="F209" s="88"/>
      <c r="G209" s="1379"/>
      <c r="H209" s="1379"/>
      <c r="I209" s="1379"/>
      <c r="J209" s="1379"/>
      <c r="K209" s="1379"/>
      <c r="L209" s="1379"/>
      <c r="M209" s="1379"/>
      <c r="O209" s="135" t="s">
        <v>1866</v>
      </c>
      <c r="P209" s="3626"/>
      <c r="Q209" s="3606"/>
    </row>
    <row r="210" spans="1:32" ht="11.45" customHeight="1">
      <c r="A210" s="145" t="s">
        <v>1982</v>
      </c>
      <c r="B210" s="3650" t="s">
        <v>1848</v>
      </c>
      <c r="C210" s="3650"/>
      <c r="D210" s="3650"/>
      <c r="E210" s="3650"/>
      <c r="F210" s="3650"/>
      <c r="G210" s="3650"/>
      <c r="H210" s="66" t="s">
        <v>1737</v>
      </c>
      <c r="I210" s="52" t="s">
        <v>635</v>
      </c>
      <c r="J210" s="3661" t="s">
        <v>3661</v>
      </c>
      <c r="K210" s="3662"/>
      <c r="L210" s="3662"/>
      <c r="M210" s="3662"/>
      <c r="N210" s="3663"/>
      <c r="O210" s="166" t="s">
        <v>1486</v>
      </c>
      <c r="P210" s="2707" t="s">
        <v>2989</v>
      </c>
      <c r="Q210" s="2708"/>
    </row>
    <row r="211" spans="1:32" ht="11.45" customHeight="1">
      <c r="A211" s="154"/>
      <c r="B211" s="3650"/>
      <c r="C211" s="3650"/>
      <c r="D211" s="3650"/>
      <c r="E211" s="3650"/>
      <c r="F211" s="3650"/>
      <c r="G211" s="3650"/>
      <c r="H211" s="66" t="s">
        <v>1738</v>
      </c>
      <c r="I211" s="52" t="s">
        <v>116</v>
      </c>
      <c r="J211" s="3658" t="s">
        <v>3661</v>
      </c>
      <c r="K211" s="3659"/>
      <c r="L211" s="3659"/>
      <c r="M211" s="3659"/>
      <c r="N211" s="3660"/>
      <c r="O211" s="166" t="s">
        <v>1738</v>
      </c>
      <c r="P211" s="422" t="s">
        <v>2989</v>
      </c>
      <c r="Q211" s="618"/>
    </row>
    <row r="212" spans="1:32" ht="12" customHeight="1">
      <c r="A212" s="145" t="s">
        <v>1984</v>
      </c>
      <c r="B212" s="52" t="s">
        <v>3902</v>
      </c>
      <c r="D212" s="52"/>
      <c r="E212" s="52"/>
      <c r="F212" s="52"/>
      <c r="G212" s="52"/>
      <c r="H212" s="52"/>
      <c r="I212" s="52"/>
      <c r="J212" s="52"/>
      <c r="K212" s="42"/>
      <c r="L212" s="52"/>
      <c r="M212" s="52"/>
      <c r="O212" s="527" t="s">
        <v>1984</v>
      </c>
      <c r="P212" s="422"/>
      <c r="Q212" s="618"/>
    </row>
    <row r="213" spans="1:32" ht="12" customHeight="1">
      <c r="A213" s="47" t="s">
        <v>749</v>
      </c>
      <c r="B213" s="52" t="s">
        <v>3903</v>
      </c>
      <c r="D213" s="52"/>
      <c r="E213" s="52"/>
      <c r="F213" s="52"/>
      <c r="G213" s="52"/>
      <c r="H213" s="52"/>
      <c r="I213" s="52"/>
      <c r="J213" s="52"/>
      <c r="K213" s="42"/>
      <c r="L213" s="52"/>
      <c r="M213" s="52"/>
      <c r="O213" s="527" t="s">
        <v>749</v>
      </c>
      <c r="P213" s="239"/>
      <c r="Q213" s="619"/>
    </row>
    <row r="214" spans="1:32" ht="11.25" customHeight="1">
      <c r="B214" s="144" t="s">
        <v>3753</v>
      </c>
      <c r="D214" s="144"/>
      <c r="E214" s="144"/>
      <c r="F214" s="144"/>
      <c r="G214" s="144"/>
      <c r="H214" s="40"/>
      <c r="I214" s="1385"/>
      <c r="J214" s="1385"/>
      <c r="K214" s="1385"/>
      <c r="L214" s="1378"/>
      <c r="M214" s="1378"/>
      <c r="N214" s="1378"/>
      <c r="O214" s="1378"/>
      <c r="P214" s="1378"/>
      <c r="Q214" s="1020"/>
    </row>
    <row r="215" spans="1:32" ht="11.45" customHeight="1">
      <c r="A215" s="3621" t="s">
        <v>5316</v>
      </c>
      <c r="B215" s="3622"/>
      <c r="C215" s="3622"/>
      <c r="D215" s="3622"/>
      <c r="E215" s="3622"/>
      <c r="F215" s="3622"/>
      <c r="G215" s="3622"/>
      <c r="H215" s="3622"/>
      <c r="I215" s="3622"/>
      <c r="J215" s="3622"/>
      <c r="K215" s="3622"/>
      <c r="L215" s="3622"/>
      <c r="M215" s="3622"/>
      <c r="N215" s="3622"/>
      <c r="O215" s="3622"/>
      <c r="P215" s="3622"/>
      <c r="Q215" s="3623"/>
      <c r="U215" s="139"/>
      <c r="V215" s="139"/>
      <c r="W215" s="139"/>
      <c r="X215" s="139"/>
      <c r="Y215" s="139"/>
      <c r="Z215" s="139"/>
      <c r="AA215" s="139"/>
      <c r="AB215" s="139"/>
      <c r="AC215" s="139"/>
      <c r="AD215" s="139"/>
      <c r="AE215" s="529"/>
    </row>
    <row r="216" spans="1:32" ht="11.25" customHeight="1">
      <c r="B216" s="140" t="s">
        <v>1865</v>
      </c>
      <c r="C216" s="141"/>
      <c r="D216" s="1379"/>
      <c r="E216" s="1379"/>
      <c r="F216" s="1379"/>
      <c r="G216" s="1379"/>
      <c r="H216" s="1379"/>
      <c r="I216" s="1379"/>
      <c r="J216" s="1379"/>
      <c r="K216" s="1379"/>
      <c r="L216" s="1379"/>
      <c r="M216" s="1379"/>
      <c r="N216" s="1379"/>
      <c r="O216" s="1379"/>
      <c r="P216" s="1379"/>
      <c r="Q216" s="1379"/>
    </row>
    <row r="217" spans="1:32" ht="11.45" customHeight="1">
      <c r="A217" s="3602"/>
      <c r="B217" s="3603"/>
      <c r="C217" s="3603"/>
      <c r="D217" s="3603"/>
      <c r="E217" s="3603"/>
      <c r="F217" s="3603"/>
      <c r="G217" s="3603"/>
      <c r="H217" s="3603"/>
      <c r="I217" s="3603"/>
      <c r="J217" s="3603"/>
      <c r="K217" s="3603"/>
      <c r="L217" s="3603"/>
      <c r="M217" s="3603"/>
      <c r="N217" s="3603"/>
      <c r="O217" s="3603"/>
      <c r="P217" s="3603"/>
      <c r="Q217" s="3604"/>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2660</v>
      </c>
      <c r="C219" s="117"/>
      <c r="D219" s="1379"/>
      <c r="E219" s="1379"/>
      <c r="F219" s="1379"/>
      <c r="G219" s="1379"/>
      <c r="H219" s="1379"/>
      <c r="I219" s="1379"/>
      <c r="J219" s="1379"/>
      <c r="K219" s="1379"/>
      <c r="L219" s="1379"/>
      <c r="M219" s="1379"/>
      <c r="O219" s="135" t="s">
        <v>1866</v>
      </c>
      <c r="P219" s="3626"/>
      <c r="Q219" s="3606"/>
    </row>
    <row r="220" spans="1:32" s="27" customFormat="1" ht="11.45" customHeight="1">
      <c r="B220" s="148" t="s">
        <v>1192</v>
      </c>
      <c r="N220" s="124"/>
      <c r="P220" s="98" t="s">
        <v>2992</v>
      </c>
      <c r="Q220" s="615"/>
      <c r="AE220" s="120"/>
      <c r="AF220" s="120"/>
    </row>
    <row r="221" spans="1:32" ht="12" customHeight="1">
      <c r="A221" s="47" t="s">
        <v>1982</v>
      </c>
      <c r="B221" s="36" t="s">
        <v>3703</v>
      </c>
      <c r="D221" s="42"/>
      <c r="E221" s="42"/>
      <c r="F221" s="42"/>
      <c r="G221" s="42"/>
      <c r="H221" s="42"/>
      <c r="I221" s="42"/>
      <c r="J221" s="42"/>
      <c r="K221" s="42"/>
      <c r="L221" s="42"/>
      <c r="M221" s="42"/>
      <c r="O221" s="527" t="s">
        <v>1982</v>
      </c>
      <c r="P221" s="98" t="s">
        <v>5309</v>
      </c>
      <c r="Q221" s="617"/>
    </row>
    <row r="222" spans="1:32" ht="11.45" customHeight="1">
      <c r="A222" s="47"/>
      <c r="B222" s="149" t="s">
        <v>1737</v>
      </c>
      <c r="C222" s="52" t="s">
        <v>1930</v>
      </c>
      <c r="E222" s="52"/>
      <c r="F222" s="52"/>
      <c r="G222" s="52"/>
      <c r="H222" s="52"/>
      <c r="I222" s="42"/>
      <c r="J222" s="66" t="s">
        <v>1486</v>
      </c>
      <c r="K222" s="3661" t="s">
        <v>5317</v>
      </c>
      <c r="L222" s="3663"/>
      <c r="Q222" s="618"/>
    </row>
    <row r="223" spans="1:32" ht="11.45" customHeight="1">
      <c r="A223" s="47"/>
      <c r="B223" s="149" t="s">
        <v>1738</v>
      </c>
      <c r="C223" s="1021" t="s">
        <v>4746</v>
      </c>
      <c r="E223" s="1021"/>
      <c r="F223" s="1021"/>
      <c r="G223" s="1021"/>
      <c r="H223" s="1021"/>
      <c r="I223" s="42"/>
      <c r="J223" s="66" t="s">
        <v>1487</v>
      </c>
      <c r="K223" s="3757" t="s">
        <v>5335</v>
      </c>
      <c r="L223" s="3758"/>
      <c r="M223" s="3754" t="s">
        <v>2723</v>
      </c>
      <c r="N223" s="3755"/>
      <c r="O223" s="3755"/>
      <c r="P223" s="3756"/>
      <c r="Q223" s="618"/>
    </row>
    <row r="224" spans="1:32" ht="11.45" customHeight="1">
      <c r="A224" s="47"/>
      <c r="B224" s="40" t="s">
        <v>1739</v>
      </c>
      <c r="C224" s="1021" t="s">
        <v>4749</v>
      </c>
      <c r="D224" s="151"/>
      <c r="E224" s="1021"/>
      <c r="F224" s="1021"/>
      <c r="G224" s="1021"/>
      <c r="H224" s="1021"/>
      <c r="I224" s="96"/>
      <c r="J224" s="527" t="s">
        <v>1488</v>
      </c>
      <c r="K224" s="3762" t="s">
        <v>5318</v>
      </c>
      <c r="L224" s="3763"/>
      <c r="M224" s="3763"/>
      <c r="N224" s="3764"/>
      <c r="O224" s="2405"/>
      <c r="P224" s="1451"/>
      <c r="Q224" s="618"/>
      <c r="R224" s="42"/>
    </row>
    <row r="225" spans="1:32" ht="11.45" customHeight="1">
      <c r="A225" s="47"/>
      <c r="B225" s="40" t="s">
        <v>2364</v>
      </c>
      <c r="C225" s="1021" t="s">
        <v>4748</v>
      </c>
      <c r="D225" s="151"/>
      <c r="E225" s="1021"/>
      <c r="F225" s="1021"/>
      <c r="G225" s="1021"/>
      <c r="H225" s="1021"/>
      <c r="I225" s="96"/>
      <c r="J225" s="527" t="s">
        <v>4747</v>
      </c>
      <c r="K225" s="3658" t="s">
        <v>5319</v>
      </c>
      <c r="L225" s="3659"/>
      <c r="M225" s="3659"/>
      <c r="N225" s="3660"/>
      <c r="O225" s="131"/>
      <c r="P225" s="2404"/>
      <c r="Q225" s="619"/>
      <c r="R225" s="42"/>
    </row>
    <row r="226" spans="1:32" ht="11.25" customHeight="1">
      <c r="A226" s="47" t="s">
        <v>1984</v>
      </c>
      <c r="B226" s="52" t="s">
        <v>2508</v>
      </c>
      <c r="D226" s="52"/>
      <c r="E226" s="52"/>
      <c r="F226" s="52"/>
      <c r="G226" s="52"/>
      <c r="H226" s="52"/>
      <c r="I226" s="52"/>
      <c r="J226" s="52"/>
      <c r="K226" s="42"/>
      <c r="L226" s="42"/>
      <c r="M226" s="42"/>
      <c r="N226" s="42"/>
      <c r="O226" s="527" t="s">
        <v>1984</v>
      </c>
      <c r="P226" s="98" t="s">
        <v>5309</v>
      </c>
      <c r="Q226" s="615"/>
    </row>
    <row r="227" spans="1:32" ht="11.1" customHeight="1">
      <c r="A227" s="47"/>
      <c r="B227" s="52" t="s">
        <v>4976</v>
      </c>
      <c r="D227" s="52"/>
      <c r="E227" s="52"/>
      <c r="F227" s="52"/>
      <c r="G227" s="52"/>
      <c r="H227" s="52"/>
      <c r="I227" s="52"/>
      <c r="J227" s="52"/>
      <c r="K227" s="42"/>
      <c r="L227" s="42"/>
      <c r="M227" s="42"/>
      <c r="N227" s="527" t="s">
        <v>3605</v>
      </c>
      <c r="O227" s="2602">
        <f>'Part VI-Revenues &amp; Expenses'!$O$67</f>
        <v>156</v>
      </c>
      <c r="P227" s="3765" t="s">
        <v>4978</v>
      </c>
      <c r="Q227" s="3766"/>
    </row>
    <row r="228" spans="1:32" ht="11.1" customHeight="1">
      <c r="A228" s="47"/>
      <c r="B228" s="149" t="s">
        <v>1737</v>
      </c>
      <c r="C228" s="52" t="s">
        <v>4979</v>
      </c>
      <c r="D228" s="52"/>
      <c r="E228" s="52"/>
      <c r="F228" s="52"/>
      <c r="H228" s="527" t="s">
        <v>4980</v>
      </c>
      <c r="I228" s="52" t="s">
        <v>4989</v>
      </c>
      <c r="M228" s="42"/>
      <c r="N228" s="42"/>
      <c r="O228" s="324"/>
      <c r="P228" s="2577" t="s">
        <v>773</v>
      </c>
      <c r="Q228" s="2578" t="s">
        <v>4977</v>
      </c>
    </row>
    <row r="229" spans="1:32" s="43" customFormat="1" ht="11.45" customHeight="1">
      <c r="A229" s="51"/>
      <c r="B229" s="527" t="s">
        <v>2115</v>
      </c>
      <c r="C229" s="3767" t="s">
        <v>5071</v>
      </c>
      <c r="D229" s="3768"/>
      <c r="E229" s="3768"/>
      <c r="F229" s="3768"/>
      <c r="G229" s="3769"/>
      <c r="H229" s="527" t="s">
        <v>2115</v>
      </c>
      <c r="I229" s="3655" t="s">
        <v>4176</v>
      </c>
      <c r="J229" s="3092"/>
      <c r="K229" s="3092"/>
      <c r="L229" s="3092"/>
      <c r="M229" s="3092"/>
      <c r="N229" s="3092"/>
      <c r="O229" s="3656"/>
      <c r="P229" s="617"/>
      <c r="Q229" s="623"/>
      <c r="AE229" s="54"/>
      <c r="AF229" s="54"/>
    </row>
    <row r="230" spans="1:32" s="43" customFormat="1" ht="11.45" customHeight="1">
      <c r="A230" s="51"/>
      <c r="B230" s="527" t="s">
        <v>2116</v>
      </c>
      <c r="C230" s="3773" t="s">
        <v>4974</v>
      </c>
      <c r="D230" s="3774"/>
      <c r="E230" s="3774"/>
      <c r="F230" s="3774"/>
      <c r="G230" s="3775"/>
      <c r="H230" s="527" t="s">
        <v>2116</v>
      </c>
      <c r="I230" s="3112"/>
      <c r="J230" s="3063"/>
      <c r="K230" s="3063"/>
      <c r="L230" s="3063"/>
      <c r="M230" s="3063"/>
      <c r="N230" s="3063"/>
      <c r="O230" s="3064"/>
      <c r="P230" s="618"/>
      <c r="Q230" s="2534"/>
      <c r="AE230" s="54"/>
      <c r="AF230" s="54"/>
    </row>
    <row r="231" spans="1:32" s="43" customFormat="1" ht="11.45" customHeight="1">
      <c r="A231" s="51"/>
      <c r="B231" s="527" t="s">
        <v>1734</v>
      </c>
      <c r="C231" s="3773" t="s">
        <v>2102</v>
      </c>
      <c r="D231" s="3774"/>
      <c r="E231" s="3774"/>
      <c r="F231" s="3774"/>
      <c r="G231" s="3775"/>
      <c r="H231" s="527" t="s">
        <v>1734</v>
      </c>
      <c r="I231" s="3112" t="s">
        <v>4176</v>
      </c>
      <c r="J231" s="3063"/>
      <c r="K231" s="3063"/>
      <c r="L231" s="3063"/>
      <c r="M231" s="3063"/>
      <c r="N231" s="3063"/>
      <c r="O231" s="3064"/>
      <c r="P231" s="618"/>
      <c r="Q231" s="2534"/>
      <c r="AE231" s="54"/>
      <c r="AF231" s="54"/>
    </row>
    <row r="232" spans="1:32" s="43" customFormat="1" ht="11.45" customHeight="1">
      <c r="A232" s="51"/>
      <c r="B232" s="527" t="s">
        <v>4988</v>
      </c>
      <c r="C232" s="3759" t="s">
        <v>4972</v>
      </c>
      <c r="D232" s="3760"/>
      <c r="E232" s="3760"/>
      <c r="F232" s="3760"/>
      <c r="G232" s="3761"/>
      <c r="H232" s="527" t="s">
        <v>4988</v>
      </c>
      <c r="I232" s="3150"/>
      <c r="J232" s="3116"/>
      <c r="K232" s="3116"/>
      <c r="L232" s="3116"/>
      <c r="M232" s="3116"/>
      <c r="N232" s="3116"/>
      <c r="O232" s="3117"/>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5309</v>
      </c>
      <c r="Q233" s="617"/>
    </row>
    <row r="234" spans="1:32" ht="11.45" customHeight="1">
      <c r="A234" s="47"/>
      <c r="B234" s="149" t="s">
        <v>1737</v>
      </c>
      <c r="C234" s="52" t="s">
        <v>3464</v>
      </c>
      <c r="E234" s="52"/>
      <c r="F234" s="52"/>
      <c r="L234" s="33"/>
      <c r="M234" s="33"/>
      <c r="O234" s="66" t="s">
        <v>1737</v>
      </c>
      <c r="P234" s="422" t="s">
        <v>2989</v>
      </c>
      <c r="Q234" s="618"/>
    </row>
    <row r="235" spans="1:32" ht="11.45" customHeight="1">
      <c r="B235" s="149" t="s">
        <v>1738</v>
      </c>
      <c r="C235" s="1021" t="s">
        <v>2807</v>
      </c>
      <c r="E235" s="1021"/>
      <c r="F235" s="1021"/>
      <c r="L235" s="33"/>
      <c r="M235" s="33"/>
      <c r="O235" s="66" t="s">
        <v>1738</v>
      </c>
      <c r="P235" s="422" t="s">
        <v>2989</v>
      </c>
      <c r="Q235" s="618"/>
    </row>
    <row r="236" spans="1:32" ht="11.45" customHeight="1">
      <c r="B236" s="149" t="s">
        <v>1739</v>
      </c>
      <c r="C236" s="1021" t="s">
        <v>2808</v>
      </c>
      <c r="E236" s="1021"/>
      <c r="F236" s="1021"/>
      <c r="G236" s="1021"/>
      <c r="H236" s="1021"/>
      <c r="I236" s="42"/>
      <c r="J236" s="33"/>
      <c r="K236" s="42"/>
      <c r="L236" s="33"/>
      <c r="M236" s="33"/>
      <c r="O236" s="66" t="s">
        <v>1739</v>
      </c>
      <c r="P236" s="422" t="s">
        <v>2989</v>
      </c>
      <c r="Q236" s="618"/>
    </row>
    <row r="237" spans="1:32" ht="11.45" customHeight="1">
      <c r="A237" s="47"/>
      <c r="B237" s="149" t="s">
        <v>2364</v>
      </c>
      <c r="C237" s="1021" t="s">
        <v>2809</v>
      </c>
      <c r="E237" s="1021"/>
      <c r="F237" s="1021"/>
      <c r="G237" s="1021"/>
      <c r="H237" s="1021"/>
      <c r="I237" s="42"/>
      <c r="J237" s="33"/>
      <c r="K237" s="42"/>
      <c r="L237" s="33"/>
      <c r="M237" s="33"/>
      <c r="O237" s="66" t="s">
        <v>2364</v>
      </c>
      <c r="P237" s="422" t="s">
        <v>2989</v>
      </c>
      <c r="Q237" s="618"/>
    </row>
    <row r="238" spans="1:32" ht="11.45" customHeight="1">
      <c r="A238" s="47"/>
      <c r="B238" s="149" t="s">
        <v>1549</v>
      </c>
      <c r="C238" s="1021" t="s">
        <v>2810</v>
      </c>
      <c r="E238" s="1021"/>
      <c r="F238" s="1021"/>
      <c r="G238" s="1021"/>
      <c r="H238" s="1021"/>
      <c r="I238" s="42"/>
      <c r="J238" s="33"/>
      <c r="K238" s="42"/>
      <c r="L238" s="33"/>
      <c r="M238" s="33"/>
      <c r="O238" s="66" t="s">
        <v>1549</v>
      </c>
      <c r="P238" s="422" t="s">
        <v>2989</v>
      </c>
      <c r="Q238" s="618"/>
    </row>
    <row r="239" spans="1:32" ht="11.45" customHeight="1">
      <c r="A239" s="47"/>
      <c r="B239" s="40" t="s">
        <v>1550</v>
      </c>
      <c r="C239" s="52" t="s">
        <v>775</v>
      </c>
      <c r="E239" s="52"/>
      <c r="F239" s="52"/>
      <c r="G239" s="52"/>
      <c r="H239" s="52"/>
      <c r="I239" s="42"/>
      <c r="J239" s="33"/>
      <c r="K239" s="42"/>
      <c r="L239" s="33"/>
      <c r="M239" s="33"/>
      <c r="O239" s="527" t="s">
        <v>2798</v>
      </c>
      <c r="P239" s="422" t="s">
        <v>2989</v>
      </c>
      <c r="Q239" s="618"/>
    </row>
    <row r="240" spans="1:32" ht="11.45" customHeight="1">
      <c r="A240" s="47"/>
      <c r="B240" s="66"/>
      <c r="C240" s="52" t="s">
        <v>1489</v>
      </c>
      <c r="E240" s="52"/>
      <c r="F240" s="52"/>
      <c r="G240" s="52"/>
      <c r="H240" s="52"/>
      <c r="I240" s="42"/>
      <c r="J240" s="33"/>
      <c r="K240" s="42"/>
      <c r="L240" s="33"/>
      <c r="M240" s="33"/>
      <c r="O240" s="527" t="s">
        <v>2799</v>
      </c>
      <c r="P240" s="239" t="s">
        <v>2992</v>
      </c>
      <c r="Q240" s="619"/>
    </row>
    <row r="241" spans="1:32" ht="11.25" customHeight="1">
      <c r="A241" s="47" t="s">
        <v>2114</v>
      </c>
      <c r="B241" s="52" t="s">
        <v>3662</v>
      </c>
      <c r="C241" s="52"/>
      <c r="E241" s="52"/>
      <c r="F241" s="52"/>
      <c r="G241" s="52"/>
      <c r="H241" s="52"/>
      <c r="I241" s="52"/>
      <c r="J241" s="52"/>
      <c r="K241" s="42"/>
      <c r="M241" s="65" t="s">
        <v>4832</v>
      </c>
      <c r="N241" s="2522" t="str">
        <f>'Part I-Project Information'!$H$82</f>
        <v>Family</v>
      </c>
      <c r="O241" s="527" t="s">
        <v>2114</v>
      </c>
      <c r="P241" s="238" t="s">
        <v>970</v>
      </c>
      <c r="Q241" s="617"/>
    </row>
    <row r="242" spans="1:32" ht="11.45" customHeight="1">
      <c r="B242" s="66" t="s">
        <v>1737</v>
      </c>
      <c r="C242" s="39" t="s">
        <v>1255</v>
      </c>
      <c r="E242" s="42"/>
      <c r="F242" s="42"/>
      <c r="G242" s="39"/>
      <c r="H242" s="1021"/>
      <c r="I242" s="42"/>
      <c r="J242" s="1021"/>
      <c r="K242" s="42"/>
      <c r="L242" s="1021"/>
      <c r="M242" s="1021"/>
      <c r="O242" s="66" t="s">
        <v>1737</v>
      </c>
      <c r="P242" s="422"/>
      <c r="Q242" s="618"/>
    </row>
    <row r="243" spans="1:32" ht="11.45" customHeight="1">
      <c r="B243" s="66" t="s">
        <v>1738</v>
      </c>
      <c r="C243" s="36" t="s">
        <v>4762</v>
      </c>
      <c r="E243" s="42"/>
      <c r="F243" s="42"/>
      <c r="G243" s="1021"/>
      <c r="H243" s="1021"/>
      <c r="I243" s="42"/>
      <c r="J243" s="1021"/>
      <c r="K243" s="42"/>
      <c r="L243" s="1021"/>
      <c r="M243" s="1021"/>
      <c r="O243" s="66" t="s">
        <v>1738</v>
      </c>
      <c r="P243" s="239"/>
      <c r="Q243" s="619"/>
    </row>
    <row r="244" spans="1:32" ht="11.25" customHeight="1">
      <c r="B244" s="144" t="s">
        <v>3753</v>
      </c>
      <c r="D244" s="144"/>
      <c r="E244" s="144"/>
      <c r="F244" s="144"/>
      <c r="G244" s="144"/>
      <c r="H244" s="40"/>
      <c r="I244" s="1385"/>
      <c r="J244" s="1385"/>
      <c r="K244" s="1385"/>
      <c r="L244" s="1378"/>
      <c r="M244" s="1378"/>
      <c r="N244" s="1378"/>
      <c r="O244" s="1378"/>
      <c r="P244" s="1378"/>
      <c r="Q244" s="1020"/>
    </row>
    <row r="245" spans="1:32" ht="11.45" customHeight="1">
      <c r="A245" s="3621" t="s">
        <v>5320</v>
      </c>
      <c r="B245" s="3622"/>
      <c r="C245" s="3622"/>
      <c r="D245" s="3622"/>
      <c r="E245" s="3622"/>
      <c r="F245" s="3622"/>
      <c r="G245" s="3622"/>
      <c r="H245" s="3622"/>
      <c r="I245" s="3622"/>
      <c r="J245" s="3622"/>
      <c r="K245" s="3622"/>
      <c r="L245" s="3622"/>
      <c r="M245" s="3622"/>
      <c r="N245" s="3622"/>
      <c r="O245" s="3622"/>
      <c r="P245" s="3622"/>
      <c r="Q245" s="3623"/>
      <c r="R245" s="509" t="s">
        <v>1254</v>
      </c>
      <c r="S245" s="510"/>
      <c r="U245" s="139"/>
      <c r="V245" s="139"/>
      <c r="W245" s="139"/>
      <c r="X245" s="139"/>
      <c r="Y245" s="139"/>
      <c r="Z245" s="139"/>
      <c r="AA245" s="139"/>
      <c r="AB245" s="139"/>
      <c r="AC245" s="139"/>
      <c r="AD245" s="139"/>
      <c r="AE245" s="529"/>
    </row>
    <row r="246" spans="1:32" ht="11.25" customHeight="1">
      <c r="B246" s="140" t="s">
        <v>1865</v>
      </c>
      <c r="C246" s="141"/>
      <c r="D246" s="1379"/>
      <c r="E246" s="1379"/>
      <c r="F246" s="1379"/>
      <c r="G246" s="1379"/>
      <c r="H246" s="1379"/>
      <c r="I246" s="1379"/>
      <c r="J246" s="1379"/>
      <c r="K246" s="1379"/>
      <c r="L246" s="1379"/>
      <c r="M246" s="1379"/>
      <c r="N246" s="1379"/>
      <c r="O246" s="1379"/>
      <c r="P246" s="1379"/>
      <c r="Q246" s="1379"/>
    </row>
    <row r="247" spans="1:32" ht="11.25" customHeight="1">
      <c r="A247" s="3602"/>
      <c r="B247" s="3603"/>
      <c r="C247" s="3603"/>
      <c r="D247" s="3603"/>
      <c r="E247" s="3603"/>
      <c r="F247" s="3603"/>
      <c r="G247" s="3603"/>
      <c r="H247" s="3603"/>
      <c r="I247" s="3603"/>
      <c r="J247" s="3603"/>
      <c r="K247" s="3603"/>
      <c r="L247" s="3603"/>
      <c r="M247" s="3603"/>
      <c r="N247" s="3603"/>
      <c r="O247" s="3603"/>
      <c r="P247" s="3603"/>
      <c r="Q247" s="3604"/>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2781</v>
      </c>
      <c r="B249" s="4" t="s">
        <v>2661</v>
      </c>
      <c r="C249" s="4"/>
      <c r="D249" s="88"/>
      <c r="E249" s="88"/>
      <c r="F249" s="88"/>
      <c r="G249" s="88"/>
      <c r="H249" s="1379"/>
      <c r="I249" s="1379"/>
      <c r="J249" s="1379"/>
      <c r="K249" s="1379"/>
      <c r="L249" s="2679"/>
      <c r="M249" s="2680"/>
      <c r="O249" s="135" t="s">
        <v>1866</v>
      </c>
      <c r="P249" s="3626"/>
      <c r="Q249" s="3606"/>
    </row>
    <row r="250" spans="1:32" ht="11.45" customHeight="1">
      <c r="A250" s="47" t="s">
        <v>1982</v>
      </c>
      <c r="B250" s="52" t="s">
        <v>1268</v>
      </c>
      <c r="D250" s="42"/>
      <c r="E250" s="52"/>
      <c r="F250" s="52"/>
      <c r="J250" s="527" t="s">
        <v>1982</v>
      </c>
      <c r="K250" s="3607" t="s">
        <v>1771</v>
      </c>
      <c r="L250" s="3608"/>
      <c r="M250" s="3608"/>
      <c r="N250" s="3608"/>
      <c r="O250" s="3609"/>
      <c r="P250" s="3776" t="s">
        <v>1771</v>
      </c>
      <c r="Q250" s="3777"/>
    </row>
    <row r="251" spans="1:32" ht="11.45" customHeight="1">
      <c r="A251" s="47" t="s">
        <v>1984</v>
      </c>
      <c r="B251" s="52" t="s">
        <v>2811</v>
      </c>
      <c r="D251" s="52"/>
      <c r="E251" s="52"/>
      <c r="F251" s="52"/>
      <c r="J251" s="527" t="s">
        <v>1984</v>
      </c>
      <c r="K251" s="3770"/>
      <c r="L251" s="3771"/>
      <c r="M251" s="3771"/>
      <c r="N251" s="3771"/>
      <c r="O251" s="3772"/>
      <c r="P251" s="3778"/>
      <c r="Q251" s="3779"/>
    </row>
    <row r="252" spans="1:32" s="151" customFormat="1" ht="11.45" customHeight="1">
      <c r="A252" s="47"/>
      <c r="B252" s="52" t="s">
        <v>1944</v>
      </c>
      <c r="D252" s="52"/>
      <c r="E252" s="52"/>
      <c r="F252" s="52"/>
      <c r="K252" s="3658"/>
      <c r="L252" s="3659"/>
      <c r="M252" s="3659"/>
      <c r="N252" s="3659"/>
      <c r="O252" s="3660"/>
      <c r="P252" s="3780"/>
      <c r="Q252" s="3781"/>
      <c r="AE252" s="531"/>
      <c r="AF252" s="531"/>
    </row>
    <row r="253" spans="1:32" s="151" customFormat="1" ht="11.45" customHeight="1">
      <c r="A253" s="47"/>
      <c r="B253" s="52" t="s">
        <v>2542</v>
      </c>
      <c r="D253" s="52"/>
      <c r="E253" s="52"/>
      <c r="F253" s="52"/>
      <c r="G253" s="52"/>
      <c r="H253" s="52"/>
      <c r="I253" s="96"/>
      <c r="J253" s="96"/>
      <c r="M253" s="36"/>
      <c r="N253" s="1180"/>
      <c r="O253" s="527"/>
      <c r="P253" s="422"/>
      <c r="Q253" s="618"/>
      <c r="AE253" s="531"/>
      <c r="AF253" s="531"/>
    </row>
    <row r="254" spans="1:32" s="151" customFormat="1" ht="11.45" customHeight="1">
      <c r="A254" s="47" t="s">
        <v>749</v>
      </c>
      <c r="B254" s="52" t="s">
        <v>4908</v>
      </c>
      <c r="D254" s="52"/>
      <c r="E254" s="52"/>
      <c r="F254" s="52"/>
      <c r="J254" s="527" t="s">
        <v>749</v>
      </c>
      <c r="K254" s="3782"/>
      <c r="L254" s="3783"/>
      <c r="M254" s="3783"/>
      <c r="N254" s="3783"/>
      <c r="O254" s="3784"/>
      <c r="P254" s="3785"/>
      <c r="Q254" s="3786"/>
      <c r="AE254" s="531"/>
      <c r="AF254" s="531"/>
    </row>
    <row r="255" spans="1:32" s="151" customFormat="1" ht="11.45" customHeight="1">
      <c r="A255" s="47"/>
      <c r="B255" s="52" t="s">
        <v>4768</v>
      </c>
      <c r="D255" s="52"/>
      <c r="E255" s="52"/>
      <c r="F255" s="52"/>
      <c r="AE255" s="531"/>
      <c r="AF255" s="531"/>
    </row>
    <row r="256" spans="1:32" s="151" customFormat="1" ht="11.45" customHeight="1">
      <c r="A256" s="47"/>
      <c r="C256" s="52" t="s">
        <v>4765</v>
      </c>
      <c r="D256" s="52"/>
      <c r="E256" s="52"/>
      <c r="F256" s="52"/>
      <c r="K256" s="527" t="s">
        <v>4764</v>
      </c>
      <c r="L256" s="2415"/>
      <c r="M256" s="36"/>
      <c r="N256" s="1180"/>
      <c r="O256" s="1180"/>
      <c r="P256" s="238"/>
      <c r="Q256" s="617"/>
      <c r="AE256" s="531"/>
      <c r="AF256" s="531"/>
    </row>
    <row r="257" spans="1:32" s="151" customFormat="1" ht="11.45" customHeight="1">
      <c r="A257" s="47"/>
      <c r="B257" s="52"/>
      <c r="C257" s="55" t="s">
        <v>4766</v>
      </c>
      <c r="D257" s="52"/>
      <c r="E257" s="52"/>
      <c r="F257" s="52"/>
      <c r="K257" s="527" t="s">
        <v>4767</v>
      </c>
      <c r="L257" s="2416"/>
      <c r="M257" s="36"/>
      <c r="N257" s="1180"/>
      <c r="O257" s="1180"/>
      <c r="P257" s="239"/>
      <c r="Q257" s="619"/>
      <c r="AE257" s="531"/>
      <c r="AF257" s="531"/>
    </row>
    <row r="258" spans="1:32" s="151" customFormat="1" ht="11.45" customHeight="1">
      <c r="A258" s="47"/>
      <c r="B258" s="52" t="s">
        <v>4763</v>
      </c>
      <c r="D258" s="52"/>
      <c r="E258" s="52"/>
      <c r="F258" s="52"/>
      <c r="K258" s="3607"/>
      <c r="L258" s="3608"/>
      <c r="M258" s="3608"/>
      <c r="N258" s="3608"/>
      <c r="O258" s="3609"/>
      <c r="P258" s="3752"/>
      <c r="Q258" s="3753"/>
      <c r="AE258" s="531"/>
      <c r="AF258" s="531"/>
    </row>
    <row r="259" spans="1:32" s="151" customFormat="1" ht="11.45" customHeight="1">
      <c r="A259" s="47" t="s">
        <v>2114</v>
      </c>
      <c r="B259" s="52" t="s">
        <v>3905</v>
      </c>
      <c r="D259" s="52"/>
      <c r="E259" s="52"/>
      <c r="F259" s="52"/>
      <c r="G259" s="52"/>
      <c r="H259" s="52"/>
      <c r="I259" s="96"/>
      <c r="J259" s="96"/>
      <c r="K259" s="96"/>
      <c r="M259" s="36"/>
      <c r="N259" s="1180"/>
      <c r="O259" s="527" t="s">
        <v>2114</v>
      </c>
      <c r="P259" s="238"/>
      <c r="Q259" s="617"/>
      <c r="AE259" s="531"/>
      <c r="AF259" s="531"/>
    </row>
    <row r="260" spans="1:32" s="151" customFormat="1" ht="11.45" customHeight="1">
      <c r="A260" s="47"/>
      <c r="B260" s="3650" t="s">
        <v>3761</v>
      </c>
      <c r="C260" s="3650"/>
      <c r="D260" s="3650"/>
      <c r="E260" s="3650"/>
      <c r="F260" s="3650"/>
      <c r="G260" s="3650"/>
      <c r="H260" s="495" t="s">
        <v>4114</v>
      </c>
      <c r="K260" s="96"/>
      <c r="M260" s="36"/>
      <c r="N260" s="1180"/>
      <c r="O260" s="66" t="s">
        <v>1737</v>
      </c>
      <c r="P260" s="422"/>
      <c r="Q260" s="618"/>
      <c r="AE260" s="531"/>
      <c r="AF260" s="531"/>
    </row>
    <row r="261" spans="1:32" s="151" customFormat="1" ht="11.45" customHeight="1">
      <c r="A261" s="47"/>
      <c r="B261" s="3650"/>
      <c r="C261" s="3650"/>
      <c r="D261" s="3650"/>
      <c r="E261" s="3650"/>
      <c r="F261" s="3650"/>
      <c r="G261" s="3650"/>
      <c r="H261" s="55" t="s">
        <v>4115</v>
      </c>
      <c r="K261" s="96"/>
      <c r="M261" s="36"/>
      <c r="N261" s="1180"/>
      <c r="O261" s="66" t="s">
        <v>1738</v>
      </c>
      <c r="P261" s="422"/>
      <c r="Q261" s="618"/>
      <c r="AE261" s="531"/>
      <c r="AF261" s="531"/>
    </row>
    <row r="262" spans="1:32" s="151" customFormat="1" ht="11.45" customHeight="1">
      <c r="A262" s="47"/>
      <c r="B262" s="52"/>
      <c r="D262" s="52"/>
      <c r="E262" s="52"/>
      <c r="F262" s="52"/>
      <c r="G262" s="52"/>
      <c r="H262" s="55" t="s">
        <v>4116</v>
      </c>
      <c r="K262" s="96"/>
      <c r="M262" s="36"/>
      <c r="N262" s="1180"/>
      <c r="O262" s="66" t="s">
        <v>1739</v>
      </c>
      <c r="P262" s="422"/>
      <c r="Q262" s="618"/>
      <c r="AE262" s="531"/>
      <c r="AF262" s="531"/>
    </row>
    <row r="263" spans="1:32" s="151" customFormat="1" ht="11.45" customHeight="1">
      <c r="A263" s="47"/>
      <c r="B263" s="52"/>
      <c r="D263" s="52"/>
      <c r="E263" s="52"/>
      <c r="F263" s="52"/>
      <c r="G263" s="52"/>
      <c r="H263" s="55" t="s">
        <v>4117</v>
      </c>
      <c r="K263" s="96"/>
      <c r="M263" s="36"/>
      <c r="N263" s="1180"/>
      <c r="O263" s="527" t="s">
        <v>2364</v>
      </c>
      <c r="P263" s="422"/>
      <c r="Q263" s="618"/>
      <c r="AE263" s="531"/>
      <c r="AF263" s="531"/>
    </row>
    <row r="264" spans="1:32" s="151" customFormat="1" ht="21.75" customHeight="1">
      <c r="B264" s="3650" t="s">
        <v>3906</v>
      </c>
      <c r="C264" s="3650"/>
      <c r="D264" s="3650"/>
      <c r="E264" s="3650"/>
      <c r="F264" s="3650"/>
      <c r="G264" s="3650"/>
      <c r="H264" s="3650"/>
      <c r="I264" s="3650"/>
      <c r="J264" s="3650"/>
      <c r="K264" s="3650"/>
      <c r="L264" s="3650"/>
      <c r="M264" s="3650"/>
      <c r="N264" s="3650"/>
      <c r="O264" s="166"/>
      <c r="P264" s="1447"/>
      <c r="Q264" s="1448"/>
      <c r="T264" s="531"/>
      <c r="AE264" s="531"/>
      <c r="AF264" s="531"/>
    </row>
    <row r="265" spans="1:32" s="151" customFormat="1" ht="33.75" customHeight="1">
      <c r="A265" s="145" t="s">
        <v>1735</v>
      </c>
      <c r="B265" s="3650" t="s">
        <v>5081</v>
      </c>
      <c r="C265" s="3650"/>
      <c r="D265" s="3650"/>
      <c r="E265" s="3650"/>
      <c r="F265" s="3650"/>
      <c r="G265" s="3650"/>
      <c r="H265" s="3650"/>
      <c r="I265" s="3650"/>
      <c r="J265" s="3650"/>
      <c r="K265" s="3650"/>
      <c r="L265" s="3650"/>
      <c r="M265" s="3650"/>
      <c r="N265" s="3650"/>
      <c r="O265" s="166" t="s">
        <v>1735</v>
      </c>
      <c r="P265" s="2677"/>
      <c r="Q265" s="2676"/>
      <c r="T265" s="531"/>
      <c r="AE265" s="531"/>
      <c r="AF265" s="531"/>
    </row>
    <row r="266" spans="1:32" s="151" customFormat="1" ht="21.75" customHeight="1">
      <c r="B266" s="3650" t="s">
        <v>5080</v>
      </c>
      <c r="C266" s="3650"/>
      <c r="D266" s="3650"/>
      <c r="E266" s="3650"/>
      <c r="F266" s="3650"/>
      <c r="G266" s="3650"/>
      <c r="H266" s="3650"/>
      <c r="I266" s="3650"/>
      <c r="J266" s="3650"/>
      <c r="K266" s="3650"/>
      <c r="L266" s="3650"/>
      <c r="M266" s="3650"/>
      <c r="N266" s="3650"/>
      <c r="O266" s="166"/>
      <c r="P266" s="2675"/>
      <c r="Q266" s="2674"/>
      <c r="T266" s="531"/>
      <c r="AE266" s="531"/>
      <c r="AF266" s="531"/>
    </row>
    <row r="267" spans="1:32" ht="11.45" customHeight="1">
      <c r="B267" s="66" t="s">
        <v>1737</v>
      </c>
      <c r="C267" s="1021" t="s">
        <v>5078</v>
      </c>
      <c r="E267" s="1021"/>
      <c r="F267" s="1021"/>
      <c r="L267" s="33"/>
      <c r="M267" s="33"/>
      <c r="O267" s="66" t="s">
        <v>1737</v>
      </c>
      <c r="P267" s="2554"/>
      <c r="Q267" s="2555"/>
    </row>
    <row r="268" spans="1:32" ht="11.45" customHeight="1">
      <c r="B268" s="66"/>
      <c r="D268" s="55" t="s">
        <v>3863</v>
      </c>
      <c r="E268" s="3467"/>
      <c r="F268" s="3468"/>
      <c r="G268" s="3469"/>
      <c r="H268" s="1021" t="s">
        <v>4949</v>
      </c>
      <c r="I268" s="3467" t="s">
        <v>4950</v>
      </c>
      <c r="J268" s="3468"/>
      <c r="K268" s="3469"/>
      <c r="L268" s="138" t="s">
        <v>4951</v>
      </c>
      <c r="M268" s="3467"/>
      <c r="N268" s="3468"/>
      <c r="O268" s="3468"/>
      <c r="P268" s="3468"/>
      <c r="Q268" s="3469"/>
      <c r="U268" s="450"/>
    </row>
    <row r="269" spans="1:32" ht="11.45" customHeight="1">
      <c r="A269" s="47"/>
      <c r="B269" s="66" t="s">
        <v>1738</v>
      </c>
      <c r="C269" s="1021" t="s">
        <v>5079</v>
      </c>
      <c r="E269" s="1021"/>
      <c r="F269" s="1021"/>
      <c r="G269" s="1021"/>
      <c r="H269" s="1021"/>
      <c r="I269" s="42"/>
      <c r="J269" s="33"/>
      <c r="K269" s="42"/>
      <c r="L269" s="33"/>
      <c r="M269" s="33"/>
      <c r="O269" s="66" t="s">
        <v>1738</v>
      </c>
      <c r="P269" s="542"/>
      <c r="Q269" s="616"/>
      <c r="S269" s="66"/>
      <c r="U269" s="450"/>
    </row>
    <row r="270" spans="1:32" ht="11.45" customHeight="1">
      <c r="A270" s="47"/>
      <c r="B270" s="66"/>
      <c r="D270" s="55" t="s">
        <v>2300</v>
      </c>
      <c r="E270" s="3467"/>
      <c r="F270" s="3468"/>
      <c r="G270" s="3469"/>
      <c r="H270" s="138" t="s">
        <v>1800</v>
      </c>
      <c r="I270" s="3467"/>
      <c r="J270" s="3468"/>
      <c r="K270" s="3468"/>
      <c r="L270" s="3468"/>
      <c r="M270" s="3469"/>
      <c r="S270" s="66"/>
      <c r="U270" s="450"/>
    </row>
    <row r="271" spans="1:32" ht="11.25" customHeight="1">
      <c r="B271" s="144" t="s">
        <v>3753</v>
      </c>
      <c r="D271" s="144"/>
      <c r="E271" s="144"/>
      <c r="F271" s="144"/>
      <c r="G271" s="144"/>
      <c r="H271" s="40"/>
      <c r="I271" s="1385"/>
      <c r="J271" s="1385"/>
      <c r="K271" s="1385"/>
      <c r="L271" s="1378"/>
      <c r="M271" s="1378"/>
      <c r="N271" s="1378"/>
      <c r="O271" s="1378"/>
      <c r="P271" s="1378"/>
      <c r="Q271" s="1020"/>
    </row>
    <row r="272" spans="1:32" ht="13.35" customHeight="1">
      <c r="A272" s="3621" t="s">
        <v>5321</v>
      </c>
      <c r="B272" s="3622"/>
      <c r="C272" s="3622"/>
      <c r="D272" s="3622"/>
      <c r="E272" s="3622"/>
      <c r="F272" s="3622"/>
      <c r="G272" s="3622"/>
      <c r="H272" s="3622"/>
      <c r="I272" s="3622"/>
      <c r="J272" s="3622"/>
      <c r="K272" s="3622"/>
      <c r="L272" s="3622"/>
      <c r="M272" s="3622"/>
      <c r="N272" s="3622"/>
      <c r="O272" s="3622"/>
      <c r="P272" s="3622"/>
      <c r="Q272" s="3623"/>
      <c r="R272" s="509" t="s">
        <v>1254</v>
      </c>
      <c r="S272" s="510"/>
      <c r="U272" s="139"/>
      <c r="V272" s="139"/>
      <c r="W272" s="139"/>
      <c r="X272" s="139"/>
      <c r="Y272" s="139"/>
      <c r="Z272" s="139"/>
      <c r="AA272" s="139"/>
      <c r="AB272" s="139"/>
      <c r="AC272" s="139"/>
      <c r="AD272" s="139"/>
      <c r="AE272" s="529"/>
    </row>
    <row r="273" spans="1:32" ht="11.1" customHeight="1">
      <c r="B273" s="140" t="s">
        <v>1865</v>
      </c>
      <c r="C273" s="141"/>
      <c r="D273" s="1379"/>
      <c r="E273" s="1379"/>
      <c r="F273" s="1379"/>
      <c r="G273" s="1379"/>
      <c r="H273" s="1379"/>
      <c r="I273" s="1379"/>
      <c r="J273" s="1379"/>
      <c r="K273" s="1379"/>
      <c r="L273" s="1379"/>
      <c r="M273" s="1379"/>
      <c r="N273" s="1379"/>
      <c r="O273" s="1379"/>
      <c r="P273" s="1379"/>
      <c r="Q273" s="1379"/>
    </row>
    <row r="274" spans="1:32" ht="13.35" customHeight="1">
      <c r="A274" s="3602"/>
      <c r="B274" s="3603"/>
      <c r="C274" s="3603"/>
      <c r="D274" s="3603"/>
      <c r="E274" s="3603"/>
      <c r="F274" s="3603"/>
      <c r="G274" s="3603"/>
      <c r="H274" s="3603"/>
      <c r="I274" s="3603"/>
      <c r="J274" s="3603"/>
      <c r="K274" s="3603"/>
      <c r="L274" s="3603"/>
      <c r="M274" s="3603"/>
      <c r="N274" s="3603"/>
      <c r="O274" s="3603"/>
      <c r="P274" s="3603"/>
      <c r="Q274" s="3604"/>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2250</v>
      </c>
      <c r="B276" s="4" t="s">
        <v>2662</v>
      </c>
      <c r="C276" s="4"/>
      <c r="D276" s="88"/>
      <c r="E276" s="88"/>
      <c r="F276" s="88"/>
      <c r="G276" s="88"/>
      <c r="H276" s="1379"/>
      <c r="I276" s="1379"/>
      <c r="J276" s="1379"/>
      <c r="K276" s="1379"/>
      <c r="L276" s="1379"/>
      <c r="M276" s="1379"/>
      <c r="O276" s="135" t="s">
        <v>1866</v>
      </c>
      <c r="P276" s="3626"/>
      <c r="Q276" s="3606"/>
    </row>
    <row r="277" spans="1:32" s="474" customFormat="1" ht="21.75" customHeight="1">
      <c r="A277" s="145" t="s">
        <v>1982</v>
      </c>
      <c r="B277" s="3650" t="s">
        <v>4962</v>
      </c>
      <c r="C277" s="3650"/>
      <c r="D277" s="3650"/>
      <c r="E277" s="3650"/>
      <c r="F277" s="3650"/>
      <c r="G277" s="3650"/>
      <c r="H277" s="3650"/>
      <c r="I277" s="3650"/>
      <c r="J277" s="3650"/>
      <c r="K277" s="3650"/>
      <c r="L277" s="3650"/>
      <c r="M277" s="3650"/>
      <c r="N277" s="3650"/>
      <c r="O277" s="166" t="s">
        <v>1982</v>
      </c>
      <c r="P277" s="1389" t="s">
        <v>2989</v>
      </c>
      <c r="Q277" s="1388"/>
      <c r="AE277" s="532"/>
      <c r="AF277" s="532"/>
    </row>
    <row r="278" spans="1:32" s="151" customFormat="1" ht="11.45" customHeight="1">
      <c r="A278" s="47"/>
      <c r="B278" s="52" t="s">
        <v>3756</v>
      </c>
      <c r="D278" s="52"/>
      <c r="E278" s="52"/>
      <c r="F278" s="52"/>
      <c r="G278" s="52"/>
      <c r="H278" s="52"/>
      <c r="I278" s="52"/>
      <c r="J278" s="52"/>
      <c r="K278" s="52"/>
      <c r="L278" s="52"/>
      <c r="M278" s="52"/>
      <c r="O278" s="527"/>
      <c r="P278" s="239" t="s">
        <v>2989</v>
      </c>
      <c r="Q278" s="619"/>
      <c r="AE278" s="531"/>
      <c r="AF278" s="531"/>
    </row>
    <row r="279" spans="1:32" s="151" customFormat="1" ht="11.45" customHeight="1">
      <c r="A279" s="47" t="s">
        <v>1984</v>
      </c>
      <c r="B279" s="52" t="s">
        <v>3757</v>
      </c>
      <c r="D279" s="52"/>
      <c r="E279" s="52"/>
      <c r="F279" s="52"/>
      <c r="G279" s="52"/>
      <c r="H279" s="52"/>
      <c r="I279" s="52"/>
      <c r="J279" s="52"/>
      <c r="K279" s="52"/>
      <c r="L279" s="52"/>
      <c r="M279" s="52"/>
      <c r="O279" s="527" t="s">
        <v>1984</v>
      </c>
      <c r="P279" s="239" t="s">
        <v>2989</v>
      </c>
      <c r="Q279" s="619"/>
      <c r="AE279" s="531"/>
      <c r="AF279" s="531"/>
    </row>
    <row r="280" spans="1:32" s="151" customFormat="1" ht="11.45" customHeight="1">
      <c r="A280" s="47" t="s">
        <v>749</v>
      </c>
      <c r="B280" s="52" t="s">
        <v>4118</v>
      </c>
      <c r="D280" s="52"/>
      <c r="E280" s="52"/>
      <c r="F280" s="52"/>
      <c r="G280" s="52"/>
      <c r="H280" s="52"/>
      <c r="I280" s="52"/>
      <c r="J280" s="52"/>
      <c r="K280" s="52"/>
      <c r="L280" s="52"/>
      <c r="M280" s="52"/>
      <c r="O280" s="527" t="s">
        <v>749</v>
      </c>
      <c r="P280" s="238"/>
      <c r="Q280" s="617"/>
      <c r="AE280" s="531"/>
      <c r="AF280" s="531"/>
    </row>
    <row r="281" spans="1:32" s="151" customFormat="1" ht="11.45" customHeight="1">
      <c r="A281" s="47"/>
      <c r="B281" s="52" t="s">
        <v>3758</v>
      </c>
      <c r="D281" s="52"/>
      <c r="E281" s="52"/>
      <c r="F281" s="52"/>
      <c r="G281" s="52"/>
      <c r="H281" s="52"/>
      <c r="I281" s="52"/>
      <c r="J281" s="52"/>
      <c r="K281" s="52"/>
      <c r="L281" s="52"/>
      <c r="M281" s="52"/>
      <c r="O281" s="527"/>
      <c r="P281" s="239"/>
      <c r="Q281" s="619"/>
      <c r="AE281" s="531"/>
      <c r="AF281" s="531"/>
    </row>
    <row r="282" spans="1:32" s="151" customFormat="1" ht="22.5" customHeight="1">
      <c r="A282" s="145" t="s">
        <v>2114</v>
      </c>
      <c r="B282" s="3650" t="s">
        <v>4965</v>
      </c>
      <c r="C282" s="3650"/>
      <c r="D282" s="3650"/>
      <c r="E282" s="3650"/>
      <c r="F282" s="3650"/>
      <c r="G282" s="3650"/>
      <c r="H282" s="3650"/>
      <c r="I282" s="3650"/>
      <c r="J282" s="3650"/>
      <c r="K282" s="3650"/>
      <c r="L282" s="3650"/>
      <c r="M282" s="3650"/>
      <c r="N282" s="3650"/>
      <c r="O282" s="527" t="s">
        <v>2114</v>
      </c>
      <c r="P282" s="1447"/>
      <c r="Q282" s="1448"/>
      <c r="AE282" s="531"/>
      <c r="AF282" s="531"/>
    </row>
    <row r="283" spans="1:32" ht="11.25" customHeight="1">
      <c r="B283" s="144" t="s">
        <v>3753</v>
      </c>
      <c r="D283" s="144"/>
      <c r="E283" s="144"/>
      <c r="F283" s="144"/>
      <c r="G283" s="144"/>
      <c r="H283" s="40"/>
      <c r="I283" s="1385"/>
      <c r="J283" s="1385"/>
      <c r="K283" s="1385"/>
      <c r="L283" s="1378"/>
      <c r="M283" s="1378"/>
      <c r="N283" s="1378"/>
      <c r="O283" s="1378"/>
      <c r="P283" s="1378"/>
      <c r="Q283" s="1020"/>
    </row>
    <row r="284" spans="1:32" ht="13.35" customHeight="1">
      <c r="A284" s="3621"/>
      <c r="B284" s="3622"/>
      <c r="C284" s="3622"/>
      <c r="D284" s="3622"/>
      <c r="E284" s="3622"/>
      <c r="F284" s="3622"/>
      <c r="G284" s="3622"/>
      <c r="H284" s="3622"/>
      <c r="I284" s="3622"/>
      <c r="J284" s="3622"/>
      <c r="K284" s="3622"/>
      <c r="L284" s="3622"/>
      <c r="M284" s="3622"/>
      <c r="N284" s="3622"/>
      <c r="O284" s="3622"/>
      <c r="P284" s="3622"/>
      <c r="Q284" s="3623"/>
      <c r="R284" s="509" t="s">
        <v>1254</v>
      </c>
      <c r="S284" s="510"/>
      <c r="U284" s="139"/>
      <c r="V284" s="139"/>
      <c r="W284" s="139"/>
      <c r="X284" s="139"/>
      <c r="Y284" s="139"/>
      <c r="Z284" s="139"/>
      <c r="AA284" s="139"/>
      <c r="AB284" s="139"/>
      <c r="AC284" s="139"/>
      <c r="AD284" s="139"/>
      <c r="AE284" s="529"/>
    </row>
    <row r="285" spans="1:32" ht="11.25" customHeight="1">
      <c r="B285" s="140" t="s">
        <v>1865</v>
      </c>
      <c r="C285" s="141"/>
      <c r="D285" s="1379"/>
      <c r="E285" s="1379"/>
      <c r="F285" s="1379"/>
      <c r="G285" s="1379"/>
      <c r="H285" s="1379"/>
      <c r="I285" s="1379"/>
      <c r="J285" s="1379"/>
      <c r="K285" s="1379"/>
      <c r="L285" s="1379"/>
      <c r="M285" s="1379"/>
      <c r="N285" s="1379"/>
      <c r="O285" s="1379"/>
      <c r="P285" s="1379"/>
      <c r="Q285" s="1379"/>
    </row>
    <row r="286" spans="1:32" ht="13.35" customHeight="1">
      <c r="A286" s="3602"/>
      <c r="B286" s="3603"/>
      <c r="C286" s="3603"/>
      <c r="D286" s="3603"/>
      <c r="E286" s="3603"/>
      <c r="F286" s="3603"/>
      <c r="G286" s="3603"/>
      <c r="H286" s="3603"/>
      <c r="I286" s="3603"/>
      <c r="J286" s="3603"/>
      <c r="K286" s="3603"/>
      <c r="L286" s="3603"/>
      <c r="M286" s="3603"/>
      <c r="N286" s="3603"/>
      <c r="O286" s="3603"/>
      <c r="P286" s="3603"/>
      <c r="Q286" s="3604"/>
    </row>
    <row r="287" spans="1:32" ht="3" customHeight="1"/>
    <row r="288" spans="1:32" ht="14.1" customHeight="1">
      <c r="A288" s="1384" t="s">
        <v>4100</v>
      </c>
      <c r="B288" s="1384" t="s">
        <v>2663</v>
      </c>
      <c r="C288" s="1384"/>
      <c r="D288" s="1379"/>
      <c r="E288" s="1379"/>
      <c r="F288" s="1379"/>
      <c r="G288" s="1379"/>
      <c r="H288" s="1379"/>
      <c r="I288" s="1379"/>
      <c r="J288" s="1379"/>
      <c r="K288" s="1379"/>
      <c r="L288" s="1379"/>
      <c r="M288" s="1379"/>
      <c r="O288" s="135" t="s">
        <v>1866</v>
      </c>
      <c r="P288" s="3626"/>
      <c r="Q288" s="3606"/>
    </row>
    <row r="289" spans="1:32" s="474" customFormat="1" ht="33" customHeight="1">
      <c r="A289" s="145" t="s">
        <v>1982</v>
      </c>
      <c r="B289" s="3650" t="s">
        <v>4964</v>
      </c>
      <c r="C289" s="3650"/>
      <c r="D289" s="3650"/>
      <c r="E289" s="3650"/>
      <c r="F289" s="3650"/>
      <c r="G289" s="3650"/>
      <c r="H289" s="3650"/>
      <c r="I289" s="3650"/>
      <c r="J289" s="3650"/>
      <c r="K289" s="3650"/>
      <c r="L289" s="3650"/>
      <c r="M289" s="3650"/>
      <c r="N289" s="3650"/>
      <c r="O289" s="166" t="s">
        <v>1982</v>
      </c>
      <c r="P289" s="1422" t="s">
        <v>5309</v>
      </c>
      <c r="Q289" s="1421"/>
      <c r="AE289" s="532"/>
      <c r="AF289" s="532"/>
    </row>
    <row r="290" spans="1:32" s="474" customFormat="1" ht="21.75" customHeight="1">
      <c r="A290" s="145"/>
      <c r="B290" s="3650" t="s">
        <v>2813</v>
      </c>
      <c r="C290" s="3650"/>
      <c r="D290" s="3650"/>
      <c r="E290" s="3650"/>
      <c r="F290" s="3650"/>
      <c r="G290" s="3650"/>
      <c r="H290" s="3650"/>
      <c r="I290" s="3650"/>
      <c r="J290" s="3650"/>
      <c r="K290" s="3650"/>
      <c r="L290" s="3650"/>
      <c r="M290" s="3650"/>
      <c r="N290" s="3650"/>
      <c r="O290" s="166"/>
      <c r="P290" s="1426" t="s">
        <v>5309</v>
      </c>
      <c r="Q290" s="1423"/>
      <c r="AE290" s="532"/>
      <c r="AF290" s="532"/>
    </row>
    <row r="291" spans="1:32" s="27" customFormat="1" ht="11.45" customHeight="1">
      <c r="A291" s="142" t="s">
        <v>1984</v>
      </c>
      <c r="B291" s="197" t="s">
        <v>310</v>
      </c>
      <c r="C291" s="163"/>
      <c r="D291" s="660"/>
      <c r="E291" s="660"/>
      <c r="F291" s="163"/>
      <c r="H291" s="163"/>
      <c r="I291" s="163"/>
      <c r="J291" s="2468" t="s">
        <v>4783</v>
      </c>
      <c r="K291" s="3792" t="s">
        <v>3976</v>
      </c>
      <c r="L291" s="3793"/>
      <c r="M291" s="3793"/>
      <c r="N291" s="3794"/>
      <c r="O291" s="527" t="s">
        <v>1984</v>
      </c>
      <c r="P291" s="2706" t="s">
        <v>5309</v>
      </c>
      <c r="Q291" s="2705"/>
      <c r="R291" s="1179"/>
      <c r="S291" s="1395"/>
    </row>
    <row r="292" spans="1:32" s="27" customFormat="1" ht="11.45" customHeight="1">
      <c r="A292" s="142"/>
      <c r="B292" s="197"/>
      <c r="C292" s="163"/>
      <c r="D292" s="660"/>
      <c r="E292" s="660"/>
      <c r="F292" s="163"/>
      <c r="H292" s="163"/>
      <c r="I292" s="163"/>
      <c r="J292" s="2468" t="s">
        <v>4966</v>
      </c>
      <c r="K292" s="3792" t="s">
        <v>4771</v>
      </c>
      <c r="L292" s="3793"/>
      <c r="M292" s="3793"/>
      <c r="N292" s="3794"/>
      <c r="O292" s="527"/>
      <c r="P292" s="527"/>
      <c r="Q292" s="527"/>
      <c r="R292" s="527"/>
      <c r="S292" s="1395"/>
    </row>
    <row r="293" spans="1:32" s="105" customFormat="1" ht="11.45" customHeight="1">
      <c r="A293" s="42"/>
      <c r="B293" s="144" t="s">
        <v>3753</v>
      </c>
      <c r="C293" s="42"/>
      <c r="D293" s="48"/>
      <c r="E293" s="48"/>
      <c r="F293" s="48"/>
      <c r="G293" s="48"/>
      <c r="K293" s="36"/>
      <c r="M293" s="46"/>
      <c r="N293" s="6"/>
      <c r="O293" s="3"/>
      <c r="P293" s="2409"/>
    </row>
    <row r="294" spans="1:32" s="43" customFormat="1" ht="21.75" customHeight="1">
      <c r="A294" s="3621" t="s">
        <v>5334</v>
      </c>
      <c r="B294" s="3622"/>
      <c r="C294" s="3622"/>
      <c r="D294" s="3622"/>
      <c r="E294" s="3622"/>
      <c r="F294" s="3622"/>
      <c r="G294" s="3622"/>
      <c r="H294" s="3622"/>
      <c r="I294" s="3622"/>
      <c r="J294" s="3622"/>
      <c r="K294" s="3622"/>
      <c r="L294" s="3622"/>
      <c r="M294" s="3622"/>
      <c r="N294" s="3622"/>
      <c r="O294" s="3622"/>
      <c r="P294" s="3622"/>
      <c r="Q294" s="3623"/>
      <c r="R294" s="509" t="s">
        <v>1254</v>
      </c>
    </row>
    <row r="295" spans="1:32" s="43" customFormat="1" ht="11.25" customHeight="1">
      <c r="A295" s="35"/>
      <c r="B295" s="140" t="s">
        <v>1865</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02"/>
      <c r="B296" s="3603"/>
      <c r="C296" s="3603"/>
      <c r="D296" s="3603"/>
      <c r="E296" s="3603"/>
      <c r="F296" s="3603"/>
      <c r="G296" s="3603"/>
      <c r="H296" s="3603"/>
      <c r="I296" s="3603"/>
      <c r="J296" s="3603"/>
      <c r="K296" s="3603"/>
      <c r="L296" s="3603"/>
      <c r="M296" s="3603"/>
      <c r="N296" s="3603"/>
      <c r="O296" s="3603"/>
      <c r="P296" s="3603"/>
      <c r="Q296" s="3604"/>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4101</v>
      </c>
      <c r="B298" s="1384" t="s">
        <v>2664</v>
      </c>
      <c r="C298" s="152"/>
      <c r="D298" s="1382"/>
      <c r="E298" s="1379"/>
      <c r="F298" s="1379"/>
      <c r="G298" s="1379"/>
      <c r="H298" s="1379"/>
      <c r="I298" s="1379"/>
      <c r="J298" s="1379"/>
      <c r="K298" s="1379"/>
      <c r="L298" s="1379"/>
      <c r="M298" s="1379"/>
      <c r="O298" s="135" t="s">
        <v>1866</v>
      </c>
      <c r="P298" s="3626"/>
      <c r="Q298" s="3606"/>
    </row>
    <row r="299" spans="1:32" ht="12.75" customHeight="1">
      <c r="A299" s="14" t="s">
        <v>1982</v>
      </c>
      <c r="B299" s="1384" t="s">
        <v>4120</v>
      </c>
    </row>
    <row r="300" spans="1:32" s="151" customFormat="1" ht="44.25" customHeight="1">
      <c r="A300" s="145"/>
      <c r="B300" s="2579" t="s">
        <v>1737</v>
      </c>
      <c r="C300" s="3650" t="s">
        <v>3909</v>
      </c>
      <c r="D300" s="3650"/>
      <c r="E300" s="3650"/>
      <c r="F300" s="3650"/>
      <c r="G300" s="3650"/>
      <c r="H300" s="3650"/>
      <c r="I300" s="3650"/>
      <c r="J300" s="3650"/>
      <c r="K300" s="3650"/>
      <c r="L300" s="3650"/>
      <c r="M300" s="3650"/>
      <c r="N300" s="3650"/>
      <c r="O300" s="166" t="s">
        <v>2725</v>
      </c>
      <c r="P300" s="1422" t="s">
        <v>2989</v>
      </c>
      <c r="Q300" s="1421"/>
      <c r="AE300" s="531"/>
      <c r="AF300" s="531"/>
    </row>
    <row r="301" spans="1:32" s="474" customFormat="1" ht="12" customHeight="1">
      <c r="A301" s="145"/>
      <c r="B301" s="2579" t="s">
        <v>1738</v>
      </c>
      <c r="C301" s="3650" t="s">
        <v>5205</v>
      </c>
      <c r="D301" s="3650"/>
      <c r="E301" s="3650"/>
      <c r="F301" s="3650"/>
      <c r="G301" s="3650"/>
      <c r="H301" s="3650"/>
      <c r="I301" s="3650"/>
      <c r="J301" s="3650"/>
      <c r="K301" s="3650"/>
      <c r="L301" s="3650"/>
      <c r="M301" s="3650"/>
      <c r="N301" s="3650"/>
      <c r="O301" s="153" t="s">
        <v>1738</v>
      </c>
      <c r="P301" s="633" t="s">
        <v>2989</v>
      </c>
      <c r="Q301" s="620"/>
      <c r="AE301" s="532"/>
      <c r="AF301" s="532"/>
    </row>
    <row r="302" spans="1:32" s="474" customFormat="1" ht="21.75" customHeight="1">
      <c r="A302" s="145"/>
      <c r="B302" s="541" t="s">
        <v>1739</v>
      </c>
      <c r="C302" s="3650" t="s">
        <v>3908</v>
      </c>
      <c r="D302" s="3650"/>
      <c r="E302" s="3650"/>
      <c r="F302" s="3650"/>
      <c r="G302" s="3650"/>
      <c r="H302" s="3650"/>
      <c r="I302" s="3650"/>
      <c r="J302" s="3650"/>
      <c r="K302" s="3650"/>
      <c r="L302" s="3650"/>
      <c r="M302" s="3650"/>
      <c r="N302" s="3650"/>
      <c r="O302" s="166" t="s">
        <v>1739</v>
      </c>
      <c r="P302" s="1447"/>
      <c r="Q302" s="1448"/>
      <c r="AE302" s="532"/>
      <c r="AF302" s="532"/>
    </row>
    <row r="303" spans="1:32" s="96" customFormat="1" ht="12.75" customHeight="1">
      <c r="A303" s="14" t="s">
        <v>1984</v>
      </c>
      <c r="B303" s="1384" t="s">
        <v>3875</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650" t="s">
        <v>3750</v>
      </c>
      <c r="D304" s="3650"/>
      <c r="E304" s="3650"/>
      <c r="F304" s="3650"/>
      <c r="G304" s="3650"/>
      <c r="H304" s="3650"/>
      <c r="I304" s="143"/>
      <c r="J304" s="3802" t="s">
        <v>3793</v>
      </c>
      <c r="K304" s="3803"/>
      <c r="L304" s="3803"/>
      <c r="M304" s="3787" t="s">
        <v>3763</v>
      </c>
      <c r="N304" s="3787"/>
      <c r="AE304" s="533"/>
      <c r="AF304" s="533"/>
    </row>
    <row r="305" spans="1:33" s="325" customFormat="1" ht="10.5" customHeight="1">
      <c r="A305" s="338"/>
      <c r="B305" s="2561"/>
      <c r="C305" s="3650"/>
      <c r="D305" s="3650"/>
      <c r="E305" s="3650"/>
      <c r="F305" s="3650"/>
      <c r="G305" s="3650"/>
      <c r="H305" s="3650"/>
      <c r="I305" s="1376"/>
      <c r="J305" s="3803"/>
      <c r="K305" s="3803"/>
      <c r="L305" s="3803"/>
      <c r="M305" s="36" t="s">
        <v>3764</v>
      </c>
      <c r="N305" s="1385" t="s">
        <v>3792</v>
      </c>
      <c r="P305" s="336"/>
    </row>
    <row r="306" spans="1:33" s="325" customFormat="1" ht="13.35" customHeight="1">
      <c r="A306" s="338"/>
      <c r="B306" s="2561"/>
      <c r="C306" s="3650"/>
      <c r="D306" s="3650"/>
      <c r="E306" s="3650"/>
      <c r="F306" s="3650"/>
      <c r="G306" s="3650"/>
      <c r="H306" s="3650"/>
      <c r="I306" s="52" t="s">
        <v>4121</v>
      </c>
      <c r="K306" s="1173">
        <v>8</v>
      </c>
      <c r="L306" s="1175" t="str">
        <f>IF(K306&lt;M306,"Check!!!","")</f>
        <v/>
      </c>
      <c r="M306" s="1176">
        <f>ROUNDUP('Part VI-Revenues &amp; Expenses'!$O$67*'Part VIII-Threshold Criteria'!N306,0)</f>
        <v>8</v>
      </c>
      <c r="N306" s="2521">
        <f>'DCA Underwriting Assumptions'!$Q$139</f>
        <v>0.05</v>
      </c>
      <c r="O306" s="527" t="s">
        <v>3638</v>
      </c>
      <c r="P306" s="238" t="s">
        <v>2989</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650" t="s">
        <v>3751</v>
      </c>
      <c r="D307" s="3650"/>
      <c r="E307" s="3650"/>
      <c r="F307" s="3650"/>
      <c r="G307" s="3650"/>
      <c r="H307" s="3650"/>
      <c r="I307" s="1008" t="s">
        <v>4122</v>
      </c>
      <c r="J307" s="325"/>
      <c r="K307" s="1173">
        <v>4</v>
      </c>
      <c r="L307" s="1175" t="str">
        <f>IF(K307&lt;M307,"Check!!!","")</f>
        <v/>
      </c>
      <c r="M307" s="1176">
        <f>ROUNDUP(K306*'Part VIII-Threshold Criteria'!N307,0)</f>
        <v>4</v>
      </c>
      <c r="N307" s="2521">
        <f>'DCA Underwriting Assumptions'!$Q$140</f>
        <v>0.4</v>
      </c>
      <c r="O307" s="527" t="s">
        <v>2116</v>
      </c>
      <c r="P307" s="3614" t="s">
        <v>2989</v>
      </c>
      <c r="Q307" s="3612"/>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50"/>
      <c r="D308" s="3650"/>
      <c r="E308" s="3650"/>
      <c r="F308" s="3650"/>
      <c r="G308" s="3650"/>
      <c r="H308" s="3650"/>
      <c r="O308" s="40"/>
      <c r="P308" s="3614"/>
      <c r="Q308" s="3612"/>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1738</v>
      </c>
      <c r="C309" s="3650" t="s">
        <v>3752</v>
      </c>
      <c r="D309" s="3650"/>
      <c r="E309" s="3650"/>
      <c r="F309" s="3650"/>
      <c r="G309" s="3650"/>
      <c r="H309" s="3650"/>
      <c r="I309" s="52" t="s">
        <v>4123</v>
      </c>
      <c r="J309" s="325"/>
      <c r="K309" s="1173">
        <v>4</v>
      </c>
      <c r="L309" s="1175" t="str">
        <f>IF(K309&lt;M309,"Check!!!","")</f>
        <v/>
      </c>
      <c r="M309" s="1176">
        <f>ROUNDUP('Part VI-Revenues &amp; Expenses'!$O$67*'Part VIII-Threshold Criteria'!N309,0)</f>
        <v>4</v>
      </c>
      <c r="N309" s="2521">
        <f>'DCA Underwriting Assumptions'!$Q$141</f>
        <v>0.02</v>
      </c>
      <c r="O309" s="527" t="s">
        <v>1738</v>
      </c>
      <c r="P309" s="239" t="s">
        <v>2989</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50"/>
      <c r="D310" s="3650"/>
      <c r="E310" s="3650"/>
      <c r="F310" s="3650"/>
      <c r="G310" s="3650"/>
      <c r="H310" s="3650"/>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50"/>
      <c r="D311" s="3650"/>
      <c r="E311" s="3650"/>
      <c r="F311" s="3650"/>
      <c r="G311" s="3650"/>
      <c r="H311" s="3650"/>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3876</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10" t="s">
        <v>3640</v>
      </c>
      <c r="C313" s="3610"/>
      <c r="D313" s="3610"/>
      <c r="E313" s="3610"/>
      <c r="F313" s="3610"/>
      <c r="G313" s="3610"/>
      <c r="H313" s="3610"/>
      <c r="I313" s="3610"/>
      <c r="J313" s="3610"/>
      <c r="K313" s="3610"/>
      <c r="L313" s="3610"/>
      <c r="M313" s="3610"/>
      <c r="N313" s="3610"/>
      <c r="O313" s="166" t="s">
        <v>749</v>
      </c>
      <c r="P313" s="1424" t="s">
        <v>2989</v>
      </c>
      <c r="Q313" s="1425"/>
      <c r="AE313" s="533"/>
      <c r="AF313" s="533"/>
    </row>
    <row r="314" spans="1:33" s="96" customFormat="1" ht="11.25" customHeight="1">
      <c r="B314" s="450" t="s">
        <v>3641</v>
      </c>
      <c r="D314" s="450"/>
      <c r="E314" s="450"/>
      <c r="F314" s="450"/>
      <c r="G314" s="450"/>
      <c r="H314" s="450"/>
      <c r="I314" s="450" t="s">
        <v>3762</v>
      </c>
      <c r="J314" s="450"/>
      <c r="K314" s="450"/>
      <c r="L314" s="3799" t="s">
        <v>5322</v>
      </c>
      <c r="M314" s="3800"/>
      <c r="N314" s="3800"/>
      <c r="O314" s="3801"/>
      <c r="P314" s="450"/>
      <c r="Q314" s="450"/>
      <c r="R314" s="450"/>
      <c r="AE314" s="533"/>
      <c r="AF314" s="533"/>
    </row>
    <row r="315" spans="1:33" s="474" customFormat="1" ht="44.25" customHeight="1">
      <c r="B315" s="2579" t="s">
        <v>1737</v>
      </c>
      <c r="C315" s="3650" t="s">
        <v>3639</v>
      </c>
      <c r="D315" s="3650"/>
      <c r="E315" s="3650"/>
      <c r="F315" s="3650"/>
      <c r="G315" s="3650"/>
      <c r="H315" s="3650"/>
      <c r="I315" s="3650"/>
      <c r="J315" s="3650"/>
      <c r="K315" s="3650"/>
      <c r="L315" s="3650"/>
      <c r="M315" s="3650"/>
      <c r="N315" s="3650"/>
      <c r="O315" s="166" t="s">
        <v>3644</v>
      </c>
      <c r="P315" s="1389" t="s">
        <v>2989</v>
      </c>
      <c r="Q315" s="1388"/>
      <c r="AE315" s="532"/>
      <c r="AF315" s="532"/>
    </row>
    <row r="316" spans="1:33" s="474" customFormat="1" ht="34.5" customHeight="1">
      <c r="B316" s="2579" t="s">
        <v>1738</v>
      </c>
      <c r="C316" s="3650" t="s">
        <v>4909</v>
      </c>
      <c r="D316" s="3650"/>
      <c r="E316" s="3650"/>
      <c r="F316" s="3650"/>
      <c r="G316" s="3650"/>
      <c r="H316" s="3650"/>
      <c r="I316" s="3650"/>
      <c r="J316" s="3650"/>
      <c r="K316" s="3650"/>
      <c r="L316" s="3650"/>
      <c r="M316" s="3650"/>
      <c r="N316" s="3650"/>
      <c r="O316" s="166" t="s">
        <v>3645</v>
      </c>
      <c r="P316" s="633" t="s">
        <v>2989</v>
      </c>
      <c r="Q316" s="620"/>
      <c r="AE316" s="532"/>
      <c r="AF316" s="532"/>
    </row>
    <row r="317" spans="1:33" s="474" customFormat="1" ht="22.5" customHeight="1">
      <c r="B317" s="541" t="s">
        <v>1739</v>
      </c>
      <c r="C317" s="3650" t="s">
        <v>3642</v>
      </c>
      <c r="D317" s="3650"/>
      <c r="E317" s="3650"/>
      <c r="F317" s="3650"/>
      <c r="G317" s="3650"/>
      <c r="H317" s="3650"/>
      <c r="I317" s="3650"/>
      <c r="J317" s="3650"/>
      <c r="K317" s="3650"/>
      <c r="L317" s="3650"/>
      <c r="M317" s="3650"/>
      <c r="N317" s="3650"/>
      <c r="O317" s="166" t="s">
        <v>3646</v>
      </c>
      <c r="P317" s="633" t="s">
        <v>2989</v>
      </c>
      <c r="Q317" s="620"/>
      <c r="AE317" s="532"/>
      <c r="AF317" s="532"/>
    </row>
    <row r="318" spans="1:33" s="474" customFormat="1" ht="32.25" customHeight="1">
      <c r="B318" s="541" t="s">
        <v>2364</v>
      </c>
      <c r="C318" s="3650" t="s">
        <v>3643</v>
      </c>
      <c r="D318" s="3650"/>
      <c r="E318" s="3650"/>
      <c r="F318" s="3650"/>
      <c r="G318" s="3650"/>
      <c r="H318" s="3650"/>
      <c r="I318" s="3650"/>
      <c r="J318" s="3650"/>
      <c r="K318" s="3650"/>
      <c r="L318" s="3650"/>
      <c r="M318" s="3650"/>
      <c r="N318" s="3650"/>
      <c r="O318" s="166" t="s">
        <v>3647</v>
      </c>
      <c r="P318" s="1391" t="s">
        <v>2989</v>
      </c>
      <c r="Q318" s="1390"/>
      <c r="AE318" s="532"/>
      <c r="AF318" s="532"/>
    </row>
    <row r="319" spans="1:33" ht="11.25" customHeight="1">
      <c r="B319" s="144" t="s">
        <v>3753</v>
      </c>
      <c r="D319" s="144"/>
      <c r="E319" s="144"/>
      <c r="F319" s="144"/>
      <c r="G319" s="144"/>
      <c r="H319" s="40"/>
      <c r="I319" s="1385"/>
      <c r="J319" s="1385"/>
      <c r="K319" s="1385"/>
      <c r="L319" s="1378"/>
      <c r="M319" s="1378"/>
      <c r="N319" s="1378"/>
      <c r="O319" s="1378"/>
      <c r="P319" s="1378"/>
      <c r="Q319" s="1020"/>
    </row>
    <row r="320" spans="1:33" ht="32.25" customHeight="1">
      <c r="A320" s="3621" t="s">
        <v>5323</v>
      </c>
      <c r="B320" s="3622"/>
      <c r="C320" s="3622"/>
      <c r="D320" s="3622"/>
      <c r="E320" s="3622"/>
      <c r="F320" s="3622"/>
      <c r="G320" s="3622"/>
      <c r="H320" s="3622"/>
      <c r="I320" s="3622"/>
      <c r="J320" s="3622"/>
      <c r="K320" s="3622"/>
      <c r="L320" s="3622"/>
      <c r="M320" s="3622"/>
      <c r="N320" s="3622"/>
      <c r="O320" s="3622"/>
      <c r="P320" s="3622"/>
      <c r="Q320" s="3623"/>
      <c r="R320" s="509" t="s">
        <v>1254</v>
      </c>
      <c r="S320" s="510"/>
      <c r="U320" s="139"/>
      <c r="V320" s="139"/>
      <c r="W320" s="139"/>
      <c r="X320" s="139"/>
      <c r="Y320" s="139"/>
      <c r="Z320" s="139"/>
      <c r="AA320" s="139"/>
      <c r="AB320" s="139"/>
      <c r="AC320" s="139"/>
      <c r="AD320" s="139"/>
      <c r="AE320" s="529"/>
    </row>
    <row r="321" spans="1:256 1523:1523" ht="11.25" customHeight="1">
      <c r="B321" s="140" t="s">
        <v>1865</v>
      </c>
      <c r="C321" s="141"/>
      <c r="D321" s="1379"/>
      <c r="E321" s="1379"/>
      <c r="F321" s="1379"/>
      <c r="G321" s="1379"/>
      <c r="H321" s="1379"/>
      <c r="I321" s="1379"/>
      <c r="J321" s="1379"/>
      <c r="K321" s="1379"/>
      <c r="L321" s="1379"/>
      <c r="M321" s="1379"/>
      <c r="N321" s="1379"/>
      <c r="O321" s="1379"/>
      <c r="P321" s="1379"/>
      <c r="Q321" s="1379"/>
    </row>
    <row r="322" spans="1:256 1523:1523" ht="45.75" customHeight="1">
      <c r="A322" s="3804"/>
      <c r="B322" s="3805"/>
      <c r="C322" s="3805"/>
      <c r="D322" s="3805"/>
      <c r="E322" s="3805"/>
      <c r="F322" s="3805"/>
      <c r="G322" s="3805"/>
      <c r="H322" s="3805"/>
      <c r="I322" s="3805"/>
      <c r="J322" s="3805"/>
      <c r="K322" s="3805"/>
      <c r="L322" s="3805"/>
      <c r="M322" s="3805"/>
      <c r="N322" s="3805"/>
      <c r="O322" s="3805"/>
      <c r="P322" s="3805"/>
      <c r="Q322" s="3806"/>
    </row>
    <row r="323" spans="1:256 1523:1523" ht="14.1" customHeight="1">
      <c r="A323" s="1384" t="s">
        <v>4099</v>
      </c>
      <c r="B323" s="10" t="s">
        <v>2665</v>
      </c>
      <c r="C323" s="10"/>
      <c r="D323" s="10"/>
      <c r="E323" s="10"/>
      <c r="F323" s="10"/>
      <c r="G323" s="10"/>
      <c r="H323" s="1379"/>
      <c r="I323" s="1379"/>
      <c r="J323" s="1379"/>
      <c r="K323" s="1379"/>
      <c r="L323" s="1379"/>
      <c r="M323" s="1379"/>
      <c r="O323" s="135" t="s">
        <v>1866</v>
      </c>
      <c r="P323" s="3807"/>
      <c r="Q323" s="3808"/>
    </row>
    <row r="324" spans="1:256 1523:1523" ht="11.45" customHeight="1">
      <c r="B324" s="148" t="s">
        <v>2251</v>
      </c>
      <c r="P324" s="238" t="s">
        <v>2992</v>
      </c>
      <c r="Q324" s="617"/>
    </row>
    <row r="325" spans="1:256 1523:1523" ht="12" customHeight="1">
      <c r="B325" s="1002" t="s">
        <v>2210</v>
      </c>
      <c r="C325" s="1002"/>
      <c r="D325" s="1002"/>
      <c r="E325" s="1002"/>
      <c r="F325" s="1002"/>
      <c r="G325" s="1002"/>
      <c r="H325" s="1002"/>
      <c r="I325" s="1002"/>
      <c r="J325" s="1002"/>
      <c r="K325" s="1002"/>
      <c r="L325" s="1002"/>
      <c r="P325" s="239" t="s">
        <v>2989</v>
      </c>
      <c r="Q325" s="619"/>
    </row>
    <row r="326" spans="1:256 1523:1523" ht="11.45" customHeight="1">
      <c r="A326" s="145" t="s">
        <v>1982</v>
      </c>
      <c r="B326" s="201" t="s">
        <v>459</v>
      </c>
      <c r="D326" s="1021"/>
      <c r="E326" s="1021"/>
      <c r="F326" s="1021"/>
      <c r="G326" s="1021"/>
      <c r="H326" s="1021"/>
      <c r="I326" s="1021"/>
      <c r="J326" s="1021"/>
      <c r="K326" s="1021"/>
      <c r="L326" s="1021"/>
      <c r="M326" s="1021"/>
      <c r="N326" s="166"/>
    </row>
    <row r="327" spans="1:256 1523:1523" ht="22.5" customHeight="1">
      <c r="B327" s="3650" t="s">
        <v>2880</v>
      </c>
      <c r="C327" s="3650"/>
      <c r="D327" s="3650"/>
      <c r="E327" s="3650"/>
      <c r="F327" s="3650"/>
      <c r="G327" s="3650"/>
      <c r="H327" s="3650"/>
      <c r="I327" s="3650"/>
      <c r="J327" s="3650"/>
      <c r="K327" s="3650"/>
      <c r="L327" s="3650"/>
      <c r="M327" s="3650"/>
      <c r="N327" s="3650"/>
      <c r="O327" s="166" t="s">
        <v>1982</v>
      </c>
      <c r="P327" s="165" t="s">
        <v>2992</v>
      </c>
      <c r="Q327" s="622"/>
    </row>
    <row r="328" spans="1:256 1523:1523" ht="12.6" customHeight="1">
      <c r="A328" s="145" t="s">
        <v>1984</v>
      </c>
      <c r="B328" s="235" t="s">
        <v>460</v>
      </c>
      <c r="D328" s="235"/>
      <c r="E328" s="235"/>
      <c r="F328" s="235"/>
      <c r="G328" s="235"/>
      <c r="H328" s="235"/>
      <c r="I328" s="235"/>
      <c r="J328" s="235"/>
      <c r="K328" s="235"/>
      <c r="L328" s="235"/>
      <c r="M328" s="235"/>
      <c r="O328" s="166" t="s">
        <v>1984</v>
      </c>
      <c r="P328" s="1378"/>
      <c r="Q328" s="1020"/>
    </row>
    <row r="329" spans="1:256 1523:1523" ht="36" customHeight="1">
      <c r="B329" s="1002" t="s">
        <v>1737</v>
      </c>
      <c r="C329" s="234" t="s">
        <v>1131</v>
      </c>
      <c r="E329" s="136"/>
      <c r="F329" s="136"/>
      <c r="G329" s="3815" t="s">
        <v>4922</v>
      </c>
      <c r="H329" s="3816"/>
      <c r="I329" s="3816"/>
      <c r="J329" s="3816"/>
      <c r="K329" s="3816"/>
      <c r="L329" s="3816"/>
      <c r="M329" s="3816"/>
      <c r="N329" s="3817"/>
      <c r="O329" s="237" t="s">
        <v>1737</v>
      </c>
      <c r="P329" s="1389" t="s">
        <v>2989</v>
      </c>
      <c r="Q329" s="1388"/>
      <c r="BFO329" s="151" t="s">
        <v>2726</v>
      </c>
    </row>
    <row r="330" spans="1:256 1523:1523" ht="23.25" customHeight="1">
      <c r="B330" s="1002" t="s">
        <v>1738</v>
      </c>
      <c r="C330" s="3650" t="s">
        <v>1132</v>
      </c>
      <c r="D330" s="3650"/>
      <c r="E330" s="3650"/>
      <c r="F330" s="3809"/>
      <c r="G330" s="3150" t="s">
        <v>3765</v>
      </c>
      <c r="H330" s="3818"/>
      <c r="I330" s="3818"/>
      <c r="J330" s="3818"/>
      <c r="K330" s="3818"/>
      <c r="L330" s="3818"/>
      <c r="M330" s="3818"/>
      <c r="N330" s="3819"/>
      <c r="O330" s="237" t="s">
        <v>1738</v>
      </c>
      <c r="P330" s="1391" t="s">
        <v>2989</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791" t="s">
        <v>2671</v>
      </c>
      <c r="C332" s="3791"/>
      <c r="D332" s="3791"/>
      <c r="E332" s="3791"/>
      <c r="F332" s="3791"/>
      <c r="G332" s="3791"/>
      <c r="H332" s="3791"/>
      <c r="I332" s="3791"/>
      <c r="J332" s="3791"/>
      <c r="K332" s="3791"/>
      <c r="L332" s="3791"/>
      <c r="M332" s="3791"/>
      <c r="N332" s="3791"/>
      <c r="O332" s="507" t="s">
        <v>749</v>
      </c>
      <c r="P332" s="1378"/>
      <c r="Q332" s="1020"/>
      <c r="AE332" s="530"/>
      <c r="AF332" s="530"/>
    </row>
    <row r="333" spans="1:256 1523:1523" s="136" customFormat="1" ht="11.25" customHeight="1">
      <c r="A333" s="147"/>
      <c r="B333" s="1002" t="s">
        <v>1737</v>
      </c>
      <c r="C333" s="3795"/>
      <c r="D333" s="3796"/>
      <c r="E333" s="3796"/>
      <c r="F333" s="3796"/>
      <c r="G333" s="3796"/>
      <c r="H333" s="3796"/>
      <c r="I333" s="3796"/>
      <c r="J333" s="3796"/>
      <c r="K333" s="3796"/>
      <c r="L333" s="3796"/>
      <c r="M333" s="3796"/>
      <c r="N333" s="3797"/>
      <c r="O333" s="237" t="s">
        <v>1737</v>
      </c>
      <c r="P333" s="1389"/>
      <c r="Q333" s="1388"/>
      <c r="AE333" s="530"/>
      <c r="AF333" s="530"/>
    </row>
    <row r="334" spans="1:256 1523:1523" s="136" customFormat="1" ht="11.25" customHeight="1">
      <c r="A334" s="147"/>
      <c r="B334" s="1002" t="s">
        <v>1738</v>
      </c>
      <c r="C334" s="3759"/>
      <c r="D334" s="3760"/>
      <c r="E334" s="3760"/>
      <c r="F334" s="3760"/>
      <c r="G334" s="3760"/>
      <c r="H334" s="3760"/>
      <c r="I334" s="3760"/>
      <c r="J334" s="3760"/>
      <c r="K334" s="3760"/>
      <c r="L334" s="3760"/>
      <c r="M334" s="3760"/>
      <c r="N334" s="3761"/>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3753</v>
      </c>
      <c r="D336" s="144"/>
      <c r="E336" s="144"/>
      <c r="F336" s="144"/>
      <c r="G336" s="144"/>
      <c r="H336" s="40"/>
      <c r="I336" s="1385"/>
      <c r="J336" s="1385"/>
      <c r="K336" s="1385"/>
      <c r="L336" s="1378"/>
      <c r="M336" s="1378"/>
      <c r="N336" s="1378"/>
      <c r="O336" s="1378"/>
      <c r="P336" s="1378"/>
      <c r="Q336" s="1020"/>
    </row>
    <row r="337" spans="1:31" ht="11.45" customHeight="1">
      <c r="A337" s="3621" t="s">
        <v>5324</v>
      </c>
      <c r="B337" s="3622"/>
      <c r="C337" s="3622"/>
      <c r="D337" s="3622"/>
      <c r="E337" s="3622"/>
      <c r="F337" s="3622"/>
      <c r="G337" s="3622"/>
      <c r="H337" s="3622"/>
      <c r="I337" s="3622"/>
      <c r="J337" s="3622"/>
      <c r="K337" s="3622"/>
      <c r="L337" s="3622"/>
      <c r="M337" s="3622"/>
      <c r="N337" s="3622"/>
      <c r="O337" s="3622"/>
      <c r="P337" s="3622"/>
      <c r="Q337" s="3623"/>
      <c r="R337" s="528" t="s">
        <v>1254</v>
      </c>
      <c r="S337" s="125"/>
      <c r="U337" s="139"/>
      <c r="V337" s="139"/>
      <c r="W337" s="139"/>
      <c r="X337" s="139"/>
      <c r="Y337" s="139"/>
      <c r="Z337" s="139"/>
      <c r="AA337" s="139"/>
      <c r="AB337" s="139"/>
      <c r="AC337" s="139"/>
      <c r="AD337" s="139"/>
      <c r="AE337" s="529"/>
    </row>
    <row r="338" spans="1:31" ht="11.25" customHeight="1">
      <c r="B338" s="140" t="s">
        <v>1865</v>
      </c>
      <c r="C338" s="141"/>
      <c r="D338" s="1379"/>
      <c r="E338" s="1379"/>
      <c r="F338" s="1379"/>
      <c r="G338" s="1379"/>
      <c r="H338" s="1379"/>
      <c r="I338" s="1379"/>
      <c r="J338" s="1379"/>
      <c r="K338" s="1379"/>
      <c r="L338" s="1379"/>
      <c r="M338" s="1379"/>
      <c r="N338" s="1379"/>
      <c r="O338" s="1379"/>
      <c r="P338" s="1379"/>
      <c r="Q338" s="1379"/>
    </row>
    <row r="339" spans="1:31" ht="11.45" customHeight="1">
      <c r="A339" s="3602"/>
      <c r="B339" s="3603"/>
      <c r="C339" s="3603"/>
      <c r="D339" s="3603"/>
      <c r="E339" s="3603"/>
      <c r="F339" s="3603"/>
      <c r="G339" s="3603"/>
      <c r="H339" s="3603"/>
      <c r="I339" s="3603"/>
      <c r="J339" s="3603"/>
      <c r="K339" s="3603"/>
      <c r="L339" s="3603"/>
      <c r="M339" s="3603"/>
      <c r="N339" s="3603"/>
      <c r="O339" s="3603"/>
      <c r="P339" s="3603"/>
      <c r="Q339" s="3604"/>
    </row>
    <row r="340" spans="1:31" ht="14.1" customHeight="1">
      <c r="A340" s="1384" t="s">
        <v>4102</v>
      </c>
      <c r="B340" s="1384" t="s">
        <v>4140</v>
      </c>
      <c r="C340" s="1384"/>
      <c r="D340" s="1379"/>
      <c r="E340" s="1379"/>
      <c r="F340" s="1379"/>
      <c r="G340" s="1379"/>
      <c r="H340" s="1379"/>
      <c r="O340" s="135" t="s">
        <v>1866</v>
      </c>
      <c r="P340" s="3626"/>
      <c r="Q340" s="3606"/>
    </row>
    <row r="341" spans="1:31" ht="11.45" customHeight="1">
      <c r="A341" s="47" t="s">
        <v>1982</v>
      </c>
      <c r="B341" s="55" t="s">
        <v>4996</v>
      </c>
      <c r="O341" s="166" t="s">
        <v>1982</v>
      </c>
      <c r="P341" s="238" t="s">
        <v>2989</v>
      </c>
      <c r="Q341" s="617"/>
    </row>
    <row r="342" spans="1:31" ht="11.45" customHeight="1">
      <c r="A342" s="145" t="s">
        <v>1984</v>
      </c>
      <c r="B342" s="55" t="s">
        <v>4088</v>
      </c>
      <c r="O342" s="166" t="s">
        <v>1984</v>
      </c>
      <c r="P342" s="422" t="s">
        <v>2989</v>
      </c>
      <c r="Q342" s="618"/>
    </row>
    <row r="343" spans="1:31" ht="11.45" customHeight="1">
      <c r="A343" s="145" t="s">
        <v>749</v>
      </c>
      <c r="B343" s="148" t="s">
        <v>2349</v>
      </c>
      <c r="O343" s="166" t="s">
        <v>749</v>
      </c>
      <c r="P343" s="422" t="s">
        <v>2992</v>
      </c>
      <c r="Q343" s="618"/>
    </row>
    <row r="344" spans="1:31" ht="11.45" customHeight="1">
      <c r="A344" s="47" t="s">
        <v>2114</v>
      </c>
      <c r="B344" s="55" t="s">
        <v>3841</v>
      </c>
      <c r="O344" s="527" t="s">
        <v>2114</v>
      </c>
      <c r="P344" s="239" t="s">
        <v>2992</v>
      </c>
      <c r="Q344" s="619"/>
    </row>
    <row r="345" spans="1:31" ht="11.45" customHeight="1">
      <c r="A345" s="145" t="s">
        <v>1735</v>
      </c>
      <c r="B345" s="55" t="s">
        <v>2883</v>
      </c>
      <c r="N345" s="166" t="s">
        <v>1735</v>
      </c>
      <c r="O345" s="3788" t="s">
        <v>3835</v>
      </c>
      <c r="P345" s="3789"/>
      <c r="Q345" s="3790"/>
    </row>
    <row r="346" spans="1:31" ht="11.45" customHeight="1">
      <c r="A346" s="145" t="s">
        <v>1736</v>
      </c>
      <c r="B346" s="470" t="s">
        <v>2350</v>
      </c>
      <c r="N346" s="166" t="s">
        <v>1736</v>
      </c>
      <c r="O346" s="3812" t="s">
        <v>2884</v>
      </c>
      <c r="P346" s="3813"/>
      <c r="Q346" s="3814"/>
    </row>
    <row r="347" spans="1:31" ht="11.25" customHeight="1">
      <c r="B347" s="144" t="s">
        <v>3753</v>
      </c>
      <c r="D347" s="144"/>
      <c r="E347" s="144"/>
      <c r="F347" s="144"/>
      <c r="G347" s="144"/>
      <c r="H347" s="40"/>
      <c r="I347" s="1385"/>
      <c r="J347" s="1385"/>
      <c r="K347" s="1385"/>
      <c r="L347" s="1378"/>
      <c r="M347" s="1378"/>
      <c r="N347" s="1378"/>
      <c r="O347" s="1378"/>
      <c r="P347" s="1378"/>
      <c r="Q347" s="1020"/>
    </row>
    <row r="348" spans="1:31" ht="13.35" customHeight="1">
      <c r="A348" s="3621" t="s">
        <v>5325</v>
      </c>
      <c r="B348" s="3622"/>
      <c r="C348" s="3622"/>
      <c r="D348" s="3622"/>
      <c r="E348" s="3622"/>
      <c r="F348" s="3622"/>
      <c r="G348" s="3622"/>
      <c r="H348" s="3622"/>
      <c r="I348" s="3622"/>
      <c r="J348" s="3622"/>
      <c r="K348" s="3622"/>
      <c r="L348" s="3622"/>
      <c r="M348" s="3622"/>
      <c r="N348" s="3622"/>
      <c r="O348" s="3622"/>
      <c r="P348" s="3622"/>
      <c r="Q348" s="3623"/>
      <c r="R348" s="509" t="s">
        <v>1254</v>
      </c>
      <c r="S348" s="510"/>
      <c r="U348" s="139"/>
      <c r="V348" s="139"/>
      <c r="W348" s="139"/>
      <c r="X348" s="139"/>
      <c r="Y348" s="139"/>
      <c r="Z348" s="139"/>
      <c r="AA348" s="139"/>
      <c r="AB348" s="139"/>
      <c r="AC348" s="139"/>
      <c r="AD348" s="139"/>
      <c r="AE348" s="529"/>
    </row>
    <row r="349" spans="1:31" ht="11.25" customHeight="1">
      <c r="B349" s="140" t="s">
        <v>1865</v>
      </c>
      <c r="C349" s="141"/>
      <c r="D349" s="1379"/>
      <c r="E349" s="1379"/>
      <c r="F349" s="1379"/>
      <c r="G349" s="1379"/>
      <c r="H349" s="1379"/>
      <c r="I349" s="1379"/>
      <c r="J349" s="1379"/>
      <c r="K349" s="1379"/>
      <c r="L349" s="1379"/>
      <c r="M349" s="1379"/>
      <c r="N349" s="1379"/>
      <c r="O349" s="1379"/>
      <c r="P349" s="1379"/>
      <c r="Q349" s="1379"/>
    </row>
    <row r="350" spans="1:31" ht="13.35" customHeight="1">
      <c r="A350" s="3602"/>
      <c r="B350" s="3603"/>
      <c r="C350" s="3603"/>
      <c r="D350" s="3603"/>
      <c r="E350" s="3603"/>
      <c r="F350" s="3603"/>
      <c r="G350" s="3603"/>
      <c r="H350" s="3603"/>
      <c r="I350" s="3603"/>
      <c r="J350" s="3603"/>
      <c r="K350" s="3603"/>
      <c r="L350" s="3603"/>
      <c r="M350" s="3603"/>
      <c r="N350" s="3603"/>
      <c r="O350" s="3603"/>
      <c r="P350" s="3603"/>
      <c r="Q350" s="3604"/>
    </row>
    <row r="351" spans="1:31" ht="14.1" customHeight="1">
      <c r="A351" s="1384" t="s">
        <v>4103</v>
      </c>
      <c r="B351" s="4" t="s">
        <v>2666</v>
      </c>
      <c r="C351" s="4"/>
      <c r="D351" s="88"/>
      <c r="E351" s="1379"/>
      <c r="F351" s="1379"/>
      <c r="G351" s="1379"/>
      <c r="H351" s="1379"/>
      <c r="I351" s="1379"/>
      <c r="J351" s="1379"/>
      <c r="K351" s="1379"/>
      <c r="L351" s="1379"/>
      <c r="M351" s="1379"/>
      <c r="O351" s="135" t="s">
        <v>1866</v>
      </c>
      <c r="P351" s="3626"/>
      <c r="Q351" s="3606"/>
    </row>
    <row r="352" spans="1:31" ht="12.75" customHeight="1">
      <c r="A352" s="145" t="s">
        <v>1982</v>
      </c>
      <c r="B352" s="143" t="s">
        <v>3656</v>
      </c>
      <c r="D352" s="143"/>
      <c r="E352" s="143"/>
      <c r="F352" s="143"/>
      <c r="G352" s="143"/>
      <c r="H352" s="143"/>
      <c r="I352" s="143"/>
      <c r="J352" s="143"/>
      <c r="K352" s="143"/>
      <c r="L352" s="143"/>
      <c r="M352" s="143"/>
      <c r="N352" s="143"/>
      <c r="O352" s="166" t="s">
        <v>1982</v>
      </c>
      <c r="P352" s="238" t="s">
        <v>2989</v>
      </c>
      <c r="Q352" s="617"/>
    </row>
    <row r="353" spans="1:32" ht="12.75" customHeight="1">
      <c r="A353" s="145" t="s">
        <v>1984</v>
      </c>
      <c r="B353" s="143" t="s">
        <v>3850</v>
      </c>
      <c r="D353" s="143"/>
      <c r="E353" s="143"/>
      <c r="F353" s="143"/>
      <c r="G353" s="143"/>
      <c r="H353" s="143"/>
      <c r="I353" s="143"/>
      <c r="J353" s="143"/>
      <c r="K353" s="143"/>
      <c r="L353" s="143"/>
      <c r="M353" s="143"/>
      <c r="N353" s="143"/>
      <c r="O353" s="166" t="s">
        <v>1984</v>
      </c>
      <c r="P353" s="422" t="s">
        <v>2992</v>
      </c>
      <c r="Q353" s="618"/>
    </row>
    <row r="354" spans="1:32" ht="22.5" customHeight="1">
      <c r="A354" s="145" t="s">
        <v>749</v>
      </c>
      <c r="B354" s="3650" t="s">
        <v>4089</v>
      </c>
      <c r="C354" s="3650"/>
      <c r="D354" s="3650"/>
      <c r="E354" s="3650"/>
      <c r="F354" s="3650"/>
      <c r="G354" s="3650"/>
      <c r="H354" s="3650"/>
      <c r="I354" s="3650"/>
      <c r="J354" s="3650"/>
      <c r="K354" s="3650"/>
      <c r="L354" s="3650"/>
      <c r="M354" s="3650"/>
      <c r="N354" s="3650"/>
      <c r="O354" s="166" t="s">
        <v>749</v>
      </c>
      <c r="P354" s="239" t="s">
        <v>2989</v>
      </c>
      <c r="Q354" s="619"/>
    </row>
    <row r="355" spans="1:32" ht="11.25" customHeight="1">
      <c r="B355" s="144" t="s">
        <v>3753</v>
      </c>
      <c r="D355" s="144"/>
      <c r="E355" s="144"/>
      <c r="F355" s="144"/>
      <c r="G355" s="144"/>
      <c r="H355" s="40"/>
      <c r="I355" s="1385"/>
      <c r="J355" s="1385"/>
      <c r="K355" s="1385"/>
      <c r="L355" s="1378"/>
      <c r="M355" s="1378"/>
      <c r="N355" s="1378"/>
      <c r="O355" s="1378"/>
      <c r="P355" s="1378"/>
      <c r="Q355" s="1020"/>
    </row>
    <row r="356" spans="1:32" ht="11.45" customHeight="1">
      <c r="A356" s="3621" t="s">
        <v>5326</v>
      </c>
      <c r="B356" s="3622"/>
      <c r="C356" s="3622"/>
      <c r="D356" s="3622"/>
      <c r="E356" s="3622"/>
      <c r="F356" s="3622"/>
      <c r="G356" s="3622"/>
      <c r="H356" s="3622"/>
      <c r="I356" s="3622"/>
      <c r="J356" s="3622"/>
      <c r="K356" s="3622"/>
      <c r="L356" s="3622"/>
      <c r="M356" s="3622"/>
      <c r="N356" s="3622"/>
      <c r="O356" s="3622"/>
      <c r="P356" s="3622"/>
      <c r="Q356" s="3623"/>
      <c r="U356" s="139"/>
      <c r="V356" s="139"/>
      <c r="W356" s="139"/>
      <c r="X356" s="139"/>
      <c r="Y356" s="139"/>
      <c r="Z356" s="139"/>
      <c r="AA356" s="139"/>
      <c r="AB356" s="139"/>
      <c r="AC356" s="139"/>
      <c r="AD356" s="139"/>
      <c r="AE356" s="529"/>
    </row>
    <row r="357" spans="1:32" ht="11.25" customHeight="1">
      <c r="B357" s="140" t="s">
        <v>1865</v>
      </c>
      <c r="C357" s="141"/>
      <c r="D357" s="1379"/>
      <c r="E357" s="1379"/>
      <c r="F357" s="1379"/>
      <c r="G357" s="1379"/>
      <c r="H357" s="1379"/>
      <c r="I357" s="1379"/>
      <c r="J357" s="1379"/>
      <c r="K357" s="1379"/>
      <c r="L357" s="1379"/>
      <c r="M357" s="1379"/>
      <c r="N357" s="1379"/>
      <c r="O357" s="1379"/>
      <c r="P357" s="1379"/>
      <c r="Q357" s="1379"/>
    </row>
    <row r="358" spans="1:32" ht="11.45" customHeight="1">
      <c r="A358" s="3602"/>
      <c r="B358" s="3603"/>
      <c r="C358" s="3603"/>
      <c r="D358" s="3603"/>
      <c r="E358" s="3603"/>
      <c r="F358" s="3603"/>
      <c r="G358" s="3603"/>
      <c r="H358" s="3603"/>
      <c r="I358" s="3603"/>
      <c r="J358" s="3603"/>
      <c r="K358" s="3603"/>
      <c r="L358" s="3603"/>
      <c r="M358" s="3603"/>
      <c r="N358" s="3603"/>
      <c r="O358" s="3603"/>
      <c r="P358" s="3603"/>
      <c r="Q358" s="3604"/>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4106</v>
      </c>
      <c r="B360" s="4" t="s">
        <v>4079</v>
      </c>
      <c r="C360" s="4"/>
      <c r="D360" s="4"/>
      <c r="E360" s="4"/>
      <c r="F360" s="4"/>
      <c r="G360" s="4"/>
      <c r="H360" s="1379"/>
      <c r="I360" s="1379"/>
      <c r="J360" s="1379"/>
      <c r="K360" s="1379"/>
      <c r="L360" s="1379"/>
      <c r="M360" s="1379"/>
      <c r="O360" s="135" t="s">
        <v>1866</v>
      </c>
      <c r="P360" s="3605"/>
      <c r="Q360" s="3606"/>
    </row>
    <row r="361" spans="1:32" ht="10.5" customHeight="1">
      <c r="A361" s="47" t="s">
        <v>1982</v>
      </c>
      <c r="B361" s="138" t="s">
        <v>4080</v>
      </c>
      <c r="D361" s="154"/>
      <c r="E361" s="154"/>
      <c r="F361" s="154"/>
      <c r="G361" s="154"/>
      <c r="H361" s="527" t="s">
        <v>1982</v>
      </c>
      <c r="I361" s="3607"/>
      <c r="J361" s="3608"/>
      <c r="K361" s="3608"/>
      <c r="L361" s="3608"/>
      <c r="M361" s="3608"/>
      <c r="N361" s="3608"/>
      <c r="O361" s="3608"/>
      <c r="P361" s="3609"/>
      <c r="Q361" s="615"/>
    </row>
    <row r="362" spans="1:32" ht="10.5" customHeight="1">
      <c r="A362" s="145" t="s">
        <v>1984</v>
      </c>
      <c r="B362" s="138" t="s">
        <v>4081</v>
      </c>
      <c r="D362" s="154"/>
      <c r="E362" s="154"/>
      <c r="F362" s="154"/>
      <c r="G362" s="154"/>
      <c r="H362" s="166" t="s">
        <v>1984</v>
      </c>
      <c r="I362" s="3607"/>
      <c r="J362" s="3608"/>
      <c r="K362" s="3608"/>
      <c r="L362" s="3608"/>
      <c r="M362" s="3608"/>
      <c r="N362" s="3608"/>
      <c r="O362" s="3608"/>
      <c r="P362" s="3609"/>
      <c r="Q362" s="615"/>
    </row>
    <row r="363" spans="1:32" ht="21.75" customHeight="1">
      <c r="A363" s="145" t="s">
        <v>749</v>
      </c>
      <c r="B363" s="3798" t="s">
        <v>4071</v>
      </c>
      <c r="C363" s="3798"/>
      <c r="D363" s="3798"/>
      <c r="E363" s="3798"/>
      <c r="F363" s="3798"/>
      <c r="G363" s="3798"/>
      <c r="H363" s="3798"/>
      <c r="I363" s="3798"/>
      <c r="J363" s="3798"/>
      <c r="K363" s="3798"/>
      <c r="L363" s="3798"/>
      <c r="M363" s="3798"/>
      <c r="N363" s="3798"/>
      <c r="O363" s="166" t="s">
        <v>749</v>
      </c>
      <c r="P363" s="1265"/>
      <c r="Q363" s="1421"/>
    </row>
    <row r="364" spans="1:32" ht="21.75" customHeight="1">
      <c r="A364" s="145" t="s">
        <v>2114</v>
      </c>
      <c r="B364" s="3650" t="s">
        <v>4072</v>
      </c>
      <c r="C364" s="3650"/>
      <c r="D364" s="3650"/>
      <c r="E364" s="3650"/>
      <c r="F364" s="3650"/>
      <c r="G364" s="3650"/>
      <c r="H364" s="3650"/>
      <c r="I364" s="3650"/>
      <c r="J364" s="3650"/>
      <c r="K364" s="3650"/>
      <c r="L364" s="3650"/>
      <c r="M364" s="3650"/>
      <c r="N364" s="3650"/>
      <c r="O364" s="527" t="s">
        <v>2114</v>
      </c>
      <c r="P364" s="633"/>
      <c r="Q364" s="620"/>
    </row>
    <row r="365" spans="1:32" ht="10.5" customHeight="1">
      <c r="A365" s="145" t="s">
        <v>1735</v>
      </c>
      <c r="B365" s="52" t="s">
        <v>4073</v>
      </c>
      <c r="D365" s="52"/>
      <c r="E365" s="52"/>
      <c r="F365" s="52"/>
      <c r="G365" s="52"/>
      <c r="H365" s="52"/>
      <c r="I365" s="52"/>
      <c r="J365" s="52"/>
      <c r="K365" s="52"/>
      <c r="L365" s="52"/>
      <c r="M365" s="52"/>
      <c r="O365" s="166" t="s">
        <v>1735</v>
      </c>
      <c r="P365" s="422"/>
      <c r="Q365" s="618"/>
    </row>
    <row r="366" spans="1:32" s="136" customFormat="1" ht="21.75" customHeight="1">
      <c r="A366" s="145" t="s">
        <v>1736</v>
      </c>
      <c r="B366" s="3650" t="s">
        <v>4074</v>
      </c>
      <c r="C366" s="3650"/>
      <c r="D366" s="3650"/>
      <c r="E366" s="3650"/>
      <c r="F366" s="3650"/>
      <c r="G366" s="3650"/>
      <c r="H366" s="3650"/>
      <c r="I366" s="3650"/>
      <c r="J366" s="3650"/>
      <c r="K366" s="3650"/>
      <c r="L366" s="3650"/>
      <c r="M366" s="3650"/>
      <c r="N366" s="3650"/>
      <c r="O366" s="166" t="s">
        <v>1736</v>
      </c>
      <c r="P366" s="1003"/>
      <c r="Q366" s="1004"/>
      <c r="AE366" s="530"/>
      <c r="AF366" s="530"/>
    </row>
    <row r="367" spans="1:32" s="136" customFormat="1" ht="10.5" customHeight="1">
      <c r="A367" s="145" t="s">
        <v>1946</v>
      </c>
      <c r="B367" s="143" t="s">
        <v>4075</v>
      </c>
      <c r="D367" s="1022"/>
      <c r="E367" s="1022"/>
      <c r="F367" s="1022"/>
      <c r="G367" s="1022"/>
      <c r="H367" s="1022"/>
      <c r="I367" s="1022"/>
      <c r="J367" s="1022"/>
      <c r="K367" s="1022"/>
      <c r="L367" s="1022"/>
      <c r="M367" s="1022"/>
      <c r="N367" s="1022"/>
      <c r="O367" s="166" t="s">
        <v>1946</v>
      </c>
      <c r="P367" s="1422"/>
      <c r="Q367" s="1388"/>
      <c r="AE367" s="530"/>
      <c r="AF367" s="530"/>
    </row>
    <row r="368" spans="1:32" s="136" customFormat="1" ht="10.5" customHeight="1">
      <c r="C368" s="1002" t="s">
        <v>4995</v>
      </c>
      <c r="E368" s="1379"/>
      <c r="F368" s="1379"/>
      <c r="G368" s="1379"/>
      <c r="H368" s="1379"/>
      <c r="I368" s="1379"/>
      <c r="J368" s="1379"/>
      <c r="K368" s="1379"/>
      <c r="L368" s="1379"/>
      <c r="M368" s="1379"/>
      <c r="N368" s="1379"/>
      <c r="P368" s="1447"/>
      <c r="Q368" s="1390"/>
      <c r="AE368" s="530"/>
      <c r="AF368" s="530"/>
    </row>
    <row r="369" spans="1:32" ht="21.75" customHeight="1">
      <c r="A369" s="145" t="s">
        <v>3369</v>
      </c>
      <c r="B369" s="3650" t="s">
        <v>4076</v>
      </c>
      <c r="C369" s="3650"/>
      <c r="D369" s="3650"/>
      <c r="E369" s="3650"/>
      <c r="F369" s="3650"/>
      <c r="G369" s="3650"/>
      <c r="H369" s="3650"/>
      <c r="I369" s="3650"/>
      <c r="J369" s="3650"/>
      <c r="K369" s="3650"/>
      <c r="L369" s="3650"/>
      <c r="M369" s="3650"/>
      <c r="N369" s="3650"/>
      <c r="O369" s="166" t="s">
        <v>3369</v>
      </c>
      <c r="P369" s="1422"/>
      <c r="Q369" s="1388"/>
    </row>
    <row r="370" spans="1:32" ht="33" customHeight="1">
      <c r="A370" s="145" t="s">
        <v>616</v>
      </c>
      <c r="B370" s="3650" t="s">
        <v>4077</v>
      </c>
      <c r="C370" s="3650"/>
      <c r="D370" s="3650"/>
      <c r="E370" s="3650"/>
      <c r="F370" s="3650"/>
      <c r="G370" s="3650"/>
      <c r="H370" s="3650"/>
      <c r="I370" s="3650"/>
      <c r="J370" s="3650"/>
      <c r="K370" s="3650"/>
      <c r="L370" s="3650"/>
      <c r="M370" s="3650"/>
      <c r="N370" s="3650"/>
      <c r="O370" s="166" t="s">
        <v>616</v>
      </c>
      <c r="P370" s="1447"/>
      <c r="Q370" s="1390"/>
    </row>
    <row r="371" spans="1:32" ht="10.5" customHeight="1">
      <c r="B371" s="144" t="s">
        <v>3753</v>
      </c>
      <c r="D371" s="144"/>
      <c r="E371" s="144"/>
      <c r="F371" s="144"/>
      <c r="G371" s="144"/>
      <c r="H371" s="40"/>
      <c r="I371" s="1385"/>
      <c r="J371" s="1385"/>
      <c r="K371" s="1385"/>
      <c r="L371" s="1378"/>
      <c r="M371" s="1378"/>
      <c r="N371" s="1378"/>
      <c r="O371" s="1378"/>
      <c r="P371" s="1378"/>
      <c r="Q371" s="1020"/>
    </row>
    <row r="372" spans="1:32" ht="31.5" customHeight="1">
      <c r="A372" s="3621" t="s">
        <v>970</v>
      </c>
      <c r="B372" s="3622"/>
      <c r="C372" s="3622"/>
      <c r="D372" s="3622"/>
      <c r="E372" s="3622"/>
      <c r="F372" s="3622"/>
      <c r="G372" s="3622"/>
      <c r="H372" s="3622"/>
      <c r="I372" s="3622"/>
      <c r="J372" s="3622"/>
      <c r="K372" s="3622"/>
      <c r="L372" s="3622"/>
      <c r="M372" s="3622"/>
      <c r="N372" s="3622"/>
      <c r="O372" s="3622"/>
      <c r="P372" s="3622"/>
      <c r="Q372" s="3623"/>
      <c r="U372" s="139"/>
      <c r="V372" s="139"/>
      <c r="W372" s="139"/>
      <c r="X372" s="139"/>
      <c r="Y372" s="139"/>
      <c r="Z372" s="139"/>
      <c r="AA372" s="139"/>
      <c r="AB372" s="139"/>
      <c r="AC372" s="139"/>
      <c r="AD372" s="139"/>
      <c r="AE372" s="529"/>
    </row>
    <row r="373" spans="1:32" ht="10.5" customHeight="1">
      <c r="B373" s="140" t="s">
        <v>1865</v>
      </c>
      <c r="C373" s="141"/>
      <c r="D373" s="1379"/>
      <c r="E373" s="1379"/>
      <c r="F373" s="1379"/>
      <c r="G373" s="1379"/>
      <c r="H373" s="1379"/>
      <c r="I373" s="1379"/>
      <c r="J373" s="1379"/>
      <c r="K373" s="1379"/>
      <c r="L373" s="1379"/>
      <c r="M373" s="1379"/>
      <c r="N373" s="1379"/>
      <c r="O373" s="1379"/>
      <c r="P373" s="1379"/>
      <c r="Q373" s="1379"/>
    </row>
    <row r="374" spans="1:32" ht="23.25" customHeight="1">
      <c r="A374" s="3602"/>
      <c r="B374" s="3603"/>
      <c r="C374" s="3603"/>
      <c r="D374" s="3603"/>
      <c r="E374" s="3603"/>
      <c r="F374" s="3603"/>
      <c r="G374" s="3603"/>
      <c r="H374" s="3603"/>
      <c r="I374" s="3603"/>
      <c r="J374" s="3603"/>
      <c r="K374" s="3603"/>
      <c r="L374" s="3603"/>
      <c r="M374" s="3603"/>
      <c r="N374" s="3603"/>
      <c r="O374" s="3603"/>
      <c r="P374" s="3603"/>
      <c r="Q374" s="3604"/>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4107</v>
      </c>
      <c r="B376" s="4" t="s">
        <v>3913</v>
      </c>
      <c r="C376" s="4"/>
      <c r="D376" s="4"/>
      <c r="E376" s="4"/>
      <c r="F376" s="4"/>
      <c r="G376" s="4"/>
      <c r="H376" s="1379"/>
      <c r="I376" s="1379"/>
      <c r="J376" s="1379"/>
      <c r="O376" s="135" t="s">
        <v>1866</v>
      </c>
      <c r="P376" s="3626"/>
      <c r="Q376" s="3606"/>
    </row>
    <row r="377" spans="1:32" s="42" customFormat="1" ht="10.5" customHeight="1">
      <c r="A377" s="47" t="s">
        <v>1982</v>
      </c>
      <c r="B377" s="719" t="s">
        <v>3915</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625" t="s">
        <v>4921</v>
      </c>
      <c r="D378" s="3625"/>
      <c r="E378" s="3625"/>
      <c r="F378" s="3625"/>
      <c r="G378" s="50"/>
      <c r="H378" s="36" t="s">
        <v>617</v>
      </c>
      <c r="J378" s="3834"/>
      <c r="K378" s="3835"/>
      <c r="L378" s="3835"/>
      <c r="M378" s="3836"/>
      <c r="N378" s="3733" t="s">
        <v>3914</v>
      </c>
      <c r="O378" s="3642"/>
      <c r="P378" s="3822"/>
      <c r="Q378" s="3823"/>
      <c r="AE378" s="50"/>
      <c r="AF378" s="50"/>
    </row>
    <row r="379" spans="1:32" s="42" customFormat="1" ht="11.25" customHeight="1">
      <c r="A379" s="47"/>
      <c r="B379" s="40"/>
      <c r="C379" s="2498"/>
      <c r="D379" s="2498"/>
      <c r="E379" s="2498"/>
      <c r="F379" s="2498"/>
      <c r="G379" s="2498"/>
      <c r="H379" s="40" t="s">
        <v>5206</v>
      </c>
      <c r="I379" s="2498"/>
      <c r="J379" s="3607"/>
      <c r="K379" s="3608"/>
      <c r="L379" s="3608"/>
      <c r="M379" s="3608"/>
      <c r="N379" s="3608"/>
      <c r="O379" s="3608"/>
      <c r="P379" s="3608"/>
      <c r="Q379" s="3609"/>
      <c r="AE379" s="50"/>
      <c r="AF379" s="50"/>
    </row>
    <row r="380" spans="1:32" s="42" customFormat="1" ht="11.25" customHeight="1">
      <c r="B380" s="40" t="s">
        <v>1738</v>
      </c>
      <c r="C380" s="52" t="s">
        <v>3916</v>
      </c>
      <c r="J380" s="3826"/>
      <c r="K380" s="3827"/>
      <c r="O380" s="527"/>
      <c r="AE380" s="50"/>
      <c r="AF380" s="50"/>
    </row>
    <row r="381" spans="1:32" s="42" customFormat="1" ht="11.25" customHeight="1">
      <c r="A381" s="47"/>
      <c r="B381" s="40" t="s">
        <v>1739</v>
      </c>
      <c r="C381" s="52" t="s">
        <v>3917</v>
      </c>
      <c r="D381" s="46"/>
      <c r="E381" s="137"/>
      <c r="I381" s="137"/>
      <c r="J381" s="3837" t="str">
        <f>'Part I-Project Information'!K40</f>
        <v>Urban</v>
      </c>
      <c r="K381" s="3838"/>
      <c r="L381" s="1381" t="s">
        <v>3918</v>
      </c>
      <c r="M381" s="137"/>
      <c r="N381" s="137"/>
      <c r="O381" s="527" t="s">
        <v>1739</v>
      </c>
      <c r="P381" s="542"/>
      <c r="Q381" s="616"/>
      <c r="AE381" s="50"/>
      <c r="AF381" s="50"/>
    </row>
    <row r="382" spans="1:32" s="42" customFormat="1" ht="11.25" customHeight="1">
      <c r="A382" s="47"/>
      <c r="B382" s="40" t="s">
        <v>2364</v>
      </c>
      <c r="C382" s="52" t="s">
        <v>4910</v>
      </c>
      <c r="E382" s="137"/>
      <c r="F382" s="137"/>
      <c r="G382" s="137"/>
      <c r="H382" s="52" t="s">
        <v>4911</v>
      </c>
      <c r="I382" s="137"/>
      <c r="J382" s="3824"/>
      <c r="K382" s="3825"/>
      <c r="L382" s="3843"/>
      <c r="M382" s="3844"/>
      <c r="O382" s="527"/>
      <c r="AE382" s="50"/>
      <c r="AF382" s="50"/>
    </row>
    <row r="383" spans="1:32" s="42" customFormat="1" ht="11.25" customHeight="1">
      <c r="A383" s="47"/>
      <c r="B383" s="40"/>
      <c r="C383" s="52"/>
      <c r="E383" s="137"/>
      <c r="F383" s="137"/>
      <c r="G383" s="137"/>
      <c r="H383" s="52" t="s">
        <v>4912</v>
      </c>
      <c r="I383" s="137"/>
      <c r="J383" s="3658"/>
      <c r="K383" s="3660"/>
      <c r="L383" s="3832"/>
      <c r="M383" s="3833"/>
      <c r="N383" s="52"/>
      <c r="O383" s="527"/>
      <c r="AE383" s="50"/>
      <c r="AF383" s="50"/>
    </row>
    <row r="384" spans="1:32" s="42" customFormat="1" ht="11.25" customHeight="1">
      <c r="A384" s="47"/>
      <c r="B384" s="40" t="s">
        <v>1549</v>
      </c>
      <c r="C384" s="52" t="s">
        <v>3920</v>
      </c>
      <c r="E384" s="52"/>
      <c r="F384" s="3828">
        <f>'Part IV-A-Uses of Funds'!J173</f>
        <v>1213455</v>
      </c>
      <c r="G384" s="3829"/>
      <c r="H384" s="52" t="s">
        <v>3921</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3923</v>
      </c>
      <c r="E385" s="52"/>
      <c r="F385" s="52"/>
      <c r="G385" s="52"/>
      <c r="H385" s="52" t="s">
        <v>4913</v>
      </c>
      <c r="I385" s="52"/>
      <c r="J385" s="3839"/>
      <c r="K385" s="3840"/>
      <c r="L385" s="3841"/>
      <c r="M385" s="3842"/>
      <c r="AE385" s="50"/>
      <c r="AF385" s="50"/>
    </row>
    <row r="386" spans="1:32" s="42" customFormat="1" ht="11.25" customHeight="1">
      <c r="B386" s="40" t="s">
        <v>98</v>
      </c>
      <c r="C386" s="52" t="s">
        <v>3925</v>
      </c>
      <c r="E386" s="137"/>
      <c r="F386" s="137"/>
      <c r="G386" s="137"/>
      <c r="H386" s="137"/>
      <c r="I386" s="137"/>
      <c r="J386" s="137"/>
      <c r="K386" s="137"/>
      <c r="L386" s="137"/>
      <c r="O386" s="527" t="s">
        <v>98</v>
      </c>
      <c r="P386" s="542"/>
      <c r="Q386" s="616"/>
      <c r="AE386" s="50"/>
      <c r="AF386" s="50"/>
    </row>
    <row r="387" spans="1:32" s="42" customFormat="1" ht="11.25" customHeight="1">
      <c r="A387" s="47" t="s">
        <v>1984</v>
      </c>
      <c r="B387" s="719" t="s">
        <v>3926</v>
      </c>
      <c r="D387" s="137"/>
      <c r="E387" s="137"/>
      <c r="F387" s="137"/>
      <c r="G387" s="137"/>
      <c r="H387" s="137"/>
      <c r="P387" s="137"/>
      <c r="Q387" s="137"/>
      <c r="R387" s="137"/>
      <c r="AE387" s="50"/>
      <c r="AF387" s="50"/>
    </row>
    <row r="388" spans="1:32" s="42" customFormat="1" ht="11.25" customHeight="1">
      <c r="B388" s="40" t="s">
        <v>1737</v>
      </c>
      <c r="C388" s="1021" t="s">
        <v>4967</v>
      </c>
      <c r="E388" s="1381"/>
      <c r="F388" s="1381"/>
      <c r="G388" s="1381"/>
      <c r="H388" s="1381"/>
      <c r="P388" s="542"/>
      <c r="Q388" s="616"/>
      <c r="AE388" s="50"/>
      <c r="AF388" s="50"/>
    </row>
    <row r="389" spans="1:32" s="42" customFormat="1" ht="11.25" customHeight="1">
      <c r="B389" s="40"/>
      <c r="C389" s="1021"/>
      <c r="E389" s="2540"/>
      <c r="F389" s="2540"/>
      <c r="G389" s="2540"/>
      <c r="H389" s="2540"/>
      <c r="J389" s="3624" t="s">
        <v>3931</v>
      </c>
      <c r="K389" s="3624"/>
      <c r="L389" s="3624"/>
      <c r="M389" s="3624"/>
      <c r="N389" s="3601" t="s">
        <v>3928</v>
      </c>
      <c r="O389" s="3601"/>
      <c r="AE389" s="50"/>
      <c r="AF389" s="50"/>
    </row>
    <row r="390" spans="1:32" s="42" customFormat="1" ht="11.25" customHeight="1">
      <c r="A390" s="2548"/>
      <c r="B390" s="40" t="s">
        <v>1738</v>
      </c>
      <c r="C390" s="1021" t="s">
        <v>3927</v>
      </c>
      <c r="E390" s="137"/>
      <c r="F390" s="137"/>
      <c r="G390" s="137"/>
      <c r="H390" s="137"/>
      <c r="I390" s="527" t="s">
        <v>1738</v>
      </c>
      <c r="J390" s="3830"/>
      <c r="K390" s="3831"/>
      <c r="L390" s="3599"/>
      <c r="M390" s="3600"/>
      <c r="N390" s="1347" t="str">
        <f>IF(J390="","",(J390-J382)/J390)</f>
        <v/>
      </c>
      <c r="O390" s="1348" t="str">
        <f>IF(L390="","",(L390-L382)/L390)</f>
        <v/>
      </c>
      <c r="P390" s="2878"/>
      <c r="Q390" s="2879"/>
      <c r="AE390" s="50"/>
      <c r="AF390" s="50"/>
    </row>
    <row r="391" spans="1:32" s="42" customFormat="1" ht="11.25" customHeight="1">
      <c r="A391" s="2548"/>
      <c r="B391" s="40" t="s">
        <v>1739</v>
      </c>
      <c r="C391" s="52" t="s">
        <v>3930</v>
      </c>
      <c r="E391" s="137"/>
      <c r="F391" s="137"/>
      <c r="G391" s="137"/>
      <c r="H391" s="137"/>
      <c r="N391" s="137"/>
      <c r="O391" s="527" t="s">
        <v>1739</v>
      </c>
      <c r="P391" s="1626"/>
      <c r="Q391" s="1627"/>
      <c r="AE391" s="50"/>
      <c r="AF391" s="50"/>
    </row>
    <row r="392" spans="1:32" s="42" customFormat="1" ht="11.25" customHeight="1">
      <c r="B392" s="40" t="s">
        <v>2364</v>
      </c>
      <c r="C392" s="52" t="s">
        <v>3932</v>
      </c>
      <c r="E392" s="137"/>
      <c r="F392" s="137"/>
      <c r="G392" s="137"/>
      <c r="H392" s="137"/>
      <c r="M392" s="137"/>
      <c r="N392" s="137"/>
      <c r="O392" s="527" t="s">
        <v>2364</v>
      </c>
      <c r="P392" s="239"/>
      <c r="Q392" s="619"/>
      <c r="AE392" s="50"/>
      <c r="AF392" s="50"/>
    </row>
    <row r="393" spans="1:32" ht="10.5" customHeight="1">
      <c r="B393" s="144" t="s">
        <v>3753</v>
      </c>
      <c r="D393" s="144"/>
      <c r="E393" s="144"/>
      <c r="F393" s="144"/>
      <c r="G393" s="144"/>
      <c r="H393" s="40"/>
      <c r="I393" s="1385"/>
      <c r="J393" s="1385"/>
      <c r="K393" s="1385"/>
      <c r="L393" s="1378"/>
      <c r="M393" s="1378"/>
      <c r="N393" s="1378"/>
      <c r="O393" s="1378"/>
      <c r="P393" s="1378"/>
      <c r="Q393" s="1020"/>
    </row>
    <row r="394" spans="1:32" ht="31.5" customHeight="1">
      <c r="A394" s="3621" t="s">
        <v>970</v>
      </c>
      <c r="B394" s="3622"/>
      <c r="C394" s="3622"/>
      <c r="D394" s="3622"/>
      <c r="E394" s="3622"/>
      <c r="F394" s="3622"/>
      <c r="G394" s="3622"/>
      <c r="H394" s="3622"/>
      <c r="I394" s="3622"/>
      <c r="J394" s="3622"/>
      <c r="K394" s="3622"/>
      <c r="L394" s="3622"/>
      <c r="M394" s="3622"/>
      <c r="N394" s="3622"/>
      <c r="O394" s="3622"/>
      <c r="P394" s="3622"/>
      <c r="Q394" s="3623"/>
      <c r="U394" s="139"/>
      <c r="V394" s="139"/>
      <c r="W394" s="139"/>
      <c r="X394" s="139"/>
      <c r="Y394" s="139"/>
      <c r="Z394" s="139"/>
      <c r="AA394" s="139"/>
      <c r="AB394" s="139"/>
      <c r="AC394" s="139"/>
      <c r="AD394" s="139"/>
      <c r="AE394" s="529"/>
    </row>
    <row r="395" spans="1:32" ht="11.25" customHeight="1">
      <c r="B395" s="140" t="s">
        <v>1865</v>
      </c>
      <c r="C395" s="141"/>
      <c r="D395" s="1379"/>
      <c r="E395" s="1379"/>
      <c r="F395" s="1379"/>
      <c r="G395" s="1379"/>
      <c r="H395" s="1379"/>
      <c r="I395" s="1379"/>
      <c r="J395" s="1379"/>
      <c r="K395" s="1379"/>
      <c r="L395" s="1379"/>
      <c r="M395" s="1379"/>
      <c r="N395" s="1379"/>
      <c r="O395" s="1379"/>
      <c r="P395" s="1379"/>
      <c r="Q395" s="1379"/>
    </row>
    <row r="396" spans="1:32" ht="23.25" customHeight="1">
      <c r="A396" s="3602"/>
      <c r="B396" s="3603"/>
      <c r="C396" s="3603"/>
      <c r="D396" s="3603"/>
      <c r="E396" s="3603"/>
      <c r="F396" s="3603"/>
      <c r="G396" s="3603"/>
      <c r="H396" s="3603"/>
      <c r="I396" s="3603"/>
      <c r="J396" s="3603"/>
      <c r="K396" s="3603"/>
      <c r="L396" s="3603"/>
      <c r="M396" s="3603"/>
      <c r="N396" s="3603"/>
      <c r="O396" s="3603"/>
      <c r="P396" s="3603"/>
      <c r="Q396" s="3604"/>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4108</v>
      </c>
      <c r="B399" s="4" t="s">
        <v>2683</v>
      </c>
      <c r="C399" s="4"/>
      <c r="D399" s="4"/>
      <c r="E399" s="4"/>
      <c r="F399" s="4"/>
      <c r="G399" s="4"/>
      <c r="H399" s="1379"/>
      <c r="I399" s="1379"/>
      <c r="J399" s="1379"/>
      <c r="O399" s="135" t="s">
        <v>1866</v>
      </c>
      <c r="P399" s="3626"/>
      <c r="Q399" s="3606"/>
    </row>
    <row r="400" spans="1:32" ht="11.45" customHeight="1">
      <c r="A400" s="47" t="s">
        <v>1982</v>
      </c>
      <c r="B400" s="121" t="s">
        <v>1034</v>
      </c>
      <c r="E400" s="3637"/>
      <c r="F400" s="3638"/>
      <c r="G400" s="3638"/>
      <c r="H400" s="3638"/>
      <c r="I400" s="3639"/>
      <c r="J400" s="3640" t="s">
        <v>2670</v>
      </c>
      <c r="K400" s="3641"/>
      <c r="L400" s="3642"/>
      <c r="M400" s="3637"/>
      <c r="N400" s="3638"/>
      <c r="O400" s="3638"/>
      <c r="P400" s="3638"/>
      <c r="Q400" s="3639"/>
    </row>
    <row r="401" spans="1:31" ht="11.45" customHeight="1">
      <c r="A401" s="47" t="s">
        <v>1984</v>
      </c>
      <c r="B401" s="52" t="s">
        <v>3463</v>
      </c>
      <c r="D401" s="52"/>
      <c r="E401" s="52"/>
      <c r="F401" s="52"/>
      <c r="G401" s="52"/>
      <c r="H401" s="52"/>
      <c r="I401" s="52"/>
      <c r="J401" s="52"/>
      <c r="K401" s="52"/>
      <c r="L401" s="1021"/>
      <c r="M401" s="1021"/>
      <c r="O401" s="527" t="s">
        <v>1984</v>
      </c>
      <c r="P401" s="238"/>
      <c r="Q401" s="617"/>
    </row>
    <row r="402" spans="1:31" ht="22.5" customHeight="1">
      <c r="A402" s="145" t="s">
        <v>749</v>
      </c>
      <c r="B402" s="3650" t="s">
        <v>3473</v>
      </c>
      <c r="C402" s="3650"/>
      <c r="D402" s="3650"/>
      <c r="E402" s="3650"/>
      <c r="F402" s="3650"/>
      <c r="G402" s="3650"/>
      <c r="H402" s="3650"/>
      <c r="I402" s="3650"/>
      <c r="J402" s="3650"/>
      <c r="K402" s="3650"/>
      <c r="L402" s="3650"/>
      <c r="M402" s="3650"/>
      <c r="N402" s="3650"/>
      <c r="O402" s="166" t="s">
        <v>749</v>
      </c>
      <c r="P402" s="633"/>
      <c r="Q402" s="620"/>
    </row>
    <row r="403" spans="1:31">
      <c r="A403" s="47" t="s">
        <v>2114</v>
      </c>
      <c r="B403" s="55" t="s">
        <v>3697</v>
      </c>
      <c r="G403" s="1381"/>
      <c r="H403" s="1381"/>
      <c r="I403" s="1381"/>
      <c r="J403" s="1021" t="s">
        <v>3698</v>
      </c>
      <c r="L403" s="1381"/>
      <c r="M403" s="3810">
        <f>'Part III-Sources of Funds'!H5</f>
        <v>0</v>
      </c>
      <c r="N403" s="3811"/>
      <c r="O403" s="527" t="s">
        <v>2114</v>
      </c>
      <c r="P403" s="239"/>
      <c r="Q403" s="619"/>
    </row>
    <row r="404" spans="1:31" ht="11.25" customHeight="1">
      <c r="B404" s="144" t="s">
        <v>3753</v>
      </c>
      <c r="D404" s="144"/>
      <c r="E404" s="144"/>
      <c r="F404" s="144"/>
      <c r="G404" s="144"/>
      <c r="H404" s="40"/>
      <c r="I404" s="1385"/>
      <c r="J404" s="1385"/>
      <c r="K404" s="1385"/>
      <c r="L404" s="1378"/>
      <c r="M404" s="1378"/>
      <c r="N404" s="1378"/>
      <c r="O404" s="1378"/>
      <c r="P404" s="1378"/>
      <c r="Q404" s="1020"/>
    </row>
    <row r="405" spans="1:31" ht="11.45" customHeight="1">
      <c r="A405" s="3621" t="s">
        <v>970</v>
      </c>
      <c r="B405" s="3622"/>
      <c r="C405" s="3622"/>
      <c r="D405" s="3622"/>
      <c r="E405" s="3622"/>
      <c r="F405" s="3622"/>
      <c r="G405" s="3622"/>
      <c r="H405" s="3622"/>
      <c r="I405" s="3622"/>
      <c r="J405" s="3622"/>
      <c r="K405" s="3622"/>
      <c r="L405" s="3622"/>
      <c r="M405" s="3622"/>
      <c r="N405" s="3622"/>
      <c r="O405" s="3622"/>
      <c r="P405" s="3622"/>
      <c r="Q405" s="3623"/>
      <c r="U405" s="139"/>
      <c r="V405" s="139"/>
      <c r="W405" s="139"/>
      <c r="X405" s="139"/>
      <c r="Y405" s="139"/>
      <c r="Z405" s="139"/>
      <c r="AA405" s="139"/>
      <c r="AB405" s="139"/>
      <c r="AC405" s="139"/>
      <c r="AD405" s="139"/>
      <c r="AE405" s="529"/>
    </row>
    <row r="406" spans="1:31" ht="11.25" customHeight="1">
      <c r="B406" s="140" t="s">
        <v>1865</v>
      </c>
      <c r="C406" s="141"/>
      <c r="D406" s="1379"/>
      <c r="E406" s="1379"/>
      <c r="F406" s="1379"/>
      <c r="G406" s="1379"/>
      <c r="H406" s="1379"/>
      <c r="I406" s="1379"/>
      <c r="J406" s="1379"/>
      <c r="K406" s="1379"/>
      <c r="L406" s="1379"/>
      <c r="M406" s="1379"/>
      <c r="N406" s="1379"/>
      <c r="O406" s="1379"/>
      <c r="P406" s="1379"/>
      <c r="Q406" s="1379"/>
    </row>
    <row r="407" spans="1:31" ht="11.45" customHeight="1">
      <c r="A407" s="3602"/>
      <c r="B407" s="3603"/>
      <c r="C407" s="3603"/>
      <c r="D407" s="3603"/>
      <c r="E407" s="3603"/>
      <c r="F407" s="3603"/>
      <c r="G407" s="3603"/>
      <c r="H407" s="3603"/>
      <c r="I407" s="3603"/>
      <c r="J407" s="3603"/>
      <c r="K407" s="3603"/>
      <c r="L407" s="3603"/>
      <c r="M407" s="3603"/>
      <c r="N407" s="3603"/>
      <c r="O407" s="3603"/>
      <c r="P407" s="3603"/>
      <c r="Q407" s="3604"/>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4109</v>
      </c>
      <c r="B409" s="4" t="s">
        <v>2667</v>
      </c>
      <c r="C409" s="4"/>
      <c r="D409" s="4"/>
      <c r="E409" s="1379"/>
      <c r="G409" s="143" t="s">
        <v>701</v>
      </c>
      <c r="H409" s="1379"/>
      <c r="I409" s="1379"/>
      <c r="J409" s="1379"/>
      <c r="K409" s="1379"/>
      <c r="L409" s="1379"/>
      <c r="M409" s="1379"/>
      <c r="O409" s="135" t="s">
        <v>1866</v>
      </c>
      <c r="P409" s="3626"/>
      <c r="Q409" s="3627"/>
    </row>
    <row r="410" spans="1:31" ht="12" customHeight="1">
      <c r="A410" s="47" t="s">
        <v>1982</v>
      </c>
      <c r="B410" s="52" t="s">
        <v>2672</v>
      </c>
      <c r="D410" s="1022"/>
      <c r="E410" s="1022"/>
      <c r="H410" s="143"/>
      <c r="O410" s="527" t="s">
        <v>1982</v>
      </c>
      <c r="P410" s="238"/>
      <c r="Q410" s="617"/>
    </row>
    <row r="411" spans="1:31" ht="12" customHeight="1">
      <c r="A411" s="47" t="s">
        <v>1984</v>
      </c>
      <c r="B411" s="52" t="s">
        <v>3582</v>
      </c>
      <c r="D411" s="1022"/>
      <c r="E411" s="1022"/>
      <c r="O411" s="527" t="s">
        <v>1984</v>
      </c>
      <c r="P411" s="422"/>
      <c r="Q411" s="618"/>
    </row>
    <row r="412" spans="1:31" ht="12" customHeight="1">
      <c r="A412" s="47" t="s">
        <v>749</v>
      </c>
      <c r="B412" s="52" t="s">
        <v>4078</v>
      </c>
      <c r="D412" s="1022"/>
      <c r="E412" s="1022"/>
      <c r="O412" s="527" t="s">
        <v>749</v>
      </c>
      <c r="P412" s="422"/>
      <c r="Q412" s="618"/>
    </row>
    <row r="413" spans="1:31" ht="12" customHeight="1">
      <c r="A413" s="47" t="s">
        <v>2114</v>
      </c>
      <c r="B413" s="52" t="s">
        <v>3583</v>
      </c>
      <c r="E413" s="143"/>
      <c r="O413" s="527" t="s">
        <v>2114</v>
      </c>
      <c r="P413" s="422"/>
      <c r="Q413" s="618"/>
    </row>
    <row r="414" spans="1:31" ht="12" customHeight="1">
      <c r="A414" s="47" t="s">
        <v>1735</v>
      </c>
      <c r="B414" s="52" t="s">
        <v>2078</v>
      </c>
      <c r="E414" s="143"/>
      <c r="G414" s="527" t="s">
        <v>1735</v>
      </c>
      <c r="H414" s="3628"/>
      <c r="I414" s="3629"/>
      <c r="J414" s="3629"/>
      <c r="K414" s="3629"/>
      <c r="L414" s="3629"/>
      <c r="M414" s="3629"/>
      <c r="N414" s="3629"/>
      <c r="O414" s="3630"/>
      <c r="P414" s="239"/>
      <c r="Q414" s="619"/>
    </row>
    <row r="415" spans="1:31" ht="11.25" customHeight="1">
      <c r="B415" s="144" t="s">
        <v>3753</v>
      </c>
      <c r="D415" s="144"/>
      <c r="E415" s="144"/>
      <c r="F415" s="144"/>
      <c r="G415" s="144"/>
      <c r="H415" s="40"/>
      <c r="I415" s="1385"/>
      <c r="J415" s="1385"/>
      <c r="K415" s="1385"/>
      <c r="L415" s="1378"/>
      <c r="M415" s="1378"/>
      <c r="N415" s="1378"/>
      <c r="O415" s="1378"/>
      <c r="P415" s="1378"/>
      <c r="Q415" s="1020"/>
    </row>
    <row r="416" spans="1:31" ht="11.45" customHeight="1">
      <c r="A416" s="3621" t="s">
        <v>5327</v>
      </c>
      <c r="B416" s="3622"/>
      <c r="C416" s="3622"/>
      <c r="D416" s="3622"/>
      <c r="E416" s="3622"/>
      <c r="F416" s="3622"/>
      <c r="G416" s="3622"/>
      <c r="H416" s="3622"/>
      <c r="I416" s="3622"/>
      <c r="J416" s="3622"/>
      <c r="K416" s="3622"/>
      <c r="L416" s="3622"/>
      <c r="M416" s="3622"/>
      <c r="N416" s="3622"/>
      <c r="O416" s="3622"/>
      <c r="P416" s="3622"/>
      <c r="Q416" s="3623"/>
      <c r="U416" s="139"/>
      <c r="V416" s="139"/>
      <c r="W416" s="139"/>
      <c r="X416" s="139"/>
      <c r="Y416" s="139"/>
      <c r="Z416" s="139"/>
      <c r="AA416" s="139"/>
      <c r="AB416" s="139"/>
      <c r="AC416" s="139"/>
      <c r="AD416" s="139"/>
      <c r="AE416" s="529"/>
    </row>
    <row r="417" spans="1:32" ht="11.25" customHeight="1">
      <c r="B417" s="140" t="s">
        <v>1865</v>
      </c>
      <c r="C417" s="141"/>
      <c r="D417" s="1379"/>
      <c r="E417" s="1379"/>
      <c r="F417" s="1379"/>
      <c r="G417" s="1379"/>
      <c r="H417" s="1379"/>
      <c r="I417" s="1379"/>
      <c r="J417" s="1379"/>
      <c r="K417" s="1379"/>
      <c r="L417" s="1379"/>
      <c r="M417" s="1379"/>
      <c r="N417" s="1379"/>
      <c r="O417" s="1379"/>
      <c r="P417" s="1379"/>
      <c r="Q417" s="1379"/>
    </row>
    <row r="418" spans="1:32" ht="11.45" customHeight="1">
      <c r="A418" s="3602"/>
      <c r="B418" s="3603"/>
      <c r="C418" s="3603"/>
      <c r="D418" s="3603"/>
      <c r="E418" s="3603"/>
      <c r="F418" s="3603"/>
      <c r="G418" s="3603"/>
      <c r="H418" s="3603"/>
      <c r="I418" s="3603"/>
      <c r="J418" s="3603"/>
      <c r="K418" s="3603"/>
      <c r="L418" s="3603"/>
      <c r="M418" s="3603"/>
      <c r="N418" s="3603"/>
      <c r="O418" s="3603"/>
      <c r="P418" s="3603"/>
      <c r="Q418" s="3604"/>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4110</v>
      </c>
      <c r="B420" s="4" t="s">
        <v>2668</v>
      </c>
      <c r="C420" s="4"/>
      <c r="D420" s="4"/>
      <c r="E420" s="4"/>
      <c r="F420" s="4"/>
      <c r="G420" s="4"/>
      <c r="H420" s="1379"/>
      <c r="I420" s="1379"/>
      <c r="J420" s="1379"/>
      <c r="K420" s="1379"/>
      <c r="L420" s="1379"/>
      <c r="M420" s="1379"/>
      <c r="O420" s="135" t="s">
        <v>1866</v>
      </c>
      <c r="P420" s="3626"/>
      <c r="Q420" s="3627"/>
    </row>
    <row r="421" spans="1:32" ht="12" customHeight="1">
      <c r="A421" s="47" t="s">
        <v>1982</v>
      </c>
      <c r="B421" s="39" t="s">
        <v>752</v>
      </c>
      <c r="D421" s="42"/>
      <c r="E421" s="42"/>
      <c r="F421" s="42"/>
      <c r="G421" s="42"/>
      <c r="H421" s="42"/>
      <c r="I421" s="42"/>
      <c r="J421" s="42"/>
      <c r="K421" s="42"/>
      <c r="L421" s="42"/>
      <c r="M421" s="42"/>
      <c r="N421" s="42"/>
      <c r="O421" s="527" t="s">
        <v>1982</v>
      </c>
      <c r="P421" s="238" t="s">
        <v>2992</v>
      </c>
      <c r="Q421" s="617"/>
    </row>
    <row r="422" spans="1:32" ht="12" customHeight="1">
      <c r="A422" s="47" t="s">
        <v>1984</v>
      </c>
      <c r="B422" s="36" t="s">
        <v>3475</v>
      </c>
      <c r="D422" s="42"/>
      <c r="E422" s="42"/>
      <c r="F422" s="42"/>
      <c r="G422" s="42"/>
      <c r="H422" s="42"/>
      <c r="I422" s="42"/>
      <c r="J422" s="42"/>
      <c r="K422" s="42"/>
      <c r="L422" s="42"/>
      <c r="M422" s="42"/>
      <c r="N422" s="42"/>
      <c r="O422" s="527" t="s">
        <v>1446</v>
      </c>
      <c r="P422" s="239" t="s">
        <v>2992</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3474</v>
      </c>
      <c r="E424" s="52"/>
      <c r="F424" s="52"/>
      <c r="G424" s="52"/>
      <c r="H424" s="52"/>
      <c r="I424" s="52"/>
      <c r="J424" s="52"/>
      <c r="K424" s="52"/>
      <c r="L424" s="52"/>
      <c r="M424" s="52"/>
      <c r="N424" s="42"/>
      <c r="O424" s="527" t="s">
        <v>1738</v>
      </c>
      <c r="P424" s="238"/>
      <c r="Q424" s="617"/>
    </row>
    <row r="425" spans="1:32" s="151" customFormat="1" ht="12" customHeight="1">
      <c r="A425" s="47"/>
      <c r="B425" s="52" t="s">
        <v>3571</v>
      </c>
      <c r="C425" s="52" t="s">
        <v>3572</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2200</v>
      </c>
      <c r="C426" s="52"/>
      <c r="E426" s="52"/>
      <c r="F426" s="52"/>
      <c r="G426" s="52"/>
      <c r="H426" s="52"/>
      <c r="I426" s="52"/>
      <c r="J426" s="52"/>
      <c r="K426" s="52"/>
      <c r="L426" s="52"/>
      <c r="M426" s="52"/>
      <c r="N426" s="52"/>
      <c r="O426" s="527" t="s">
        <v>749</v>
      </c>
      <c r="P426" s="422"/>
      <c r="Q426" s="618"/>
    </row>
    <row r="427" spans="1:32" ht="12" customHeight="1">
      <c r="A427" s="47" t="s">
        <v>2114</v>
      </c>
      <c r="B427" s="3650" t="s">
        <v>2814</v>
      </c>
      <c r="C427" s="3650"/>
      <c r="D427" s="3650"/>
      <c r="E427" s="3650"/>
      <c r="F427" s="1021"/>
      <c r="G427" s="138" t="s">
        <v>2201</v>
      </c>
      <c r="J427" s="1081"/>
      <c r="K427" s="625"/>
      <c r="M427" s="138" t="s">
        <v>2204</v>
      </c>
      <c r="P427" s="1083"/>
      <c r="Q427" s="626"/>
    </row>
    <row r="428" spans="1:32" ht="12" customHeight="1">
      <c r="A428" s="47"/>
      <c r="B428" s="3650"/>
      <c r="C428" s="3650"/>
      <c r="D428" s="3650"/>
      <c r="E428" s="3650"/>
      <c r="F428" s="1021"/>
      <c r="G428" s="138" t="s">
        <v>2202</v>
      </c>
      <c r="J428" s="1083"/>
      <c r="K428" s="626"/>
      <c r="M428" s="138" t="s">
        <v>2205</v>
      </c>
      <c r="P428" s="1082"/>
      <c r="Q428" s="627"/>
    </row>
    <row r="429" spans="1:32" ht="12" customHeight="1">
      <c r="A429" s="47"/>
      <c r="B429" s="3650"/>
      <c r="C429" s="3650"/>
      <c r="D429" s="3650"/>
      <c r="E429" s="3650"/>
      <c r="F429" s="1021"/>
      <c r="G429" s="138" t="s">
        <v>2203</v>
      </c>
      <c r="J429" s="1082"/>
      <c r="K429" s="627"/>
      <c r="L429" s="1021"/>
      <c r="M429" s="42"/>
      <c r="N429" s="527"/>
    </row>
    <row r="430" spans="1:32" ht="12" customHeight="1">
      <c r="A430" s="47" t="s">
        <v>1735</v>
      </c>
      <c r="B430" s="1021" t="s">
        <v>4928</v>
      </c>
      <c r="C430" s="1021"/>
      <c r="E430" s="1021"/>
      <c r="F430" s="1021"/>
      <c r="G430" s="1021"/>
      <c r="J430" s="42"/>
      <c r="K430" s="1021"/>
      <c r="L430" s="1021"/>
      <c r="M430" s="42"/>
      <c r="N430" s="527"/>
      <c r="P430" s="527"/>
      <c r="Q430" s="527"/>
    </row>
    <row r="431" spans="1:32" ht="12" customHeight="1">
      <c r="A431" s="47"/>
      <c r="B431" s="495" t="s">
        <v>1737</v>
      </c>
      <c r="C431" s="1021" t="s">
        <v>4777</v>
      </c>
      <c r="E431" s="1021"/>
      <c r="G431" s="495" t="s">
        <v>4772</v>
      </c>
      <c r="H431" s="1021"/>
      <c r="I431" s="1021"/>
      <c r="J431" s="238"/>
      <c r="K431" s="617"/>
      <c r="L431" s="1021"/>
      <c r="M431" s="495" t="s">
        <v>4775</v>
      </c>
    </row>
    <row r="432" spans="1:32" ht="12" customHeight="1">
      <c r="A432" s="42"/>
      <c r="G432" s="495" t="s">
        <v>4773</v>
      </c>
      <c r="H432" s="1021"/>
      <c r="I432" s="1021"/>
      <c r="J432" s="422"/>
      <c r="K432" s="618"/>
      <c r="M432" s="3615"/>
      <c r="N432" s="3616"/>
      <c r="O432" s="3616"/>
      <c r="P432" s="3616"/>
      <c r="Q432" s="3617"/>
    </row>
    <row r="433" spans="1:32" ht="12" customHeight="1">
      <c r="A433" s="42"/>
      <c r="G433" s="495" t="s">
        <v>4774</v>
      </c>
      <c r="H433" s="1021"/>
      <c r="J433" s="239"/>
      <c r="K433" s="619"/>
      <c r="M433" s="3618"/>
      <c r="N433" s="3619"/>
      <c r="O433" s="3619"/>
      <c r="P433" s="3619"/>
      <c r="Q433" s="3620"/>
    </row>
    <row r="434" spans="1:32" ht="12" customHeight="1">
      <c r="A434" s="47"/>
      <c r="B434" s="495" t="s">
        <v>1738</v>
      </c>
      <c r="C434" s="1021" t="s">
        <v>4776</v>
      </c>
      <c r="D434" s="151"/>
      <c r="E434" s="1021"/>
      <c r="F434" s="1021"/>
      <c r="L434" s="1021"/>
      <c r="M434" s="1021"/>
      <c r="O434" s="527" t="s">
        <v>1738</v>
      </c>
      <c r="P434" s="542" t="s">
        <v>1771</v>
      </c>
      <c r="Q434" s="616" t="s">
        <v>1771</v>
      </c>
    </row>
    <row r="435" spans="1:32" ht="12" customHeight="1">
      <c r="A435" s="42"/>
      <c r="B435" s="151"/>
      <c r="C435" s="495" t="s">
        <v>2434</v>
      </c>
      <c r="D435" s="495" t="s">
        <v>4784</v>
      </c>
      <c r="E435" s="1021"/>
      <c r="F435" s="1021"/>
      <c r="G435" s="3631"/>
      <c r="H435" s="3632"/>
      <c r="I435" s="3632"/>
      <c r="J435" s="3632"/>
      <c r="K435" s="3633"/>
      <c r="L435" s="2468"/>
    </row>
    <row r="436" spans="1:32" ht="12" customHeight="1">
      <c r="A436" s="42"/>
      <c r="B436" s="151"/>
      <c r="C436" s="495" t="s">
        <v>2435</v>
      </c>
      <c r="D436" s="495" t="s">
        <v>4785</v>
      </c>
      <c r="E436" s="1021"/>
      <c r="F436" s="2468"/>
      <c r="G436" s="3634" t="s">
        <v>3700</v>
      </c>
      <c r="H436" s="3635"/>
      <c r="I436" s="3636"/>
      <c r="J436" s="495" t="s">
        <v>4786</v>
      </c>
      <c r="K436" s="151"/>
      <c r="M436" s="3631"/>
      <c r="N436" s="3632"/>
      <c r="O436" s="3632"/>
      <c r="P436" s="3632"/>
      <c r="Q436" s="3633"/>
    </row>
    <row r="437" spans="1:32" ht="12" customHeight="1">
      <c r="A437" s="42"/>
      <c r="B437" s="151"/>
      <c r="C437" s="495" t="s">
        <v>4990</v>
      </c>
      <c r="D437" s="151"/>
      <c r="E437" s="1021"/>
      <c r="F437" s="1021"/>
      <c r="G437" s="1021"/>
      <c r="H437" s="1021"/>
      <c r="I437" s="1021"/>
      <c r="J437" s="1021"/>
      <c r="K437" s="1021"/>
      <c r="L437" s="1021"/>
      <c r="M437" s="1021"/>
      <c r="N437" s="1021"/>
      <c r="O437" s="1021"/>
      <c r="P437" s="1021"/>
      <c r="Q437" s="1021"/>
    </row>
    <row r="438" spans="1:32" ht="51" customHeight="1">
      <c r="B438" s="3643"/>
      <c r="C438" s="3644"/>
      <c r="D438" s="3644"/>
      <c r="E438" s="3644"/>
      <c r="F438" s="3644"/>
      <c r="G438" s="3644"/>
      <c r="H438" s="3644"/>
      <c r="I438" s="3644"/>
      <c r="J438" s="3644"/>
      <c r="K438" s="3644"/>
      <c r="L438" s="3644"/>
      <c r="M438" s="3644"/>
      <c r="N438" s="3644"/>
      <c r="O438" s="3644"/>
      <c r="P438" s="3644"/>
      <c r="Q438" s="3645"/>
      <c r="R438" s="509" t="s">
        <v>4778</v>
      </c>
      <c r="U438" s="139"/>
      <c r="V438" s="139"/>
      <c r="W438" s="139"/>
      <c r="X438" s="139"/>
      <c r="Y438" s="139"/>
      <c r="Z438" s="139"/>
      <c r="AA438" s="139"/>
      <c r="AB438" s="139"/>
      <c r="AC438" s="139"/>
      <c r="AD438" s="139"/>
      <c r="AE438" s="529"/>
    </row>
    <row r="439" spans="1:32" ht="12" customHeight="1">
      <c r="B439" s="144" t="s">
        <v>3753</v>
      </c>
      <c r="D439" s="144"/>
      <c r="E439" s="144"/>
      <c r="F439" s="144"/>
      <c r="G439" s="144"/>
      <c r="H439" s="40"/>
      <c r="I439" s="1385"/>
      <c r="J439" s="1385"/>
      <c r="K439" s="1385"/>
    </row>
    <row r="440" spans="1:32" ht="12" customHeight="1">
      <c r="A440" s="3621" t="s">
        <v>5328</v>
      </c>
      <c r="B440" s="3622"/>
      <c r="C440" s="3622"/>
      <c r="D440" s="3622"/>
      <c r="E440" s="3622"/>
      <c r="F440" s="3622"/>
      <c r="G440" s="3622"/>
      <c r="H440" s="3622"/>
      <c r="I440" s="3622"/>
      <c r="J440" s="3622"/>
      <c r="K440" s="3622"/>
      <c r="L440" s="3622"/>
      <c r="M440" s="3622"/>
      <c r="N440" s="3622"/>
      <c r="O440" s="3622"/>
      <c r="P440" s="3622"/>
      <c r="Q440" s="3623"/>
      <c r="U440" s="139"/>
      <c r="V440" s="139"/>
      <c r="W440" s="139"/>
      <c r="X440" s="139"/>
      <c r="Y440" s="139"/>
      <c r="Z440" s="139"/>
      <c r="AA440" s="139"/>
      <c r="AB440" s="139"/>
      <c r="AC440" s="139"/>
      <c r="AD440" s="139"/>
      <c r="AE440" s="529"/>
    </row>
    <row r="441" spans="1:32" ht="12" customHeight="1">
      <c r="B441" s="140" t="s">
        <v>1865</v>
      </c>
      <c r="C441" s="141"/>
      <c r="D441" s="1379"/>
      <c r="E441" s="1379"/>
      <c r="F441" s="1379"/>
      <c r="G441" s="1379"/>
      <c r="H441" s="1379"/>
      <c r="I441" s="1379"/>
      <c r="J441" s="1379"/>
      <c r="K441" s="1379"/>
      <c r="L441" s="1379"/>
      <c r="M441" s="1379"/>
      <c r="N441" s="1379"/>
      <c r="O441" s="1379"/>
      <c r="P441" s="1379"/>
      <c r="Q441" s="1379"/>
    </row>
    <row r="442" spans="1:32" ht="12" customHeight="1">
      <c r="A442" s="3602"/>
      <c r="B442" s="3603"/>
      <c r="C442" s="3603"/>
      <c r="D442" s="3603"/>
      <c r="E442" s="3603"/>
      <c r="F442" s="3603"/>
      <c r="G442" s="3603"/>
      <c r="H442" s="3603"/>
      <c r="I442" s="3603"/>
      <c r="J442" s="3603"/>
      <c r="K442" s="3603"/>
      <c r="L442" s="3603"/>
      <c r="M442" s="3603"/>
      <c r="N442" s="3603"/>
      <c r="O442" s="3603"/>
      <c r="P442" s="3603"/>
      <c r="Q442" s="3604"/>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4111</v>
      </c>
      <c r="B444" s="4" t="s">
        <v>2815</v>
      </c>
      <c r="C444" s="4"/>
      <c r="D444" s="88"/>
      <c r="E444" s="1379"/>
      <c r="F444" s="1379"/>
      <c r="G444" s="1379"/>
      <c r="H444" s="1379"/>
      <c r="O444" s="135" t="s">
        <v>1866</v>
      </c>
      <c r="P444" s="3626"/>
      <c r="Q444" s="3606"/>
    </row>
    <row r="445" spans="1:32" ht="14.1" customHeight="1">
      <c r="B445" s="88" t="s">
        <v>5047</v>
      </c>
      <c r="C445" s="4"/>
      <c r="D445" s="88"/>
      <c r="E445" s="1379"/>
      <c r="F445" s="1379"/>
      <c r="G445" s="1379"/>
      <c r="H445" s="1379"/>
    </row>
    <row r="446" spans="1:32" s="136" customFormat="1" ht="21.75" customHeight="1">
      <c r="A446" s="145" t="s">
        <v>1982</v>
      </c>
      <c r="B446" s="3610" t="s">
        <v>3936</v>
      </c>
      <c r="C446" s="3610"/>
      <c r="D446" s="3610"/>
      <c r="E446" s="3610"/>
      <c r="F446" s="3610"/>
      <c r="G446" s="3610"/>
      <c r="H446" s="3610"/>
      <c r="I446" s="3610"/>
      <c r="J446" s="3610"/>
      <c r="K446" s="3610"/>
      <c r="L446" s="3610"/>
      <c r="M446" s="3610"/>
      <c r="N446" s="3610"/>
      <c r="O446" s="166" t="s">
        <v>1982</v>
      </c>
      <c r="P446" s="1389" t="s">
        <v>5309</v>
      </c>
      <c r="Q446" s="1388"/>
      <c r="AE446" s="530"/>
      <c r="AF446" s="530"/>
    </row>
    <row r="447" spans="1:32" s="136" customFormat="1" ht="22.5" customHeight="1">
      <c r="A447" s="145" t="s">
        <v>1984</v>
      </c>
      <c r="B447" s="3610" t="s">
        <v>3934</v>
      </c>
      <c r="C447" s="3610"/>
      <c r="D447" s="3610"/>
      <c r="E447" s="3610"/>
      <c r="F447" s="3610"/>
      <c r="G447" s="3610"/>
      <c r="H447" s="3610"/>
      <c r="I447" s="3610"/>
      <c r="J447" s="3610"/>
      <c r="K447" s="3610"/>
      <c r="L447" s="3610"/>
      <c r="M447" s="3610"/>
      <c r="N447" s="3610"/>
      <c r="O447" s="166" t="s">
        <v>1984</v>
      </c>
      <c r="P447" s="633" t="s">
        <v>5309</v>
      </c>
      <c r="Q447" s="620"/>
      <c r="AE447" s="530"/>
      <c r="AF447" s="530"/>
    </row>
    <row r="448" spans="1:32" s="136" customFormat="1" ht="22.5" customHeight="1">
      <c r="B448" s="2579" t="s">
        <v>1737</v>
      </c>
      <c r="C448" s="3610" t="s">
        <v>4991</v>
      </c>
      <c r="D448" s="3610"/>
      <c r="E448" s="3610"/>
      <c r="F448" s="3610"/>
      <c r="G448" s="3610"/>
      <c r="H448" s="3610"/>
      <c r="I448" s="3610"/>
      <c r="J448" s="3610"/>
      <c r="K448" s="3610"/>
      <c r="L448" s="3610"/>
      <c r="M448" s="3610"/>
      <c r="N448" s="3610"/>
      <c r="O448" s="166" t="s">
        <v>1737</v>
      </c>
      <c r="P448" s="633" t="s">
        <v>5309</v>
      </c>
      <c r="Q448" s="620"/>
      <c r="AE448" s="530"/>
      <c r="AF448" s="530"/>
    </row>
    <row r="449" spans="1:32" s="42" customFormat="1" ht="12" customHeight="1">
      <c r="B449" s="2579" t="s">
        <v>1738</v>
      </c>
      <c r="C449" s="36" t="s">
        <v>4992</v>
      </c>
      <c r="D449" s="1359"/>
      <c r="E449" s="1359"/>
      <c r="F449" s="1359"/>
      <c r="G449" s="1359"/>
      <c r="H449" s="1359"/>
      <c r="I449" s="1359"/>
      <c r="J449" s="1359"/>
      <c r="K449" s="1359"/>
      <c r="L449" s="1359"/>
      <c r="M449" s="1359"/>
      <c r="N449" s="1359"/>
      <c r="O449" s="527" t="s">
        <v>1738</v>
      </c>
      <c r="P449" s="422" t="s">
        <v>5309</v>
      </c>
      <c r="Q449" s="618"/>
      <c r="AE449" s="50"/>
      <c r="AF449" s="50"/>
    </row>
    <row r="450" spans="1:32" s="136" customFormat="1" ht="33" customHeight="1">
      <c r="B450" s="541" t="s">
        <v>1739</v>
      </c>
      <c r="C450" s="3610" t="s">
        <v>4993</v>
      </c>
      <c r="D450" s="3610"/>
      <c r="E450" s="3610"/>
      <c r="F450" s="3610"/>
      <c r="G450" s="3610"/>
      <c r="H450" s="3610"/>
      <c r="I450" s="3610"/>
      <c r="J450" s="3610"/>
      <c r="K450" s="3610"/>
      <c r="L450" s="3610"/>
      <c r="M450" s="3610"/>
      <c r="N450" s="3610"/>
      <c r="O450" s="166" t="s">
        <v>1739</v>
      </c>
      <c r="P450" s="633" t="s">
        <v>5309</v>
      </c>
      <c r="Q450" s="620"/>
      <c r="AE450" s="530"/>
      <c r="AF450" s="530"/>
    </row>
    <row r="451" spans="1:32" s="136" customFormat="1" ht="22.5" customHeight="1">
      <c r="B451" s="541" t="s">
        <v>2364</v>
      </c>
      <c r="C451" s="3610" t="s">
        <v>4994</v>
      </c>
      <c r="D451" s="3610"/>
      <c r="E451" s="3610"/>
      <c r="F451" s="3610"/>
      <c r="G451" s="3610"/>
      <c r="H451" s="3610"/>
      <c r="I451" s="3610"/>
      <c r="J451" s="3610"/>
      <c r="K451" s="3610"/>
      <c r="L451" s="3610"/>
      <c r="M451" s="3610"/>
      <c r="N451" s="3610"/>
      <c r="O451" s="166" t="s">
        <v>2364</v>
      </c>
      <c r="P451" s="633" t="s">
        <v>5309</v>
      </c>
      <c r="Q451" s="620"/>
      <c r="AE451" s="530"/>
      <c r="AF451" s="530"/>
    </row>
    <row r="452" spans="1:32" s="136" customFormat="1" ht="22.5" customHeight="1">
      <c r="A452" s="145" t="s">
        <v>749</v>
      </c>
      <c r="B452" s="3610" t="s">
        <v>3940</v>
      </c>
      <c r="C452" s="3610"/>
      <c r="D452" s="3610"/>
      <c r="E452" s="3610"/>
      <c r="F452" s="3610"/>
      <c r="G452" s="3610"/>
      <c r="H452" s="3610"/>
      <c r="I452" s="3610"/>
      <c r="J452" s="3610"/>
      <c r="K452" s="3610"/>
      <c r="L452" s="3610"/>
      <c r="M452" s="3610"/>
      <c r="N452" s="3610"/>
      <c r="O452" s="166" t="s">
        <v>749</v>
      </c>
      <c r="P452" s="633" t="s">
        <v>5309</v>
      </c>
      <c r="Q452" s="620"/>
      <c r="AE452" s="530"/>
      <c r="AF452" s="530"/>
    </row>
    <row r="453" spans="1:32" s="136" customFormat="1" ht="22.5" customHeight="1">
      <c r="A453" s="145" t="s">
        <v>2114</v>
      </c>
      <c r="B453" s="3610" t="s">
        <v>3941</v>
      </c>
      <c r="C453" s="3610"/>
      <c r="D453" s="3610"/>
      <c r="E453" s="3610"/>
      <c r="F453" s="3610"/>
      <c r="G453" s="3610"/>
      <c r="H453" s="3610"/>
      <c r="I453" s="3610"/>
      <c r="J453" s="3610"/>
      <c r="K453" s="3610"/>
      <c r="L453" s="3610"/>
      <c r="M453" s="3610"/>
      <c r="N453" s="3610"/>
      <c r="O453" s="166" t="s">
        <v>2114</v>
      </c>
      <c r="P453" s="633" t="s">
        <v>5309</v>
      </c>
      <c r="Q453" s="620"/>
      <c r="AE453" s="530"/>
      <c r="AF453" s="530"/>
    </row>
    <row r="454" spans="1:32" s="136" customFormat="1" ht="21.75" customHeight="1">
      <c r="A454" s="145" t="s">
        <v>1735</v>
      </c>
      <c r="B454" s="3610" t="s">
        <v>3942</v>
      </c>
      <c r="C454" s="3610"/>
      <c r="D454" s="3610"/>
      <c r="E454" s="3610"/>
      <c r="F454" s="3610"/>
      <c r="G454" s="3610"/>
      <c r="H454" s="3610"/>
      <c r="I454" s="3610"/>
      <c r="J454" s="3610"/>
      <c r="K454" s="3610"/>
      <c r="L454" s="3610"/>
      <c r="M454" s="3610"/>
      <c r="N454" s="3610"/>
      <c r="O454" s="166" t="s">
        <v>1735</v>
      </c>
      <c r="P454" s="633" t="s">
        <v>5309</v>
      </c>
      <c r="Q454" s="620"/>
      <c r="AE454" s="530"/>
      <c r="AF454" s="530"/>
    </row>
    <row r="455" spans="1:32" s="474" customFormat="1" ht="21.75" customHeight="1">
      <c r="A455" s="145" t="s">
        <v>1736</v>
      </c>
      <c r="B455" s="3610" t="s">
        <v>3476</v>
      </c>
      <c r="C455" s="3610"/>
      <c r="D455" s="3610"/>
      <c r="E455" s="3610"/>
      <c r="F455" s="3610"/>
      <c r="G455" s="3610"/>
      <c r="H455" s="3610"/>
      <c r="I455" s="3610"/>
      <c r="J455" s="3610"/>
      <c r="K455" s="3610"/>
      <c r="L455" s="3610"/>
      <c r="M455" s="3610"/>
      <c r="N455" s="3610"/>
      <c r="O455" s="166" t="s">
        <v>1736</v>
      </c>
      <c r="P455" s="1447" t="s">
        <v>5309</v>
      </c>
      <c r="Q455" s="1448"/>
      <c r="AE455" s="532"/>
      <c r="AF455" s="532"/>
    </row>
    <row r="456" spans="1:32" ht="11.25" customHeight="1">
      <c r="B456" s="144" t="s">
        <v>3753</v>
      </c>
      <c r="D456" s="144"/>
      <c r="E456" s="144"/>
      <c r="F456" s="144"/>
      <c r="G456" s="144"/>
      <c r="H456" s="40"/>
      <c r="I456" s="1385"/>
      <c r="J456" s="1385"/>
      <c r="K456" s="1385"/>
      <c r="L456" s="1378"/>
      <c r="M456" s="1378"/>
      <c r="N456" s="1378"/>
      <c r="O456" s="1378"/>
      <c r="P456" s="1378"/>
      <c r="Q456" s="1020"/>
    </row>
    <row r="457" spans="1:32" ht="22.5" customHeight="1">
      <c r="A457" s="3621" t="s">
        <v>5329</v>
      </c>
      <c r="B457" s="3622"/>
      <c r="C457" s="3622"/>
      <c r="D457" s="3622"/>
      <c r="E457" s="3622"/>
      <c r="F457" s="3622"/>
      <c r="G457" s="3622"/>
      <c r="H457" s="3622"/>
      <c r="I457" s="3622"/>
      <c r="J457" s="3622"/>
      <c r="K457" s="3622"/>
      <c r="L457" s="3622"/>
      <c r="M457" s="3622"/>
      <c r="N457" s="3622"/>
      <c r="O457" s="3622"/>
      <c r="P457" s="3622"/>
      <c r="Q457" s="3623"/>
      <c r="R457" s="509" t="s">
        <v>1254</v>
      </c>
      <c r="S457" s="510"/>
      <c r="U457" s="139"/>
      <c r="V457" s="139"/>
      <c r="W457" s="139"/>
      <c r="X457" s="139"/>
      <c r="Y457" s="139"/>
      <c r="Z457" s="139"/>
      <c r="AA457" s="139"/>
      <c r="AB457" s="139"/>
      <c r="AC457" s="139"/>
      <c r="AD457" s="139"/>
      <c r="AE457" s="529"/>
    </row>
    <row r="458" spans="1:32" ht="11.25" customHeight="1">
      <c r="B458" s="140" t="s">
        <v>1865</v>
      </c>
      <c r="C458" s="141"/>
      <c r="D458" s="1379"/>
      <c r="E458" s="1379"/>
      <c r="F458" s="1379"/>
      <c r="G458" s="1379"/>
      <c r="H458" s="1379"/>
      <c r="I458" s="1379"/>
      <c r="J458" s="1379"/>
      <c r="K458" s="1379"/>
      <c r="L458" s="1379"/>
      <c r="M458" s="1379"/>
      <c r="N458" s="1379"/>
      <c r="O458" s="1379"/>
      <c r="P458" s="1379"/>
      <c r="Q458" s="1379"/>
    </row>
    <row r="459" spans="1:32" ht="22.5" customHeight="1">
      <c r="A459" s="3602"/>
      <c r="B459" s="3603"/>
      <c r="C459" s="3603"/>
      <c r="D459" s="3603"/>
      <c r="E459" s="3603"/>
      <c r="F459" s="3603"/>
      <c r="G459" s="3603"/>
      <c r="H459" s="3603"/>
      <c r="I459" s="3603"/>
      <c r="J459" s="3603"/>
      <c r="K459" s="3603"/>
      <c r="L459" s="3603"/>
      <c r="M459" s="3603"/>
      <c r="N459" s="3603"/>
      <c r="O459" s="3603"/>
      <c r="P459" s="3603"/>
      <c r="Q459" s="3604"/>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4787</v>
      </c>
      <c r="C461" s="10" t="s">
        <v>2718</v>
      </c>
      <c r="D461" s="58"/>
      <c r="E461" s="52"/>
      <c r="J461" s="61"/>
      <c r="M461" s="2419"/>
      <c r="N461" s="6"/>
      <c r="O461" s="135" t="s">
        <v>1866</v>
      </c>
      <c r="P461" s="3626"/>
      <c r="Q461" s="3606"/>
    </row>
    <row r="462" spans="1:32" s="151" customFormat="1" ht="12" customHeight="1">
      <c r="A462" s="724"/>
      <c r="B462" s="724" t="s">
        <v>4795</v>
      </c>
      <c r="C462" s="724"/>
      <c r="D462" s="724"/>
      <c r="E462" s="724"/>
      <c r="F462" s="724"/>
      <c r="G462" s="724"/>
      <c r="H462" s="724"/>
      <c r="I462" s="724"/>
      <c r="J462" s="724"/>
      <c r="K462" s="724"/>
      <c r="L462" s="724"/>
      <c r="M462" s="724"/>
      <c r="N462" s="724"/>
      <c r="O462" s="724"/>
      <c r="P462" s="238" t="s">
        <v>2992</v>
      </c>
      <c r="Q462" s="617"/>
      <c r="AE462" s="531"/>
      <c r="AF462" s="531"/>
    </row>
    <row r="463" spans="1:32" s="151" customFormat="1" ht="12" customHeight="1">
      <c r="A463" s="724"/>
      <c r="B463" s="724" t="s">
        <v>4796</v>
      </c>
      <c r="C463" s="724"/>
      <c r="D463" s="724"/>
      <c r="E463" s="724"/>
      <c r="F463" s="724"/>
      <c r="G463" s="724"/>
      <c r="H463" s="724"/>
      <c r="I463" s="724"/>
      <c r="J463" s="724"/>
      <c r="K463" s="724"/>
      <c r="L463" s="724"/>
      <c r="M463" s="724"/>
      <c r="N463" s="724"/>
      <c r="O463" s="724"/>
      <c r="P463" s="239" t="s">
        <v>5330</v>
      </c>
      <c r="Q463" s="619"/>
      <c r="AE463" s="531"/>
      <c r="AF463" s="531"/>
    </row>
    <row r="464" spans="1:32" s="43" customFormat="1" ht="12" customHeight="1" thickBot="1">
      <c r="A464" s="47" t="s">
        <v>1982</v>
      </c>
      <c r="B464" s="88" t="s">
        <v>4788</v>
      </c>
      <c r="D464" s="33"/>
      <c r="E464" s="33"/>
      <c r="F464" s="33"/>
      <c r="O464" s="527" t="s">
        <v>1982</v>
      </c>
    </row>
    <row r="465" spans="1:31" s="472" customFormat="1" ht="15" customHeight="1" thickBot="1">
      <c r="A465" s="145"/>
      <c r="B465" s="504" t="s">
        <v>1985</v>
      </c>
      <c r="C465" s="3610" t="s">
        <v>4915</v>
      </c>
      <c r="D465" s="3610"/>
      <c r="E465" s="3610"/>
      <c r="F465" s="3610"/>
      <c r="G465" s="3610"/>
      <c r="H465" s="3610"/>
      <c r="I465" s="3610"/>
      <c r="J465" s="3610"/>
      <c r="K465" s="3601" t="s">
        <v>5042</v>
      </c>
      <c r="L465" s="2630" t="s">
        <v>4790</v>
      </c>
      <c r="M465" s="2636"/>
      <c r="N465" s="2631">
        <f>ROUNDUP('Part VI-Revenues &amp; Expenses'!$O$63*0.1,0)</f>
        <v>16</v>
      </c>
      <c r="O465" s="449" t="s">
        <v>1985</v>
      </c>
      <c r="P465" s="3613"/>
      <c r="Q465" s="3611"/>
      <c r="R465" s="2628"/>
      <c r="S465" s="2628"/>
    </row>
    <row r="466" spans="1:31" s="472" customFormat="1" ht="15" customHeight="1">
      <c r="A466" s="145"/>
      <c r="B466" s="504"/>
      <c r="C466" s="3610"/>
      <c r="D466" s="3610"/>
      <c r="E466" s="3610"/>
      <c r="F466" s="3610"/>
      <c r="G466" s="3610"/>
      <c r="H466" s="3610"/>
      <c r="I466" s="3610"/>
      <c r="J466" s="3610"/>
      <c r="K466" s="3820"/>
      <c r="L466" s="2625" t="s">
        <v>5043</v>
      </c>
      <c r="M466" s="2637"/>
      <c r="N466" s="2629">
        <f>'Part VI-Revenues &amp; Expenses'!$O$63</f>
        <v>156</v>
      </c>
      <c r="P466" s="3614"/>
      <c r="Q466" s="3612"/>
      <c r="R466" s="2628"/>
      <c r="S466" s="2628"/>
    </row>
    <row r="467" spans="1:31" s="472" customFormat="1" ht="15" customHeight="1">
      <c r="A467" s="145"/>
      <c r="B467" s="504"/>
      <c r="C467" s="3610"/>
      <c r="D467" s="3610"/>
      <c r="E467" s="3610"/>
      <c r="F467" s="3610"/>
      <c r="G467" s="3610"/>
      <c r="H467" s="3610"/>
      <c r="I467" s="3610"/>
      <c r="J467" s="3610"/>
      <c r="K467" s="2627">
        <f>'Part VI-Revenues &amp; Expenses'!$O$88</f>
        <v>18</v>
      </c>
      <c r="L467" s="1490" t="s">
        <v>4792</v>
      </c>
      <c r="M467" s="2638"/>
      <c r="N467" s="2523">
        <f>'Part VI-Revenues &amp; Expenses'!$O$67</f>
        <v>156</v>
      </c>
      <c r="P467" s="3614"/>
      <c r="Q467" s="3612"/>
    </row>
    <row r="468" spans="1:31" s="500" customFormat="1" ht="22.5" customHeight="1">
      <c r="A468" s="608"/>
      <c r="B468" s="504" t="s">
        <v>1987</v>
      </c>
      <c r="C468" s="3610" t="s">
        <v>4916</v>
      </c>
      <c r="D468" s="3610"/>
      <c r="E468" s="3610"/>
      <c r="F468" s="3610"/>
      <c r="G468" s="3610"/>
      <c r="H468" s="3610"/>
      <c r="I468" s="3610"/>
      <c r="J468" s="3610"/>
      <c r="K468" s="675"/>
      <c r="L468" s="675"/>
      <c r="M468" s="675"/>
      <c r="O468" s="449" t="s">
        <v>1987</v>
      </c>
      <c r="P468" s="2566"/>
      <c r="Q468" s="2565"/>
    </row>
    <row r="469" spans="1:31" s="500" customFormat="1" ht="12" customHeight="1" thickBot="1">
      <c r="A469" s="608"/>
      <c r="B469" s="504" t="s">
        <v>2533</v>
      </c>
      <c r="C469" s="3610" t="s">
        <v>4917</v>
      </c>
      <c r="D469" s="3610"/>
      <c r="E469" s="3610"/>
      <c r="F469" s="3610"/>
      <c r="G469" s="3610"/>
      <c r="H469" s="3610"/>
      <c r="I469" s="675"/>
      <c r="J469" s="1359" t="s">
        <v>4793</v>
      </c>
      <c r="K469" s="2524">
        <f>'Part VI-Revenues &amp; Expenses'!$O$103</f>
        <v>156</v>
      </c>
      <c r="L469" s="1489" t="s">
        <v>4791</v>
      </c>
      <c r="M469" s="2633"/>
      <c r="N469" s="2626">
        <f>ROUNDUP(N467*0.1,0)</f>
        <v>16</v>
      </c>
      <c r="O469" s="449" t="s">
        <v>2533</v>
      </c>
      <c r="P469" s="3614"/>
      <c r="Q469" s="3612"/>
      <c r="R469" s="2628"/>
      <c r="S469" s="2628"/>
    </row>
    <row r="470" spans="1:31" s="500" customFormat="1" ht="12" customHeight="1" thickBot="1">
      <c r="A470" s="608"/>
      <c r="B470" s="504"/>
      <c r="C470" s="3610"/>
      <c r="D470" s="3610"/>
      <c r="E470" s="3610"/>
      <c r="F470" s="3610"/>
      <c r="G470" s="3610"/>
      <c r="H470" s="3610"/>
      <c r="I470" s="675"/>
      <c r="J470" s="1359" t="s">
        <v>4794</v>
      </c>
      <c r="K470" s="2525">
        <f>IF(N467=0,"",K469/N467)</f>
        <v>1</v>
      </c>
      <c r="L470" s="2634" t="s">
        <v>5041</v>
      </c>
      <c r="M470" s="2635"/>
      <c r="N470" s="2632">
        <f>'Part VI-Revenues &amp; Expenses'!$K$67/'Part VI-Revenues &amp; Expenses'!$O$67</f>
        <v>0.39102564102564102</v>
      </c>
      <c r="O470" s="449" t="str">
        <f>IF(AND(N470&lt;0.1,P469="Yes"), "Check!","")</f>
        <v/>
      </c>
      <c r="P470" s="3647"/>
      <c r="Q470" s="3646"/>
      <c r="R470" s="2628"/>
      <c r="S470" s="2628"/>
    </row>
    <row r="471" spans="1:31" s="43" customFormat="1" ht="12" customHeight="1">
      <c r="A471" s="47" t="s">
        <v>1984</v>
      </c>
      <c r="B471" s="88" t="s">
        <v>4918</v>
      </c>
      <c r="D471" s="40"/>
      <c r="G471" s="36"/>
      <c r="M471" s="6"/>
      <c r="R471" s="434"/>
    </row>
    <row r="472" spans="1:31" s="472" customFormat="1" ht="21.75" customHeight="1">
      <c r="A472" s="145"/>
      <c r="B472" s="3610" t="s">
        <v>4919</v>
      </c>
      <c r="C472" s="3610"/>
      <c r="D472" s="3610"/>
      <c r="E472" s="3610"/>
      <c r="F472" s="3610"/>
      <c r="G472" s="3610"/>
      <c r="H472" s="3610"/>
      <c r="I472" s="3610"/>
      <c r="J472" s="3610"/>
      <c r="K472" s="3610"/>
      <c r="L472" s="3610"/>
      <c r="M472" s="3610"/>
      <c r="N472" s="3610"/>
      <c r="O472" s="166" t="s">
        <v>1984</v>
      </c>
      <c r="P472" s="1424"/>
      <c r="Q472" s="1425"/>
      <c r="R472" s="584"/>
    </row>
    <row r="473" spans="1:31" s="43" customFormat="1" ht="11.25" customHeight="1">
      <c r="A473" s="42"/>
      <c r="B473" s="97" t="s">
        <v>3753</v>
      </c>
      <c r="C473" s="42"/>
      <c r="D473" s="48"/>
      <c r="E473" s="48"/>
      <c r="F473" s="48"/>
      <c r="G473" s="48"/>
      <c r="H473" s="36"/>
      <c r="I473" s="36"/>
      <c r="J473" s="36"/>
      <c r="K473" s="36"/>
      <c r="M473" s="46"/>
      <c r="N473" s="62"/>
      <c r="O473" s="3"/>
      <c r="P473" s="2421"/>
    </row>
    <row r="474" spans="1:31" s="43" customFormat="1" ht="21.75" customHeight="1">
      <c r="A474" s="3621" t="s">
        <v>5331</v>
      </c>
      <c r="B474" s="3622"/>
      <c r="C474" s="3622"/>
      <c r="D474" s="3622"/>
      <c r="E474" s="3622"/>
      <c r="F474" s="3622"/>
      <c r="G474" s="3622"/>
      <c r="H474" s="3622"/>
      <c r="I474" s="3622"/>
      <c r="J474" s="3622"/>
      <c r="K474" s="3622"/>
      <c r="L474" s="3622"/>
      <c r="M474" s="3622"/>
      <c r="N474" s="3622"/>
      <c r="O474" s="3622"/>
      <c r="P474" s="3622"/>
      <c r="Q474" s="3623"/>
      <c r="R474" s="1291" t="s">
        <v>1254</v>
      </c>
    </row>
    <row r="475" spans="1:31" s="43" customFormat="1" ht="10.5" customHeight="1">
      <c r="B475" s="87" t="s">
        <v>1865</v>
      </c>
      <c r="C475" s="101"/>
      <c r="D475" s="87"/>
      <c r="E475" s="102"/>
      <c r="F475" s="2423"/>
      <c r="G475" s="2423"/>
      <c r="H475" s="2423"/>
      <c r="I475" s="2423"/>
      <c r="J475" s="2423"/>
      <c r="K475" s="2423"/>
      <c r="L475" s="2423"/>
      <c r="M475" s="2423"/>
      <c r="N475" s="75"/>
      <c r="O475" s="71"/>
      <c r="P475" s="2419"/>
      <c r="Q475" s="490"/>
    </row>
    <row r="476" spans="1:31" s="43" customFormat="1" ht="11.25" customHeight="1">
      <c r="A476" s="3602"/>
      <c r="B476" s="3603"/>
      <c r="C476" s="3603"/>
      <c r="D476" s="3603"/>
      <c r="E476" s="3603"/>
      <c r="F476" s="3603"/>
      <c r="G476" s="3603"/>
      <c r="H476" s="3603"/>
      <c r="I476" s="3603"/>
      <c r="J476" s="3603"/>
      <c r="K476" s="3603"/>
      <c r="L476" s="3603"/>
      <c r="M476" s="3603"/>
      <c r="N476" s="3603"/>
      <c r="O476" s="3603"/>
      <c r="P476" s="3603"/>
      <c r="Q476" s="3604"/>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4789</v>
      </c>
      <c r="B478" s="4"/>
      <c r="C478" s="4" t="s">
        <v>2669</v>
      </c>
      <c r="D478" s="88"/>
      <c r="E478" s="1379"/>
      <c r="F478" s="1379"/>
      <c r="G478" s="1379"/>
      <c r="H478" s="1379"/>
      <c r="I478" s="1379"/>
      <c r="J478" s="1379"/>
      <c r="K478" s="1379"/>
      <c r="L478" s="1379"/>
      <c r="M478" s="1379"/>
      <c r="O478" s="135" t="s">
        <v>1866</v>
      </c>
      <c r="P478" s="3626"/>
      <c r="Q478" s="3606"/>
    </row>
    <row r="479" spans="1:31" ht="11.25" customHeight="1">
      <c r="A479" s="1384"/>
      <c r="B479" s="144" t="s">
        <v>3753</v>
      </c>
      <c r="D479" s="144"/>
      <c r="E479" s="144"/>
      <c r="F479" s="144"/>
      <c r="G479" s="144"/>
      <c r="H479" s="40"/>
      <c r="I479" s="1385"/>
      <c r="J479" s="1385"/>
      <c r="K479" s="1385"/>
      <c r="L479" s="1378"/>
      <c r="M479" s="1378"/>
      <c r="N479" s="1378"/>
      <c r="O479" s="1378"/>
      <c r="P479" s="1378"/>
      <c r="Q479" s="1020"/>
    </row>
    <row r="480" spans="1:31" ht="22.5" customHeight="1">
      <c r="A480" s="3621" t="s">
        <v>5332</v>
      </c>
      <c r="B480" s="3622"/>
      <c r="C480" s="3622"/>
      <c r="D480" s="3622"/>
      <c r="E480" s="3622"/>
      <c r="F480" s="3622"/>
      <c r="G480" s="3622"/>
      <c r="H480" s="3622"/>
      <c r="I480" s="3622"/>
      <c r="J480" s="3622"/>
      <c r="K480" s="3622"/>
      <c r="L480" s="3622"/>
      <c r="M480" s="3622"/>
      <c r="N480" s="3622"/>
      <c r="O480" s="3622"/>
      <c r="P480" s="3622"/>
      <c r="Q480" s="3623"/>
      <c r="R480" s="509" t="s">
        <v>1254</v>
      </c>
      <c r="S480" s="510"/>
      <c r="U480" s="139"/>
      <c r="V480" s="139"/>
      <c r="W480" s="139"/>
      <c r="X480" s="139"/>
      <c r="Y480" s="139"/>
      <c r="Z480" s="139"/>
      <c r="AA480" s="139"/>
      <c r="AB480" s="139"/>
      <c r="AC480" s="139"/>
      <c r="AD480" s="139"/>
      <c r="AE480" s="529"/>
    </row>
    <row r="481" spans="1:32" ht="11.25" customHeight="1">
      <c r="B481" s="140" t="s">
        <v>1865</v>
      </c>
      <c r="C481" s="141"/>
      <c r="D481" s="1379"/>
      <c r="E481" s="1379"/>
      <c r="F481" s="1379"/>
      <c r="G481" s="1379"/>
      <c r="H481" s="1379"/>
      <c r="I481" s="1379"/>
      <c r="J481" s="1379"/>
      <c r="K481" s="1379"/>
      <c r="L481" s="1379"/>
      <c r="M481" s="1379"/>
      <c r="N481" s="1379"/>
      <c r="O481" s="1379"/>
      <c r="P481" s="1379"/>
      <c r="Q481" s="1379"/>
    </row>
    <row r="482" spans="1:32" ht="22.5" customHeight="1">
      <c r="A482" s="3602"/>
      <c r="B482" s="3603"/>
      <c r="C482" s="3603"/>
      <c r="D482" s="3603"/>
      <c r="E482" s="3603"/>
      <c r="F482" s="3603"/>
      <c r="G482" s="3603"/>
      <c r="H482" s="3603"/>
      <c r="I482" s="3603"/>
      <c r="J482" s="3603"/>
      <c r="K482" s="3603"/>
      <c r="L482" s="3603"/>
      <c r="M482" s="3603"/>
      <c r="N482" s="3603"/>
      <c r="O482" s="3603"/>
      <c r="P482" s="3603"/>
      <c r="Q482" s="3604"/>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4797</v>
      </c>
      <c r="B485" s="4"/>
      <c r="C485" s="4" t="s">
        <v>5208</v>
      </c>
      <c r="D485" s="88"/>
      <c r="E485" s="2423"/>
      <c r="F485" s="2423"/>
      <c r="G485" s="2423"/>
      <c r="H485" s="2423"/>
      <c r="I485" s="2423"/>
      <c r="J485" s="2423"/>
      <c r="K485" s="2423"/>
      <c r="L485" s="2423"/>
      <c r="M485" s="2423"/>
      <c r="O485" s="135" t="s">
        <v>1866</v>
      </c>
      <c r="P485" s="3626"/>
      <c r="Q485" s="3606"/>
    </row>
    <row r="486" spans="1:32" s="105" customFormat="1" ht="11.25" customHeight="1">
      <c r="B486" s="199" t="s">
        <v>4798</v>
      </c>
      <c r="D486" s="61"/>
      <c r="E486" s="61"/>
      <c r="F486" s="44"/>
      <c r="G486" s="27"/>
      <c r="L486" s="434"/>
      <c r="M486" s="434"/>
      <c r="N486" s="434"/>
      <c r="O486" s="434"/>
      <c r="P486" s="434"/>
      <c r="Q486" s="434"/>
      <c r="R486" s="434"/>
      <c r="T486" s="1285"/>
      <c r="U486" s="1285"/>
    </row>
    <row r="487" spans="1:32" s="105" customFormat="1" ht="10.5" customHeight="1">
      <c r="A487" s="142"/>
      <c r="B487" s="40" t="s">
        <v>4920</v>
      </c>
      <c r="D487" s="61"/>
      <c r="E487" s="61"/>
      <c r="F487" s="44"/>
      <c r="G487" s="27"/>
      <c r="K487" s="527"/>
      <c r="M487" s="7"/>
      <c r="N487" s="527"/>
      <c r="P487" s="542"/>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1.25">
      <c r="B501" s="1208"/>
      <c r="C501" s="1207" t="s">
        <v>1649</v>
      </c>
      <c r="D501" s="1207"/>
      <c r="E501" s="1207"/>
      <c r="F501" s="1207"/>
      <c r="G501" s="1207"/>
      <c r="H501" s="1207"/>
      <c r="I501" s="1207"/>
      <c r="J501" s="1207" t="s">
        <v>1014</v>
      </c>
      <c r="K501" s="1207"/>
      <c r="L501" s="1208"/>
      <c r="M501" s="1208"/>
      <c r="N501" s="1209"/>
      <c r="O501" s="1208" t="s">
        <v>2884</v>
      </c>
      <c r="P501" s="1210"/>
      <c r="AE501" s="502"/>
      <c r="AF501" s="502"/>
    </row>
    <row r="502" spans="1:32" s="495" customFormat="1" ht="11.25">
      <c r="B502" s="1208"/>
      <c r="C502" s="1208" t="s">
        <v>2088</v>
      </c>
      <c r="D502" s="1208"/>
      <c r="E502" s="1208"/>
      <c r="F502" s="1208"/>
      <c r="G502" s="1208"/>
      <c r="H502" s="1208"/>
      <c r="I502" s="1208"/>
      <c r="J502" s="1208" t="s">
        <v>1771</v>
      </c>
      <c r="K502" s="1208"/>
      <c r="L502" s="1208"/>
      <c r="M502" s="1208"/>
      <c r="N502" s="1209"/>
      <c r="O502" s="1208" t="s">
        <v>3833</v>
      </c>
      <c r="P502" s="1210"/>
      <c r="AE502" s="502"/>
      <c r="AF502" s="502"/>
    </row>
    <row r="503" spans="1:32" s="495" customFormat="1" ht="11.25">
      <c r="B503" s="1208"/>
      <c r="C503" s="1207" t="s">
        <v>2543</v>
      </c>
      <c r="D503" s="1207"/>
      <c r="E503" s="1207"/>
      <c r="F503" s="1207"/>
      <c r="G503" s="1207"/>
      <c r="H503" s="1207"/>
      <c r="I503" s="1207"/>
      <c r="J503" s="2526" t="s">
        <v>1724</v>
      </c>
      <c r="K503" s="1207"/>
      <c r="L503" s="1208"/>
      <c r="M503" s="1208"/>
      <c r="N503" s="1209"/>
      <c r="O503" s="1208" t="s">
        <v>3834</v>
      </c>
      <c r="P503" s="1210"/>
      <c r="AE503" s="502"/>
      <c r="AF503" s="502"/>
    </row>
    <row r="504" spans="1:32" s="495" customFormat="1" ht="11.25">
      <c r="B504" s="1208"/>
      <c r="C504" s="1207" t="s">
        <v>2089</v>
      </c>
      <c r="D504" s="1207"/>
      <c r="E504" s="1207"/>
      <c r="F504" s="1207"/>
      <c r="G504" s="1207"/>
      <c r="H504" s="1207"/>
      <c r="I504" s="1207"/>
      <c r="J504" s="2526" t="s">
        <v>230</v>
      </c>
      <c r="K504" s="1207"/>
      <c r="L504" s="1208"/>
      <c r="M504" s="1208"/>
      <c r="N504" s="1209"/>
      <c r="O504" s="1208" t="s">
        <v>3835</v>
      </c>
      <c r="P504" s="1210"/>
      <c r="AE504" s="502"/>
      <c r="AF504" s="502"/>
    </row>
    <row r="505" spans="1:32" s="495" customFormat="1" ht="11.25">
      <c r="B505" s="1208"/>
      <c r="C505" s="1207" t="s">
        <v>2090</v>
      </c>
      <c r="D505" s="1207"/>
      <c r="E505" s="1207"/>
      <c r="F505" s="1207"/>
      <c r="G505" s="1207"/>
      <c r="H505" s="1207"/>
      <c r="I505" s="1207"/>
      <c r="J505" s="1208" t="s">
        <v>1186</v>
      </c>
      <c r="K505" s="1207"/>
      <c r="L505" s="1208"/>
      <c r="M505" s="1208"/>
      <c r="N505" s="1209"/>
      <c r="O505" s="1208" t="s">
        <v>3836</v>
      </c>
      <c r="P505" s="1210"/>
      <c r="AE505" s="502"/>
      <c r="AF505" s="502"/>
    </row>
    <row r="506" spans="1:32" s="495" customFormat="1" ht="11.25">
      <c r="B506" s="1208"/>
      <c r="C506" s="1215" t="s">
        <v>2091</v>
      </c>
      <c r="D506" s="1207"/>
      <c r="E506" s="1207"/>
      <c r="F506" s="1207"/>
      <c r="G506" s="1207"/>
      <c r="H506" s="1207"/>
      <c r="I506" s="1207"/>
      <c r="J506" s="2527" t="s">
        <v>2103</v>
      </c>
      <c r="K506" s="1207"/>
      <c r="L506" s="1208"/>
      <c r="M506" s="1208"/>
      <c r="N506" s="1209"/>
      <c r="O506" s="1208" t="s">
        <v>3866</v>
      </c>
      <c r="P506" s="1210"/>
      <c r="AE506" s="502"/>
      <c r="AF506" s="502"/>
    </row>
    <row r="507" spans="1:32" s="495" customFormat="1" ht="11.25">
      <c r="B507" s="1208"/>
      <c r="C507" s="1215" t="s">
        <v>2092</v>
      </c>
      <c r="D507" s="1207"/>
      <c r="E507" s="1207"/>
      <c r="F507" s="1207"/>
      <c r="G507" s="1207"/>
      <c r="H507" s="1207"/>
      <c r="I507" s="1207"/>
      <c r="J507" s="2526" t="s">
        <v>1661</v>
      </c>
      <c r="K507" s="1207"/>
      <c r="L507" s="1208"/>
      <c r="M507" s="1208"/>
      <c r="N507" s="1209"/>
      <c r="O507" s="1208" t="s">
        <v>3837</v>
      </c>
      <c r="P507" s="1210"/>
      <c r="AE507" s="502"/>
      <c r="AF507" s="502"/>
    </row>
    <row r="508" spans="1:32" s="495" customFormat="1" ht="11.25">
      <c r="B508" s="1208"/>
      <c r="C508" s="1215"/>
      <c r="D508" s="1207"/>
      <c r="E508" s="1207"/>
      <c r="F508" s="1207"/>
      <c r="G508" s="1207"/>
      <c r="H508" s="1207"/>
      <c r="I508" s="1207"/>
      <c r="J508" s="2526" t="s">
        <v>1193</v>
      </c>
      <c r="K508" s="1207"/>
      <c r="L508" s="1208"/>
      <c r="M508" s="1208"/>
      <c r="N508" s="1209"/>
      <c r="O508" s="1208" t="s">
        <v>3838</v>
      </c>
      <c r="P508" s="1210"/>
      <c r="AE508" s="502"/>
      <c r="AF508" s="502"/>
    </row>
    <row r="509" spans="1:32" s="495" customFormat="1" ht="11.25">
      <c r="B509" s="1208"/>
      <c r="C509" s="1208" t="s">
        <v>1771</v>
      </c>
      <c r="D509" s="1207"/>
      <c r="E509" s="1207"/>
      <c r="F509" s="1207"/>
      <c r="G509" s="1207"/>
      <c r="H509" s="1207"/>
      <c r="I509" s="1207"/>
      <c r="J509" s="2526" t="s">
        <v>1658</v>
      </c>
      <c r="K509" s="1207"/>
      <c r="L509" s="1208"/>
      <c r="M509" s="1208"/>
      <c r="N509" s="1209"/>
      <c r="O509" s="1208" t="s">
        <v>3839</v>
      </c>
      <c r="P509" s="1210"/>
      <c r="AE509" s="502"/>
      <c r="AF509" s="502"/>
    </row>
    <row r="510" spans="1:32" s="495" customFormat="1" ht="11.25">
      <c r="B510" s="1208"/>
      <c r="C510" s="1211" t="s">
        <v>1390</v>
      </c>
      <c r="D510" s="1207"/>
      <c r="E510" s="1207"/>
      <c r="F510" s="1207"/>
      <c r="G510" s="1207"/>
      <c r="H510" s="1207"/>
      <c r="I510" s="1207"/>
      <c r="J510" s="2526" t="s">
        <v>2104</v>
      </c>
      <c r="K510" s="1207"/>
      <c r="L510" s="1208"/>
      <c r="M510" s="1208"/>
      <c r="N510" s="1209"/>
      <c r="O510" s="1208" t="s">
        <v>3840</v>
      </c>
      <c r="P510" s="1210"/>
      <c r="AE510" s="502"/>
      <c r="AF510" s="502"/>
    </row>
    <row r="511" spans="1:32" s="495" customFormat="1" ht="11.2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1.25">
      <c r="B512" s="1208"/>
      <c r="C512" s="2528" t="s">
        <v>2132</v>
      </c>
      <c r="D512" s="1207"/>
      <c r="E512" s="1207"/>
      <c r="F512" s="1207"/>
      <c r="G512" s="1207"/>
      <c r="H512" s="1207"/>
      <c r="I512" s="1207"/>
      <c r="J512" s="2526" t="s">
        <v>1194</v>
      </c>
      <c r="K512" s="1207"/>
      <c r="L512" s="1208"/>
      <c r="M512" s="1208"/>
      <c r="N512" s="1209"/>
      <c r="O512" s="1210"/>
      <c r="P512" s="1210"/>
      <c r="AE512" s="502"/>
      <c r="AF512" s="502"/>
    </row>
    <row r="513" spans="2:32" s="495" customFormat="1" ht="11.2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1.2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1.25">
      <c r="B515" s="1208"/>
      <c r="C515" s="1211" t="s">
        <v>2127</v>
      </c>
      <c r="D515" s="1207"/>
      <c r="E515" s="1207"/>
      <c r="F515" s="1207"/>
      <c r="G515" s="1207"/>
      <c r="H515" s="1207"/>
      <c r="I515" s="1207"/>
      <c r="J515" s="2526" t="s">
        <v>1188</v>
      </c>
      <c r="K515" s="1207"/>
      <c r="L515" s="1208"/>
      <c r="M515" s="1208"/>
      <c r="N515" s="1209"/>
      <c r="O515" s="1210"/>
      <c r="P515" s="1210"/>
      <c r="AE515" s="502"/>
      <c r="AF515" s="502"/>
    </row>
    <row r="516" spans="2:32" s="495" customFormat="1" ht="11.25">
      <c r="B516" s="1208"/>
      <c r="C516" s="1211" t="s">
        <v>2128</v>
      </c>
      <c r="D516" s="1207"/>
      <c r="E516" s="1207"/>
      <c r="F516" s="1207"/>
      <c r="G516" s="1207"/>
      <c r="H516" s="1207"/>
      <c r="I516" s="1207"/>
      <c r="J516" s="2526" t="s">
        <v>1187</v>
      </c>
      <c r="K516" s="1208"/>
      <c r="L516" s="1208"/>
      <c r="M516" s="1208"/>
      <c r="N516" s="1209"/>
      <c r="O516" s="1210"/>
      <c r="P516" s="1210"/>
      <c r="AE516" s="502"/>
      <c r="AF516" s="502"/>
    </row>
    <row r="517" spans="2:32" s="495" customFormat="1" ht="11.25">
      <c r="B517" s="1208"/>
      <c r="C517" s="1211" t="s">
        <v>2129</v>
      </c>
      <c r="D517" s="1208"/>
      <c r="E517" s="1208"/>
      <c r="F517" s="1208"/>
      <c r="G517" s="1208"/>
      <c r="H517" s="1208"/>
      <c r="I517" s="1208"/>
      <c r="J517" s="2526" t="s">
        <v>1725</v>
      </c>
      <c r="K517" s="1208"/>
      <c r="L517" s="1208"/>
      <c r="M517" s="1208"/>
      <c r="N517" s="1209"/>
      <c r="O517" s="1210"/>
      <c r="P517" s="1210"/>
      <c r="AE517" s="502"/>
      <c r="AF517" s="502"/>
    </row>
    <row r="518" spans="2:32" s="495" customFormat="1" ht="11.25">
      <c r="B518" s="1208"/>
      <c r="C518" s="1211" t="s">
        <v>2130</v>
      </c>
      <c r="D518" s="1208"/>
      <c r="E518" s="1208"/>
      <c r="F518" s="1208"/>
      <c r="G518" s="1208"/>
      <c r="H518" s="1208"/>
      <c r="I518" s="1208"/>
      <c r="J518" s="2526" t="s">
        <v>1660</v>
      </c>
      <c r="K518" s="1208"/>
      <c r="L518" s="1208"/>
      <c r="M518" s="1208"/>
      <c r="N518" s="1209"/>
      <c r="O518" s="1210"/>
      <c r="P518" s="1210"/>
      <c r="AE518" s="502"/>
      <c r="AF518" s="502"/>
    </row>
    <row r="519" spans="2:32" s="495" customFormat="1" ht="11.25">
      <c r="B519" s="1208"/>
      <c r="C519" s="1211" t="s">
        <v>2131</v>
      </c>
      <c r="D519" s="1208"/>
      <c r="E519" s="1208"/>
      <c r="F519" s="1208"/>
      <c r="G519" s="1208"/>
      <c r="H519" s="1208"/>
      <c r="I519" s="1208"/>
      <c r="J519" s="2526" t="s">
        <v>1652</v>
      </c>
      <c r="K519" s="1208"/>
      <c r="L519" s="1208"/>
      <c r="M519" s="1208"/>
      <c r="N519" s="1209"/>
      <c r="O519" s="1210"/>
      <c r="P519" s="1210"/>
      <c r="AE519" s="502"/>
      <c r="AF519" s="502"/>
    </row>
    <row r="520" spans="2:32" s="495" customFormat="1" ht="11.25">
      <c r="B520" s="1208"/>
      <c r="C520" s="1211" t="s">
        <v>1389</v>
      </c>
      <c r="D520" s="1208"/>
      <c r="E520" s="1208"/>
      <c r="F520" s="1208"/>
      <c r="G520" s="1208"/>
      <c r="H520" s="1208"/>
      <c r="I520" s="1208"/>
      <c r="J520" s="2526" t="s">
        <v>2102</v>
      </c>
      <c r="K520" s="1208"/>
      <c r="L520" s="1208"/>
      <c r="M520" s="1208"/>
      <c r="N520" s="1209"/>
      <c r="O520" s="1210"/>
      <c r="P520" s="1210"/>
      <c r="AE520" s="502"/>
      <c r="AF520" s="502"/>
    </row>
    <row r="521" spans="2:32" s="495" customFormat="1" ht="11.25">
      <c r="B521" s="1208"/>
      <c r="C521" s="1211" t="s">
        <v>2281</v>
      </c>
      <c r="D521" s="1208"/>
      <c r="E521" s="1208"/>
      <c r="F521" s="1208"/>
      <c r="G521" s="1208"/>
      <c r="H521" s="1208"/>
      <c r="I521" s="1208"/>
      <c r="J521" s="1208"/>
      <c r="K521" s="1208"/>
      <c r="L521" s="1208"/>
      <c r="M521" s="1208"/>
      <c r="N521" s="1209"/>
      <c r="O521" s="1210"/>
      <c r="P521" s="1210"/>
      <c r="AE521" s="502"/>
      <c r="AF521" s="502"/>
    </row>
    <row r="522" spans="2:32" s="495" customFormat="1" ht="11.2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c r="B523" s="1207"/>
      <c r="C523" s="1213" t="s">
        <v>1589</v>
      </c>
      <c r="D523" s="1207"/>
      <c r="E523" s="1207"/>
      <c r="F523" s="1207"/>
      <c r="G523" s="1207"/>
      <c r="H523" s="1207"/>
      <c r="I523" s="1207"/>
      <c r="J523" s="1213" t="s">
        <v>3777</v>
      </c>
      <c r="K523" s="1207"/>
      <c r="L523" s="1207"/>
      <c r="M523" s="1207"/>
      <c r="N523" s="1207"/>
      <c r="O523" s="1210"/>
      <c r="P523" s="1207"/>
      <c r="AE523" s="478"/>
      <c r="AF523" s="478"/>
    </row>
    <row r="524" spans="2:32" s="55" customFormat="1" ht="11.25">
      <c r="B524" s="1207"/>
      <c r="C524" s="1207" t="s">
        <v>1771</v>
      </c>
      <c r="D524" s="1207"/>
      <c r="E524" s="1207"/>
      <c r="F524" s="1207"/>
      <c r="G524" s="1207"/>
      <c r="H524" s="1207"/>
      <c r="I524" s="1207"/>
      <c r="J524" s="1207" t="s">
        <v>4771</v>
      </c>
      <c r="K524" s="1207"/>
      <c r="L524" s="1207"/>
      <c r="M524" s="1207"/>
      <c r="N524" s="1207"/>
      <c r="O524" s="1207"/>
      <c r="P524" s="1207"/>
      <c r="AE524" s="478"/>
      <c r="AF524" s="478"/>
    </row>
    <row r="525" spans="2:32" s="55" customFormat="1" ht="11.25">
      <c r="B525" s="1207"/>
      <c r="C525" s="1207" t="s">
        <v>2088</v>
      </c>
      <c r="D525" s="1207"/>
      <c r="E525" s="1208"/>
      <c r="F525" s="1208"/>
      <c r="G525" s="1208"/>
      <c r="H525" s="1208"/>
      <c r="I525" s="1208"/>
      <c r="J525" s="1208" t="s">
        <v>3770</v>
      </c>
      <c r="K525" s="1208"/>
      <c r="L525" s="1208"/>
      <c r="M525" s="1208"/>
      <c r="N525" s="1207"/>
      <c r="O525" s="1207"/>
      <c r="P525" s="1207"/>
      <c r="AE525" s="478"/>
      <c r="AF525" s="478"/>
    </row>
    <row r="526" spans="2:32" s="55" customFormat="1" ht="11.25">
      <c r="B526" s="1207"/>
      <c r="C526" s="1207" t="s">
        <v>2543</v>
      </c>
      <c r="D526" s="1208"/>
      <c r="E526" s="1208"/>
      <c r="F526" s="1208"/>
      <c r="G526" s="1208"/>
      <c r="H526" s="1207"/>
      <c r="I526" s="1208"/>
      <c r="J526" s="1208" t="s">
        <v>3771</v>
      </c>
      <c r="K526" s="1208"/>
      <c r="L526" s="1208"/>
      <c r="M526" s="1208"/>
      <c r="N526" s="1207"/>
      <c r="O526" s="1207"/>
      <c r="P526" s="1207"/>
      <c r="AE526" s="478"/>
      <c r="AF526" s="478"/>
    </row>
    <row r="527" spans="2:32" s="55" customFormat="1" ht="11.25">
      <c r="B527" s="1207"/>
      <c r="C527" s="1207" t="s">
        <v>2089</v>
      </c>
      <c r="D527" s="1208"/>
      <c r="E527" s="1208"/>
      <c r="F527" s="1208"/>
      <c r="G527" s="1208"/>
      <c r="H527" s="1208"/>
      <c r="I527" s="1208"/>
      <c r="J527" s="1208" t="s">
        <v>4769</v>
      </c>
      <c r="K527" s="1208"/>
      <c r="L527" s="1208"/>
      <c r="M527" s="1208"/>
      <c r="N527" s="1207"/>
      <c r="O527" s="1207"/>
      <c r="P527" s="1207"/>
      <c r="AE527" s="478"/>
      <c r="AF527" s="478"/>
    </row>
    <row r="528" spans="2:32" s="55" customFormat="1" ht="11.25">
      <c r="B528" s="1207"/>
      <c r="C528" s="1207" t="s">
        <v>1650</v>
      </c>
      <c r="D528" s="1208"/>
      <c r="E528" s="1208"/>
      <c r="F528" s="1208"/>
      <c r="G528" s="1208"/>
      <c r="H528" s="1207"/>
      <c r="I528" s="1208"/>
      <c r="J528" s="1207" t="s">
        <v>3975</v>
      </c>
      <c r="K528" s="1208"/>
      <c r="L528" s="1208"/>
      <c r="M528" s="1208"/>
      <c r="N528" s="1207"/>
      <c r="O528" s="1207"/>
      <c r="P528" s="1207"/>
      <c r="AE528" s="478"/>
      <c r="AF528" s="478"/>
    </row>
    <row r="529" spans="2:32" s="55" customFormat="1" ht="11.25">
      <c r="B529" s="1207"/>
      <c r="C529" s="1215" t="s">
        <v>2010</v>
      </c>
      <c r="D529" s="1208"/>
      <c r="E529" s="1208"/>
      <c r="F529" s="1208"/>
      <c r="G529" s="1208"/>
      <c r="H529" s="1207"/>
      <c r="I529" s="1208"/>
      <c r="J529" s="1208" t="s">
        <v>4770</v>
      </c>
      <c r="K529" s="1208"/>
      <c r="L529" s="1208"/>
      <c r="M529" s="1208"/>
      <c r="N529" s="1207"/>
      <c r="O529" s="1207"/>
      <c r="P529" s="1207"/>
      <c r="AE529" s="478"/>
      <c r="AF529" s="478"/>
    </row>
    <row r="530" spans="2:32" s="55" customFormat="1" ht="11.25">
      <c r="B530" s="1207"/>
      <c r="C530" s="1207" t="s">
        <v>230</v>
      </c>
      <c r="D530" s="1208"/>
      <c r="E530" s="1208"/>
      <c r="F530" s="1208"/>
      <c r="G530" s="1208"/>
      <c r="H530" s="1207"/>
      <c r="I530" s="1208"/>
      <c r="J530" s="1208" t="s">
        <v>3976</v>
      </c>
      <c r="K530" s="1208"/>
      <c r="L530" s="1208"/>
      <c r="M530" s="1208"/>
      <c r="N530" s="1207"/>
      <c r="O530" s="1207"/>
      <c r="P530" s="1207"/>
      <c r="AE530" s="478"/>
      <c r="AF530" s="478"/>
    </row>
    <row r="531" spans="2:32" s="55" customFormat="1" ht="11.2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1.2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1.25">
      <c r="B533" s="1207"/>
      <c r="C533" s="1207" t="s">
        <v>2504</v>
      </c>
      <c r="D533" s="1208"/>
      <c r="E533" s="1208"/>
      <c r="F533" s="1208"/>
      <c r="G533" s="1208"/>
      <c r="H533" s="1208"/>
      <c r="I533" s="1208"/>
      <c r="J533" s="1208"/>
      <c r="K533" s="1208"/>
      <c r="L533" s="1208"/>
      <c r="M533" s="1208"/>
      <c r="N533" s="1207"/>
      <c r="O533" s="1207"/>
      <c r="P533" s="1207"/>
      <c r="AE533" s="478"/>
      <c r="AF533" s="478"/>
    </row>
    <row r="534" spans="2:32" s="55" customFormat="1" ht="11.2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1.2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1.25">
      <c r="B536" s="1207"/>
      <c r="C536" s="1207" t="s">
        <v>2506</v>
      </c>
      <c r="D536" s="1208"/>
      <c r="E536" s="1208"/>
      <c r="F536" s="1208"/>
      <c r="G536" s="1208"/>
      <c r="H536" s="1208"/>
      <c r="I536" s="1208"/>
      <c r="J536" s="1207"/>
      <c r="K536" s="1208"/>
      <c r="L536" s="1208"/>
      <c r="M536" s="1208"/>
      <c r="N536" s="1207"/>
      <c r="O536" s="1207"/>
      <c r="P536" s="1207"/>
      <c r="AE536" s="478"/>
      <c r="AF536" s="478"/>
    </row>
    <row r="537" spans="2:32" s="55" customFormat="1" ht="11.25">
      <c r="B537" s="1207"/>
      <c r="C537" s="1207" t="s">
        <v>1656</v>
      </c>
      <c r="D537" s="1208"/>
      <c r="E537" s="1208"/>
      <c r="F537" s="1208"/>
      <c r="G537" s="1208"/>
      <c r="H537" s="1208"/>
      <c r="I537" s="1208"/>
      <c r="J537" s="1207"/>
      <c r="K537" s="1208"/>
      <c r="L537" s="1208"/>
      <c r="M537" s="1208"/>
      <c r="N537" s="1207" t="s">
        <v>2505</v>
      </c>
      <c r="O537" s="1207"/>
      <c r="P537" s="1207"/>
      <c r="AE537" s="478"/>
      <c r="AF537" s="478"/>
    </row>
    <row r="538" spans="2:32" s="55" customFormat="1" ht="11.2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1.2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1.2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1.2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1.25">
      <c r="B542" s="1207"/>
      <c r="C542" s="1207" t="s">
        <v>1874</v>
      </c>
      <c r="D542" s="1208"/>
      <c r="E542" s="1208"/>
      <c r="F542" s="1208"/>
      <c r="G542" s="1208"/>
      <c r="H542" s="1208"/>
      <c r="I542" s="1208"/>
      <c r="J542" s="1208"/>
      <c r="K542" s="1208"/>
      <c r="L542" s="1208"/>
      <c r="M542" s="1208"/>
      <c r="N542" s="1207"/>
      <c r="O542" s="1207"/>
      <c r="P542" s="1207"/>
      <c r="AE542" s="478"/>
      <c r="AF542" s="478"/>
    </row>
    <row r="543" spans="2:32" s="55" customFormat="1" ht="11.2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2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1.2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1.2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1.2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1.2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1.25">
      <c r="B550" s="1207"/>
      <c r="C550" s="1211" t="s">
        <v>2155</v>
      </c>
      <c r="D550" s="1207"/>
      <c r="E550" s="1207"/>
      <c r="F550" s="1207"/>
      <c r="G550" s="1207"/>
      <c r="H550" s="1207"/>
      <c r="I550" s="1207"/>
      <c r="J550" s="1207"/>
      <c r="K550" s="1207"/>
      <c r="L550" s="1211"/>
      <c r="M550" s="1207"/>
      <c r="N550" s="1207"/>
      <c r="O550" s="1207"/>
      <c r="P550" s="1207"/>
      <c r="AE550" s="478"/>
      <c r="AF550" s="478"/>
    </row>
    <row r="551" spans="2:32" s="55" customFormat="1" ht="11.2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2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25">
      <c r="B553" s="1207"/>
      <c r="C553" s="1216" t="s">
        <v>1879</v>
      </c>
      <c r="D553" s="1207"/>
      <c r="E553" s="1207"/>
      <c r="F553" s="1207"/>
      <c r="G553" s="1207"/>
      <c r="H553" s="1207"/>
      <c r="I553" s="1207"/>
      <c r="J553" s="1207"/>
      <c r="K553" s="1207"/>
      <c r="L553" s="1207"/>
      <c r="M553" s="1207"/>
      <c r="N553" s="1207"/>
      <c r="O553" s="1207"/>
      <c r="P553" s="1207"/>
      <c r="AE553" s="478"/>
      <c r="AF553" s="478"/>
    </row>
    <row r="554" spans="2:32" s="55" customFormat="1" ht="11.2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1.2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2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2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25">
      <c r="B558" s="1207"/>
      <c r="C558" s="1216" t="s">
        <v>2673</v>
      </c>
      <c r="D558" s="1207"/>
      <c r="E558" s="1207"/>
      <c r="F558" s="1207"/>
      <c r="G558" s="1207"/>
      <c r="H558" s="1207"/>
      <c r="I558" s="1207"/>
      <c r="J558" s="1207"/>
      <c r="K558" s="1207"/>
      <c r="L558" s="1207"/>
      <c r="M558" s="1207"/>
      <c r="N558" s="1207"/>
      <c r="O558" s="1207"/>
      <c r="P558" s="1207"/>
      <c r="AE558" s="478"/>
      <c r="AF558" s="478"/>
    </row>
    <row r="559" spans="2:32" s="55" customFormat="1" ht="11.25">
      <c r="B559" s="1207"/>
      <c r="C559" s="1211" t="s">
        <v>2009</v>
      </c>
      <c r="D559" s="1207"/>
      <c r="E559" s="1207"/>
      <c r="F559" s="1207"/>
      <c r="G559" s="1207"/>
      <c r="H559" s="1207"/>
      <c r="I559" s="1207"/>
      <c r="J559" s="1207"/>
      <c r="K559" s="1207"/>
      <c r="L559" s="1211"/>
      <c r="M559" s="1207"/>
      <c r="N559" s="1207"/>
      <c r="O559" s="1207"/>
      <c r="P559" s="1207"/>
      <c r="AE559" s="478"/>
      <c r="AF559" s="478"/>
    </row>
    <row r="560" spans="2:32" s="55" customFormat="1" ht="11.25">
      <c r="B560" s="1207"/>
      <c r="C560" s="1216" t="s">
        <v>2674</v>
      </c>
      <c r="D560" s="1207"/>
      <c r="E560" s="1207"/>
      <c r="F560" s="1207"/>
      <c r="G560" s="1207"/>
      <c r="H560" s="1207"/>
      <c r="I560" s="1207"/>
      <c r="J560" s="1207"/>
      <c r="K560" s="1207"/>
      <c r="L560" s="1211"/>
      <c r="M560" s="1207"/>
      <c r="N560" s="1207"/>
      <c r="O560" s="1207"/>
      <c r="P560" s="1207"/>
      <c r="AE560" s="478"/>
      <c r="AF560" s="478"/>
    </row>
    <row r="561" spans="2:32" s="55" customFormat="1" ht="11.2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1.2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1.25">
      <c r="B563" s="1207"/>
      <c r="C563" s="1216" t="s">
        <v>2675</v>
      </c>
      <c r="D563" s="1207"/>
      <c r="E563" s="1207"/>
      <c r="F563" s="1207"/>
      <c r="G563" s="1207"/>
      <c r="H563" s="1207"/>
      <c r="I563" s="1207"/>
      <c r="J563" s="1207"/>
      <c r="K563" s="1207" t="s">
        <v>1083</v>
      </c>
      <c r="L563" s="1211"/>
      <c r="M563" s="1207"/>
      <c r="N563" s="1207"/>
      <c r="O563" s="1207"/>
      <c r="P563" s="1207"/>
      <c r="AE563" s="478"/>
      <c r="AF563" s="478"/>
    </row>
    <row r="564" spans="2:32" s="55" customFormat="1" ht="11.25">
      <c r="B564" s="1207"/>
      <c r="C564" s="1216" t="s">
        <v>2676</v>
      </c>
      <c r="D564" s="1207"/>
      <c r="E564" s="1207"/>
      <c r="F564" s="1207"/>
      <c r="G564" s="1207"/>
      <c r="H564" s="1207"/>
      <c r="I564" s="1207"/>
      <c r="J564" s="1207"/>
      <c r="K564" s="1207" t="s">
        <v>3765</v>
      </c>
      <c r="L564" s="1207"/>
      <c r="M564" s="1207"/>
      <c r="N564" s="1207"/>
      <c r="O564" s="1207"/>
      <c r="P564" s="1207"/>
      <c r="AE564" s="478"/>
      <c r="AF564" s="478"/>
    </row>
    <row r="565" spans="2:32" s="55" customFormat="1" ht="11.25">
      <c r="B565" s="1207"/>
      <c r="C565" s="1211" t="s">
        <v>1204</v>
      </c>
      <c r="D565" s="1207"/>
      <c r="E565" s="1207"/>
      <c r="F565" s="1207"/>
      <c r="G565" s="1207"/>
      <c r="H565" s="1207"/>
      <c r="I565" s="1207"/>
      <c r="J565" s="1207"/>
      <c r="K565" s="1207" t="s">
        <v>2649</v>
      </c>
      <c r="L565" s="1207"/>
      <c r="M565" s="1207"/>
      <c r="N565" s="1207"/>
      <c r="O565" s="1207"/>
      <c r="P565" s="1207"/>
      <c r="AE565" s="478"/>
      <c r="AF565" s="478"/>
    </row>
    <row r="566" spans="2:32" s="55" customFormat="1" ht="11.2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c r="B567" s="1207"/>
      <c r="C567" s="1213" t="s">
        <v>255</v>
      </c>
      <c r="D567" s="1207"/>
      <c r="E567" s="1207"/>
      <c r="F567" s="1207"/>
      <c r="G567" s="1207"/>
      <c r="H567" s="1207"/>
      <c r="I567" s="1207"/>
      <c r="J567" s="1207"/>
      <c r="K567" s="1212" t="s">
        <v>2240</v>
      </c>
      <c r="L567" s="1207"/>
      <c r="M567" s="1207"/>
      <c r="N567" s="1207"/>
      <c r="O567" s="1207"/>
      <c r="P567" s="1207"/>
      <c r="AE567" s="478"/>
      <c r="AF567" s="478"/>
    </row>
    <row r="568" spans="2:32" s="55" customFormat="1" ht="11.25">
      <c r="B568" s="1207"/>
      <c r="C568" s="1207" t="s">
        <v>1084</v>
      </c>
      <c r="D568" s="1207"/>
      <c r="E568" s="1207"/>
      <c r="F568" s="1207"/>
      <c r="G568" s="1207"/>
      <c r="H568" s="1207"/>
      <c r="I568" s="1207"/>
      <c r="J568" s="1207"/>
      <c r="K568" s="1207" t="s">
        <v>2326</v>
      </c>
      <c r="L568" s="1207"/>
      <c r="M568" s="1207"/>
      <c r="N568" s="1207"/>
      <c r="O568" s="1207"/>
      <c r="P568" s="1207"/>
      <c r="AE568" s="478"/>
      <c r="AF568" s="478"/>
    </row>
    <row r="569" spans="2:32" s="55" customFormat="1" ht="11.25">
      <c r="B569" s="1207"/>
      <c r="C569" s="1207" t="s">
        <v>170</v>
      </c>
      <c r="D569" s="1207"/>
      <c r="E569" s="1207"/>
      <c r="F569" s="1207"/>
      <c r="G569" s="1207"/>
      <c r="H569" s="1207"/>
      <c r="I569" s="1207"/>
      <c r="J569" s="1207"/>
      <c r="K569" s="2529" t="s">
        <v>4922</v>
      </c>
      <c r="L569" s="1207"/>
      <c r="M569" s="1207"/>
      <c r="N569" s="1207"/>
      <c r="O569" s="1207"/>
      <c r="P569" s="1207"/>
      <c r="AE569" s="478"/>
      <c r="AF569" s="478"/>
    </row>
    <row r="570" spans="2:32" s="55" customFormat="1" ht="11.25">
      <c r="B570" s="1207"/>
      <c r="C570" s="1207" t="s">
        <v>1526</v>
      </c>
      <c r="D570" s="1207"/>
      <c r="E570" s="1207"/>
      <c r="F570" s="1207"/>
      <c r="G570" s="1207"/>
      <c r="H570" s="1207"/>
      <c r="I570" s="1207"/>
      <c r="J570" s="1207"/>
      <c r="K570" s="1207" t="s">
        <v>3911</v>
      </c>
      <c r="L570" s="1207"/>
      <c r="M570" s="1207"/>
      <c r="N570" s="1207"/>
      <c r="O570" s="1207"/>
      <c r="P570" s="1207"/>
      <c r="AE570" s="478"/>
      <c r="AF570" s="478"/>
    </row>
    <row r="571" spans="2:32" s="55" customFormat="1" ht="11.25">
      <c r="B571" s="1207"/>
      <c r="C571" s="1207" t="s">
        <v>2117</v>
      </c>
      <c r="D571" s="1207"/>
      <c r="E571" s="1207"/>
      <c r="F571" s="1207"/>
      <c r="G571" s="1207"/>
      <c r="H571" s="1207"/>
      <c r="I571" s="1207"/>
      <c r="J571" s="1207"/>
      <c r="K571" s="1207" t="s">
        <v>4923</v>
      </c>
      <c r="L571" s="1207"/>
      <c r="M571" s="1207"/>
      <c r="N571" s="1207"/>
      <c r="O571" s="1207"/>
      <c r="P571" s="1207"/>
      <c r="AE571" s="478"/>
      <c r="AF571" s="478"/>
    </row>
    <row r="572" spans="2:32" s="55" customFormat="1" ht="11.25">
      <c r="B572" s="1207"/>
      <c r="C572" s="1207" t="s">
        <v>169</v>
      </c>
      <c r="D572" s="1207"/>
      <c r="E572" s="1207"/>
      <c r="F572" s="1207"/>
      <c r="G572" s="1207"/>
      <c r="H572" s="1207"/>
      <c r="I572" s="1207"/>
      <c r="J572" s="1207"/>
      <c r="K572" s="1207" t="s">
        <v>2727</v>
      </c>
      <c r="L572" s="1207"/>
      <c r="M572" s="1207"/>
      <c r="N572" s="1207"/>
      <c r="O572" s="1207"/>
      <c r="P572" s="1207"/>
      <c r="AE572" s="478"/>
      <c r="AF572" s="478"/>
    </row>
    <row r="573" spans="2:32" s="55" customFormat="1" ht="11.25">
      <c r="B573" s="1207"/>
      <c r="C573" s="1207"/>
      <c r="D573" s="1207"/>
      <c r="E573" s="1207"/>
      <c r="F573" s="1207"/>
      <c r="G573" s="1207"/>
      <c r="H573" s="1207"/>
      <c r="I573" s="1207"/>
      <c r="J573" s="1207"/>
      <c r="K573" s="1212" t="s">
        <v>1947</v>
      </c>
      <c r="L573" s="1207"/>
      <c r="M573" s="1207"/>
      <c r="N573" s="1207"/>
      <c r="O573" s="1207"/>
      <c r="P573" s="1207"/>
      <c r="AE573" s="478"/>
      <c r="AF573" s="478"/>
    </row>
    <row r="574" spans="2:32" s="55" customFormat="1" ht="11.2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1.2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1.2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1.2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1.25">
      <c r="B578" s="1207"/>
      <c r="C578" s="1207"/>
      <c r="D578" s="1207"/>
      <c r="E578" s="1207"/>
      <c r="F578" s="1207"/>
      <c r="G578" s="1207"/>
      <c r="H578" s="1207"/>
      <c r="I578" s="1207"/>
      <c r="J578" s="1207"/>
      <c r="K578" s="1207" t="s">
        <v>2367</v>
      </c>
      <c r="L578" s="1207"/>
      <c r="M578" s="1207"/>
      <c r="N578" s="1207"/>
      <c r="O578" s="1207"/>
      <c r="P578" s="1207"/>
      <c r="AE578" s="478"/>
      <c r="AF578" s="478"/>
    </row>
    <row r="579" spans="2:32" s="55" customFormat="1" ht="11.2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c r="B580" s="1207"/>
      <c r="C580" s="1213" t="s">
        <v>1015</v>
      </c>
      <c r="D580" s="1207"/>
      <c r="E580" s="1207"/>
      <c r="F580" s="1207"/>
      <c r="G580" s="1207"/>
      <c r="H580" s="1207"/>
      <c r="I580" s="1207"/>
      <c r="J580" s="1207"/>
      <c r="K580" s="1207"/>
      <c r="L580" s="1207"/>
      <c r="M580" s="1213" t="s">
        <v>4975</v>
      </c>
      <c r="N580" s="1207"/>
      <c r="O580" s="1207"/>
      <c r="P580" s="1207"/>
      <c r="AE580" s="478"/>
      <c r="AF580" s="478"/>
    </row>
    <row r="581" spans="2:32" s="55" customFormat="1" ht="11.2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1.25">
      <c r="B582" s="1207"/>
      <c r="C582" s="1207" t="s">
        <v>2088</v>
      </c>
      <c r="D582" s="1207"/>
      <c r="E582" s="1207"/>
      <c r="F582" s="1207"/>
      <c r="G582" s="1207"/>
      <c r="H582" s="1207"/>
      <c r="I582" s="1207"/>
      <c r="J582" s="1207"/>
      <c r="K582" s="1207"/>
      <c r="L582" s="1207"/>
      <c r="M582" s="1207" t="s">
        <v>4972</v>
      </c>
      <c r="N582" s="1207"/>
      <c r="O582" s="1207"/>
      <c r="P582" s="1207"/>
      <c r="AE582" s="478"/>
      <c r="AF582" s="478"/>
    </row>
    <row r="583" spans="2:32" s="55" customFormat="1" ht="11.25">
      <c r="B583" s="1207"/>
      <c r="C583" s="1207" t="s">
        <v>2543</v>
      </c>
      <c r="D583" s="1207"/>
      <c r="E583" s="1207"/>
      <c r="F583" s="1207"/>
      <c r="G583" s="1207"/>
      <c r="H583" s="1207"/>
      <c r="I583" s="1207"/>
      <c r="J583" s="1207"/>
      <c r="K583" s="1207"/>
      <c r="L583" s="1207"/>
      <c r="M583" s="1207" t="s">
        <v>5009</v>
      </c>
      <c r="N583" s="1207"/>
      <c r="O583" s="1207"/>
      <c r="P583" s="1207"/>
      <c r="AE583" s="478"/>
      <c r="AF583" s="478"/>
    </row>
    <row r="584" spans="2:32" s="55" customFormat="1" ht="11.25">
      <c r="B584" s="1207"/>
      <c r="C584" s="1207" t="s">
        <v>2089</v>
      </c>
      <c r="D584" s="1207"/>
      <c r="E584" s="1207"/>
      <c r="F584" s="1207"/>
      <c r="G584" s="1207"/>
      <c r="H584" s="1207"/>
      <c r="I584" s="1207"/>
      <c r="J584" s="1207"/>
      <c r="K584" s="1207"/>
      <c r="L584" s="1207"/>
      <c r="M584" s="1207" t="s">
        <v>1654</v>
      </c>
      <c r="N584" s="1207"/>
      <c r="O584" s="1207"/>
      <c r="P584" s="1207"/>
      <c r="AE584" s="478"/>
      <c r="AF584" s="478"/>
    </row>
    <row r="585" spans="2:32" s="55" customFormat="1" ht="11.25">
      <c r="B585" s="1207"/>
      <c r="C585" s="1207" t="s">
        <v>1948</v>
      </c>
      <c r="D585" s="1207"/>
      <c r="E585" s="1207"/>
      <c r="F585" s="1207"/>
      <c r="G585" s="1207"/>
      <c r="H585" s="1207"/>
      <c r="I585" s="1207"/>
      <c r="J585" s="1207"/>
      <c r="K585" s="1207"/>
      <c r="L585" s="1207"/>
      <c r="M585" s="1207" t="s">
        <v>4973</v>
      </c>
      <c r="N585" s="1207"/>
      <c r="O585" s="1207"/>
      <c r="P585" s="1207"/>
      <c r="AE585" s="478"/>
      <c r="AF585" s="478"/>
    </row>
    <row r="586" spans="2:32" s="55" customFormat="1" ht="11.25">
      <c r="B586" s="1207"/>
      <c r="C586" s="1207" t="s">
        <v>590</v>
      </c>
      <c r="D586" s="1207"/>
      <c r="E586" s="1207"/>
      <c r="F586" s="1207"/>
      <c r="G586" s="1207"/>
      <c r="H586" s="1207"/>
      <c r="I586" s="1207"/>
      <c r="J586" s="1207"/>
      <c r="K586" s="1207"/>
      <c r="L586" s="1207"/>
      <c r="M586" s="2529" t="s">
        <v>5070</v>
      </c>
      <c r="N586" s="1207"/>
      <c r="O586" s="1207"/>
      <c r="P586" s="1207"/>
      <c r="AE586" s="478"/>
      <c r="AF586" s="478"/>
    </row>
    <row r="587" spans="2:32" s="55" customFormat="1" ht="11.25">
      <c r="B587" s="1207"/>
      <c r="C587" s="1207" t="s">
        <v>2194</v>
      </c>
      <c r="D587" s="1207"/>
      <c r="E587" s="1207"/>
      <c r="F587" s="1207"/>
      <c r="G587" s="1207"/>
      <c r="H587" s="1207"/>
      <c r="I587" s="1207"/>
      <c r="J587" s="1207"/>
      <c r="K587" s="1207"/>
      <c r="L587" s="1207"/>
      <c r="M587" s="2529" t="s">
        <v>5071</v>
      </c>
      <c r="N587" s="1207"/>
      <c r="O587" s="1207"/>
      <c r="P587" s="1207"/>
      <c r="AE587" s="478"/>
      <c r="AF587" s="478"/>
    </row>
    <row r="588" spans="2:32" s="55" customFormat="1" ht="11.25">
      <c r="B588" s="1207"/>
      <c r="C588" s="1215" t="s">
        <v>33</v>
      </c>
      <c r="D588" s="1207"/>
      <c r="E588" s="1207"/>
      <c r="F588" s="1207"/>
      <c r="G588" s="1207"/>
      <c r="H588" s="1207"/>
      <c r="I588" s="1207"/>
      <c r="J588" s="1207"/>
      <c r="K588" s="1207"/>
      <c r="L588" s="1207"/>
      <c r="M588" s="1207" t="s">
        <v>4974</v>
      </c>
      <c r="N588" s="1207"/>
      <c r="O588" s="1207"/>
      <c r="P588" s="1207"/>
      <c r="AE588" s="478"/>
      <c r="AF588" s="478"/>
    </row>
    <row r="589" spans="2:32" s="55" customFormat="1" ht="11.25">
      <c r="B589" s="1207"/>
      <c r="C589" s="1207"/>
      <c r="D589" s="1207"/>
      <c r="E589" s="1207"/>
      <c r="F589" s="1207"/>
      <c r="G589" s="1207"/>
      <c r="H589" s="1207"/>
      <c r="I589" s="1207"/>
      <c r="J589" s="1207"/>
      <c r="K589" s="1207"/>
      <c r="L589" s="1207"/>
      <c r="M589" s="2580" t="s">
        <v>2102</v>
      </c>
      <c r="N589" s="1207"/>
      <c r="O589" s="1207"/>
      <c r="P589" s="1207"/>
      <c r="AE589" s="478"/>
      <c r="AF589" s="478"/>
    </row>
    <row r="590" spans="2:32" s="55" customFormat="1" ht="11.2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c r="B597" s="1207"/>
      <c r="C597" s="1207"/>
      <c r="D597" s="1214" t="s">
        <v>2036</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formula1>"&lt;&lt;Select&gt;&gt;, Substantial Gut Rehab, Historic Preservation, Pre-Application Waiver"</formula1>
    </dataValidation>
    <dataValidation type="list" allowBlank="1" showInputMessage="1" showErrorMessage="1" sqref="P241">
      <formula1>"Agree, Disagree, N/A"</formula1>
    </dataValidation>
    <dataValidation type="list" allowBlank="1" showInputMessage="1" showErrorMessage="1" sqref="P192:P193">
      <formula1>"Yes, No, N/Ap"</formula1>
    </dataValidation>
    <dataValidation type="list" allowBlank="1" showInputMessage="1" showErrorMessage="1" sqref="P6:Q6">
      <formula1>"PASS, FAIL, W/DRWN"</formula1>
    </dataValidation>
    <dataValidation type="list" allowBlank="1" showInputMessage="1" showErrorMessage="1" sqref="N167:O167">
      <formula1>"&lt;&lt;Select&gt;&gt;, Warranty Deed, Purchase Contract, Ground lease/Option, RFP Selection, Other (see comments)"</formula1>
    </dataValidation>
    <dataValidation type="list" allowBlank="1" showInputMessage="1" showErrorMessage="1" sqref="P167:Q167">
      <formula1>"&lt;&lt;Select&gt;&gt;, Warranty Deed, Contract/Option, Ground lease, No site control, Other (see comments)"</formula1>
    </dataValidation>
    <dataValidation type="list" allowBlank="1" showInputMessage="1" showErrorMessage="1" sqref="Q229:Q232 P353:Q353">
      <formula1>"Yes, No, N/A"</formula1>
    </dataValidation>
    <dataValidation type="list" allowBlank="1" showInputMessage="1" showErrorMessage="1" sqref="K223">
      <formula1>"&lt;&lt;Select&gt;&gt;, Gazebo, Covered Porch, Other - explain:"</formula1>
    </dataValidation>
    <dataValidation type="list" allowBlank="1" showInputMessage="1" showErrorMessage="1" sqref="K222">
      <formula1>"&lt;&lt;Select&gt;&gt;, Room, Building"</formula1>
    </dataValidation>
    <dataValidation type="list" allowBlank="1" showInputMessage="1" showErrorMessage="1" sqref="G329:N329">
      <formula1>$K$568:$K$572</formula1>
    </dataValidation>
    <dataValidation type="list" allowBlank="1" showInputMessage="1" showErrorMessage="1" sqref="G330:N330">
      <formula1>$K$563:$K$565</formula1>
    </dataValidation>
    <dataValidation type="list" allowBlank="1" showInputMessage="1" showErrorMessage="1" sqref="N158:Q158">
      <formula1>"&lt;&lt;Select&gt;&gt;, Minority concentration, Racially mixed, Non-minority"</formula1>
    </dataValidation>
    <dataValidation type="list" allowBlank="1" showInputMessage="1" showErrorMessage="1" sqref="P221:Q221 P446:Q455 Q222:Q225 P472:Q472 P87 P226:Q226 P233:Q233 Q241 P79:Q79 P82:P85 P289:Q291 P465:Q465 P264:Q266">
      <formula1>"Agree, Disagree"</formula1>
    </dataValidation>
    <dataValidation type="list" allowBlank="1" showInputMessage="1" showErrorMessage="1" sqref="P478 P399 P409 P420 P351 P323 P36 P288 P298 P249 P219 P209 P485 P77 P92 P107 P127 P165 P174 P184 P73 P29 P444 P340 P360 P276 P376 P461 P20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dataValidation type="list" allowBlank="1" showInputMessage="1" showErrorMessage="1" sqref="H498:I498">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formula1>"Yes, No"</formula1>
    </dataValidation>
    <dataValidation type="list" allowBlank="1" showInputMessage="1" showErrorMessage="1" sqref="O345:Q346">
      <formula1>$O$501:$O$510</formula1>
    </dataValidation>
    <dataValidation type="list" allowBlank="1" showInputMessage="1" showErrorMessage="1" sqref="P176:P178">
      <formula1>"Yes, No,N/Av,N/Ap"</formula1>
    </dataValidation>
    <dataValidation type="list" allowBlank="1" showInputMessage="1" showErrorMessage="1" sqref="P462:Q463 P468:Q469 Q487">
      <formula1>"Yes, No, N/a"</formula1>
    </dataValidation>
    <dataValidation type="list" allowBlank="1" showInputMessage="1" showErrorMessage="1" sqref="G436">
      <formula1>"&lt;&lt; Select &gt;&gt;, Non-profit, Advocacy group, Non-profit advocacy group, Relocation specialist, Local Government, Other (explain in box at right--&gt;)"</formula1>
    </dataValidation>
    <dataValidation type="list" allowBlank="1" showInputMessage="1" showErrorMessage="1" sqref="P434:Q434">
      <formula1>"&lt;&lt;Select&gt;&gt;, Applicant, Third-party"</formula1>
    </dataValidation>
    <dataValidation type="list" allowBlank="1" showInputMessage="1" showErrorMessage="1" sqref="K291:N292">
      <formula1>$J$524:$J$530</formula1>
    </dataValidation>
    <dataValidation type="list" allowBlank="1" showInputMessage="1" showErrorMessage="1" sqref="I268:K268">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formula1>"&lt;&lt;Select&gt;&gt;, N/A - no NC involved, Yes - W&amp;D hookups installed in each unit"</formula1>
    </dataValidation>
    <dataValidation type="list" allowBlank="1" showInputMessage="1" showErrorMessage="1" sqref="K225:N225">
      <formula1>"&lt;&lt;Select&gt;&gt;, On-site laundry, W&amp;D installed in each unit, Both options"</formula1>
    </dataValidation>
    <dataValidation type="list" allowBlank="1" showInputMessage="1" showErrorMessage="1" sqref="P487">
      <formula1>"Yes"</formula1>
    </dataValidation>
    <dataValidation type="list" allowBlank="1" showInputMessage="1" showErrorMessage="1" sqref="C229:G232">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85"/>
  <sheetViews>
    <sheetView showGridLines="0" zoomScaleNormal="100" workbookViewId="0">
      <selection activeCell="O71" sqref="O71"/>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2" customWidth="1"/>
    <col min="17" max="17" width="6" style="27" customWidth="1"/>
    <col min="18" max="21" width="9.140625" style="27" customWidth="1"/>
    <col min="22" max="22" width="8.85546875" style="27" customWidth="1"/>
    <col min="23" max="16384" width="9.140625" style="27"/>
  </cols>
  <sheetData>
    <row r="1" spans="1:22" s="35" customFormat="1" ht="14.1" customHeight="1">
      <c r="A1" s="3296" t="str">
        <f>CONCATENATE("PART NINE - SCORING CRITERIA","  -  ",'Part I-Project Information'!$O$6," ",'Part I-Project Information'!$F$34,", ",'Part I-Project Information'!F38,", ",'Part I-Project Information'!J39," County")</f>
        <v>PART NINE - SCORING CRITERIA  -  2019-5 55 Milton, Atlanta, Fulton County</v>
      </c>
      <c r="B1" s="3297"/>
      <c r="C1" s="3297"/>
      <c r="D1" s="3297"/>
      <c r="E1" s="3297"/>
      <c r="F1" s="3297"/>
      <c r="G1" s="3297"/>
      <c r="H1" s="3297"/>
      <c r="I1" s="3297"/>
      <c r="J1" s="3297"/>
      <c r="K1" s="3297"/>
      <c r="L1" s="3297"/>
      <c r="M1" s="3297"/>
      <c r="N1" s="3297"/>
      <c r="O1" s="3297"/>
      <c r="P1" s="3298"/>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3974" t="s">
        <v>4942</v>
      </c>
      <c r="B3" s="3974"/>
      <c r="C3" s="3974"/>
      <c r="D3" s="3974"/>
      <c r="E3" s="3974"/>
      <c r="F3" s="3974"/>
      <c r="G3" s="3974"/>
      <c r="H3" s="3974"/>
      <c r="I3" s="3974"/>
      <c r="J3" s="3974"/>
      <c r="K3" s="3974"/>
      <c r="L3" s="3974"/>
      <c r="M3" s="1435" t="s">
        <v>2218</v>
      </c>
      <c r="N3" s="74"/>
      <c r="O3" s="85" t="s">
        <v>2217</v>
      </c>
      <c r="P3" s="1436" t="s">
        <v>256</v>
      </c>
      <c r="Q3" s="2575"/>
      <c r="R3" s="2575"/>
      <c r="S3" s="2575"/>
    </row>
    <row r="4" spans="1:22" s="44" customFormat="1" ht="12" customHeight="1">
      <c r="A4" s="3974"/>
      <c r="B4" s="3974"/>
      <c r="C4" s="3974"/>
      <c r="D4" s="3974"/>
      <c r="E4" s="3974"/>
      <c r="F4" s="3974"/>
      <c r="G4" s="3974"/>
      <c r="H4" s="3974"/>
      <c r="I4" s="3974"/>
      <c r="J4" s="3974"/>
      <c r="K4" s="3974"/>
      <c r="L4" s="3974"/>
      <c r="M4" s="1437" t="s">
        <v>93</v>
      </c>
      <c r="N4" s="86"/>
      <c r="O4" s="193" t="s">
        <v>2218</v>
      </c>
      <c r="P4" s="193" t="s">
        <v>2218</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38" t="str">
        <f>'Part I-Project Information'!$B$6</f>
        <v>May 2019 Final</v>
      </c>
      <c r="C6" s="4038"/>
      <c r="D6" s="4038"/>
      <c r="E6" s="4038"/>
      <c r="F6" s="4038"/>
      <c r="G6" s="533"/>
      <c r="H6" s="42"/>
      <c r="I6" s="42"/>
      <c r="J6" s="42"/>
      <c r="L6" s="70" t="s">
        <v>1226</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4807</v>
      </c>
      <c r="D8" s="52"/>
      <c r="E8" s="52"/>
      <c r="F8" s="52"/>
      <c r="G8" s="67"/>
      <c r="H8" s="192" t="s">
        <v>4905</v>
      </c>
      <c r="I8" s="67"/>
      <c r="J8" s="67"/>
      <c r="K8" s="67"/>
      <c r="L8" s="67"/>
      <c r="M8" s="2451" t="s">
        <v>4904</v>
      </c>
      <c r="N8" s="67"/>
      <c r="O8" s="2450"/>
      <c r="P8" s="2447">
        <f>IF(P10&lt;2,0,IF(AND(P10&gt;1,P10&lt;5),1,IF(P10&gt;4,P10-3)))</f>
        <v>0</v>
      </c>
      <c r="Q8" s="36" t="s">
        <v>4906</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4145</v>
      </c>
      <c r="B10" s="2516" t="s">
        <v>4146</v>
      </c>
      <c r="C10" s="1474"/>
      <c r="D10" s="1474"/>
      <c r="E10" s="1118" t="s">
        <v>4173</v>
      </c>
      <c r="F10" s="4022" t="s">
        <v>4172</v>
      </c>
      <c r="G10" s="4022"/>
      <c r="H10" s="4022"/>
      <c r="I10" s="4022"/>
      <c r="J10" s="4022"/>
      <c r="K10" s="4022"/>
      <c r="L10" s="4022"/>
      <c r="M10" s="4022"/>
      <c r="N10" s="4022"/>
      <c r="O10" s="2517" t="s">
        <v>4805</v>
      </c>
      <c r="P10" s="2518">
        <f>SUM(P11:P20)</f>
        <v>0</v>
      </c>
      <c r="Q10" s="3931" t="s">
        <v>5019</v>
      </c>
      <c r="R10" s="3931"/>
      <c r="S10" s="3931"/>
      <c r="T10" s="3931"/>
      <c r="U10" s="3931"/>
      <c r="V10" s="3931"/>
    </row>
    <row r="11" spans="1:22" s="42" customFormat="1" ht="11.25" customHeight="1">
      <c r="A11" s="1457" t="s">
        <v>742</v>
      </c>
      <c r="B11" s="1458" t="s">
        <v>4147</v>
      </c>
      <c r="C11" s="1459"/>
      <c r="D11" s="1460"/>
      <c r="E11" s="2507">
        <f>$O$61</f>
        <v>0</v>
      </c>
      <c r="F11" s="4023">
        <f>$A$67</f>
        <v>0</v>
      </c>
      <c r="G11" s="4024"/>
      <c r="H11" s="4024"/>
      <c r="I11" s="4024"/>
      <c r="J11" s="4024"/>
      <c r="K11" s="4024"/>
      <c r="L11" s="4024"/>
      <c r="M11" s="4024"/>
      <c r="N11" s="4024"/>
      <c r="O11" s="4024"/>
      <c r="P11" s="2537"/>
      <c r="Q11" s="3931"/>
      <c r="R11" s="3931"/>
      <c r="S11" s="3931"/>
      <c r="T11" s="3931"/>
      <c r="U11" s="3931"/>
      <c r="V11" s="3931"/>
    </row>
    <row r="12" spans="1:22" s="42" customFormat="1" ht="11.25" customHeight="1">
      <c r="A12" s="1461" t="s">
        <v>530</v>
      </c>
      <c r="B12" s="1119" t="s">
        <v>4149</v>
      </c>
      <c r="C12" s="1324"/>
      <c r="D12" s="1462"/>
      <c r="E12" s="2508">
        <f>$O$153</f>
        <v>0</v>
      </c>
      <c r="F12" s="3977">
        <f>$A$185</f>
        <v>0</v>
      </c>
      <c r="G12" s="3978"/>
      <c r="H12" s="3978"/>
      <c r="I12" s="3978"/>
      <c r="J12" s="3978"/>
      <c r="K12" s="3978"/>
      <c r="L12" s="3978"/>
      <c r="M12" s="3978"/>
      <c r="N12" s="3978"/>
      <c r="O12" s="3979"/>
      <c r="P12" s="2538"/>
      <c r="Q12" s="3945" t="str">
        <f>IF(OR($A$67="",$A$302="",$A$185="",$A$224="",$A$273="",$A$325="",$A$365="",$A$380="",$A$416="",$A$436=""),"Some Applicant Scoring Justification boxes are empty! Check to see if points claimed.","")</f>
        <v>Some Applicant Scoring Justification boxes are empty! Check to see if points claimed.</v>
      </c>
      <c r="R12" s="3946"/>
      <c r="S12" s="3946"/>
    </row>
    <row r="13" spans="1:22" s="42" customFormat="1" ht="11.25" customHeight="1">
      <c r="A13" s="1461" t="s">
        <v>772</v>
      </c>
      <c r="B13" s="1119" t="s">
        <v>4150</v>
      </c>
      <c r="C13" s="1324"/>
      <c r="D13" s="1462"/>
      <c r="E13" s="2509">
        <f>$O$189</f>
        <v>0</v>
      </c>
      <c r="F13" s="3977">
        <f>$A$224</f>
        <v>0</v>
      </c>
      <c r="G13" s="3978"/>
      <c r="H13" s="3978"/>
      <c r="I13" s="3978"/>
      <c r="J13" s="3978"/>
      <c r="K13" s="3978"/>
      <c r="L13" s="3978"/>
      <c r="M13" s="3978"/>
      <c r="N13" s="3978"/>
      <c r="O13" s="3979"/>
      <c r="P13" s="2538"/>
      <c r="Q13" s="3945"/>
      <c r="R13" s="3946"/>
      <c r="S13" s="3946"/>
    </row>
    <row r="14" spans="1:22" s="42" customFormat="1" ht="11.25" customHeight="1">
      <c r="A14" s="1467" t="s">
        <v>292</v>
      </c>
      <c r="B14" s="1468" t="s">
        <v>4151</v>
      </c>
      <c r="C14" s="1469"/>
      <c r="D14" s="1470"/>
      <c r="E14" s="2510" t="s">
        <v>1733</v>
      </c>
      <c r="F14" s="4025">
        <f>$A$273</f>
        <v>0</v>
      </c>
      <c r="G14" s="4026"/>
      <c r="H14" s="4026"/>
      <c r="I14" s="4026"/>
      <c r="J14" s="4026"/>
      <c r="K14" s="4026"/>
      <c r="L14" s="4026"/>
      <c r="M14" s="4026"/>
      <c r="N14" s="4026"/>
      <c r="O14" s="4027"/>
      <c r="P14" s="2538"/>
      <c r="Q14" s="3945"/>
      <c r="R14" s="3946"/>
      <c r="S14" s="3946"/>
    </row>
    <row r="15" spans="1:22" s="42" customFormat="1" ht="11.25" customHeight="1">
      <c r="A15" s="1461" t="s">
        <v>362</v>
      </c>
      <c r="B15" s="1119" t="s">
        <v>3789</v>
      </c>
      <c r="C15" s="1324"/>
      <c r="D15" s="1462"/>
      <c r="E15" s="2508">
        <f>$O$298</f>
        <v>0</v>
      </c>
      <c r="F15" s="3977">
        <f>$A$302</f>
        <v>0</v>
      </c>
      <c r="G15" s="3978"/>
      <c r="H15" s="3978"/>
      <c r="I15" s="3978"/>
      <c r="J15" s="3978"/>
      <c r="K15" s="3978"/>
      <c r="L15" s="3978"/>
      <c r="M15" s="3978"/>
      <c r="N15" s="3978"/>
      <c r="O15" s="3979"/>
      <c r="P15" s="2538"/>
      <c r="Q15" s="3945"/>
      <c r="R15" s="3946"/>
      <c r="S15" s="3946"/>
    </row>
    <row r="16" spans="1:22" s="42" customFormat="1" ht="11.25" customHeight="1">
      <c r="A16" s="1461" t="s">
        <v>4898</v>
      </c>
      <c r="B16" s="1119" t="s">
        <v>4457</v>
      </c>
      <c r="C16" s="1324"/>
      <c r="D16" s="1462"/>
      <c r="E16" s="2510">
        <f>$O$306</f>
        <v>0</v>
      </c>
      <c r="F16" s="3977">
        <f>$A$325</f>
        <v>0</v>
      </c>
      <c r="G16" s="3978"/>
      <c r="H16" s="3978"/>
      <c r="I16" s="3978"/>
      <c r="J16" s="3978"/>
      <c r="K16" s="3978"/>
      <c r="L16" s="3978"/>
      <c r="M16" s="3978"/>
      <c r="N16" s="3978"/>
      <c r="O16" s="3979"/>
      <c r="P16" s="2538"/>
      <c r="Q16" s="3945"/>
      <c r="R16" s="3946"/>
      <c r="S16" s="3946"/>
    </row>
    <row r="17" spans="1:19" s="42" customFormat="1" ht="11.25" customHeight="1">
      <c r="A17" s="1461" t="s">
        <v>2781</v>
      </c>
      <c r="B17" s="1119" t="s">
        <v>4152</v>
      </c>
      <c r="C17" s="1324"/>
      <c r="D17" s="1462"/>
      <c r="E17" s="2510">
        <f>$O$359</f>
        <v>0</v>
      </c>
      <c r="F17" s="4035">
        <f>$A$365</f>
        <v>0</v>
      </c>
      <c r="G17" s="4036"/>
      <c r="H17" s="4036"/>
      <c r="I17" s="4036"/>
      <c r="J17" s="4036"/>
      <c r="K17" s="4036"/>
      <c r="L17" s="4036"/>
      <c r="M17" s="4036"/>
      <c r="N17" s="4036"/>
      <c r="O17" s="4037"/>
      <c r="P17" s="2538"/>
      <c r="Q17" s="3945"/>
      <c r="R17" s="3946"/>
      <c r="S17" s="3946"/>
    </row>
    <row r="18" spans="1:19" s="42" customFormat="1" ht="11.25" customHeight="1">
      <c r="A18" s="1467" t="s">
        <v>2250</v>
      </c>
      <c r="B18" s="1468" t="s">
        <v>4153</v>
      </c>
      <c r="C18" s="1469"/>
      <c r="D18" s="1470"/>
      <c r="E18" s="2511">
        <f>O369</f>
        <v>0</v>
      </c>
      <c r="F18" s="3977">
        <f>$A$380</f>
        <v>0</v>
      </c>
      <c r="G18" s="3978"/>
      <c r="H18" s="3978"/>
      <c r="I18" s="3978"/>
      <c r="J18" s="3978"/>
      <c r="K18" s="3978"/>
      <c r="L18" s="3978"/>
      <c r="M18" s="3978"/>
      <c r="N18" s="3978"/>
      <c r="O18" s="3979"/>
      <c r="P18" s="2538"/>
      <c r="Q18" s="3945"/>
      <c r="R18" s="3946"/>
      <c r="S18" s="3946"/>
    </row>
    <row r="19" spans="1:19" s="42" customFormat="1" ht="11.25" customHeight="1">
      <c r="A19" s="1461" t="s">
        <v>4100</v>
      </c>
      <c r="B19" s="1119" t="s">
        <v>4154</v>
      </c>
      <c r="C19" s="1324"/>
      <c r="D19" s="1462"/>
      <c r="E19" s="2508">
        <f>$O$384</f>
        <v>0</v>
      </c>
      <c r="F19" s="3977">
        <f>$A$416</f>
        <v>0</v>
      </c>
      <c r="G19" s="3978"/>
      <c r="H19" s="3978"/>
      <c r="I19" s="3978"/>
      <c r="J19" s="3978"/>
      <c r="K19" s="3978"/>
      <c r="L19" s="3978"/>
      <c r="M19" s="3978"/>
      <c r="N19" s="3978"/>
      <c r="O19" s="3979"/>
      <c r="P19" s="2538"/>
      <c r="Q19" s="3945"/>
      <c r="R19" s="3946"/>
      <c r="S19" s="3946"/>
    </row>
    <row r="20" spans="1:19" s="42" customFormat="1" ht="11.25" customHeight="1">
      <c r="A20" s="1463" t="s">
        <v>4101</v>
      </c>
      <c r="B20" s="1464" t="s">
        <v>4156</v>
      </c>
      <c r="C20" s="1465"/>
      <c r="D20" s="1466"/>
      <c r="E20" s="2512">
        <f>$O$420</f>
        <v>0</v>
      </c>
      <c r="F20" s="4019">
        <f>$A$436</f>
        <v>0</v>
      </c>
      <c r="G20" s="4020"/>
      <c r="H20" s="4020"/>
      <c r="I20" s="4020"/>
      <c r="J20" s="4020"/>
      <c r="K20" s="4020"/>
      <c r="L20" s="4020"/>
      <c r="M20" s="4020"/>
      <c r="N20" s="4020"/>
      <c r="O20" s="4021"/>
      <c r="P20" s="2539"/>
      <c r="Q20" s="3945"/>
      <c r="R20" s="3946"/>
      <c r="S20" s="3946"/>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2783</v>
      </c>
      <c r="C22" s="4"/>
      <c r="D22" s="4"/>
      <c r="E22" s="4"/>
      <c r="F22" s="1508"/>
      <c r="H22" s="192" t="s">
        <v>4903</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1982</v>
      </c>
      <c r="B24" s="184" t="s">
        <v>4800</v>
      </c>
      <c r="D24" s="48"/>
      <c r="E24" s="48"/>
      <c r="F24" s="1508"/>
      <c r="M24" s="6"/>
      <c r="N24" s="65" t="s">
        <v>1982</v>
      </c>
    </row>
    <row r="25" spans="1:19" s="43" customFormat="1" ht="11.25" customHeight="1">
      <c r="A25" s="198"/>
      <c r="B25" s="2454" t="s">
        <v>1985</v>
      </c>
      <c r="C25" s="114" t="s">
        <v>4803</v>
      </c>
      <c r="D25" s="48"/>
      <c r="E25" s="48"/>
      <c r="F25" s="1508"/>
      <c r="H25" s="192" t="s">
        <v>3648</v>
      </c>
      <c r="J25" s="49"/>
      <c r="M25" s="6"/>
      <c r="N25" s="449" t="s">
        <v>1985</v>
      </c>
      <c r="O25" s="977"/>
      <c r="P25" s="1406">
        <f>F33</f>
        <v>0</v>
      </c>
    </row>
    <row r="26" spans="1:19" s="43" customFormat="1" ht="11.25" customHeight="1">
      <c r="A26" s="198"/>
      <c r="B26" s="2454" t="s">
        <v>1987</v>
      </c>
      <c r="C26" s="114" t="s">
        <v>5082</v>
      </c>
      <c r="D26" s="48"/>
      <c r="E26" s="48"/>
      <c r="F26" s="2426"/>
      <c r="H26" s="192" t="s">
        <v>4801</v>
      </c>
      <c r="J26" s="49"/>
      <c r="M26" s="6"/>
      <c r="N26" s="449" t="s">
        <v>1987</v>
      </c>
      <c r="O26" s="2443"/>
      <c r="P26" s="2444">
        <f>J33</f>
        <v>0</v>
      </c>
    </row>
    <row r="27" spans="1:19" s="43" customFormat="1" ht="11.25" customHeight="1">
      <c r="A27" s="198"/>
      <c r="B27" s="2454" t="s">
        <v>2533</v>
      </c>
      <c r="C27" s="114" t="s">
        <v>4802</v>
      </c>
      <c r="D27" s="48"/>
      <c r="E27" s="48"/>
      <c r="F27" s="2426"/>
      <c r="H27" s="192" t="s">
        <v>4806</v>
      </c>
      <c r="J27" s="49"/>
      <c r="M27" s="6"/>
      <c r="N27" s="449" t="s">
        <v>2533</v>
      </c>
      <c r="O27" s="600"/>
      <c r="P27" s="2445"/>
    </row>
    <row r="28" spans="1:19" s="43" customFormat="1" ht="11.25" customHeight="1">
      <c r="C28" s="4039" t="s">
        <v>5045</v>
      </c>
      <c r="D28" s="4040"/>
      <c r="E28" s="4040"/>
      <c r="F28" s="4040"/>
      <c r="G28" s="4040"/>
      <c r="H28" s="4040"/>
      <c r="I28" s="4040"/>
      <c r="J28" s="4040"/>
      <c r="K28" s="4040"/>
      <c r="L28" s="4040"/>
      <c r="M28" s="4040"/>
      <c r="N28" s="4040"/>
      <c r="O28" s="4040"/>
      <c r="P28" s="4041"/>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1984</v>
      </c>
      <c r="B30" s="184" t="s">
        <v>726</v>
      </c>
      <c r="D30" s="48"/>
      <c r="E30" s="48"/>
      <c r="F30" s="1508"/>
      <c r="H30" s="192" t="s">
        <v>2728</v>
      </c>
      <c r="J30" s="49"/>
      <c r="M30" s="6"/>
      <c r="N30" s="65" t="s">
        <v>1984</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07" t="s">
        <v>5014</v>
      </c>
      <c r="B32" s="4007"/>
      <c r="C32" s="4007"/>
      <c r="D32" s="4007"/>
      <c r="E32" s="4007"/>
      <c r="F32" s="2440" t="s">
        <v>4144</v>
      </c>
      <c r="G32" s="4011" t="s">
        <v>5015</v>
      </c>
      <c r="H32" s="4011"/>
      <c r="I32" s="4011"/>
      <c r="J32" s="2440" t="s">
        <v>4144</v>
      </c>
      <c r="K32" s="4015" t="s">
        <v>4799</v>
      </c>
      <c r="L32" s="4015"/>
      <c r="M32" s="4015"/>
      <c r="N32" s="4015"/>
      <c r="O32" s="4009" t="s">
        <v>4144</v>
      </c>
      <c r="P32" s="4010"/>
      <c r="R32" s="511"/>
      <c r="S32" s="162"/>
    </row>
    <row r="33" spans="1:20" s="42" customFormat="1" ht="11.25" customHeight="1">
      <c r="A33" s="4008"/>
      <c r="B33" s="4008"/>
      <c r="C33" s="4008"/>
      <c r="D33" s="4008"/>
      <c r="E33" s="4008"/>
      <c r="F33" s="77">
        <f>SUM(F34:F45)</f>
        <v>0</v>
      </c>
      <c r="G33" s="4012"/>
      <c r="H33" s="4013"/>
      <c r="I33" s="4014"/>
      <c r="J33" s="77">
        <f>SUM(J34:J45)</f>
        <v>0</v>
      </c>
      <c r="K33" s="4016"/>
      <c r="L33" s="4017"/>
      <c r="M33" s="4017"/>
      <c r="N33" s="4018"/>
      <c r="O33" s="3998">
        <f>SUM(O34:O45)</f>
        <v>0</v>
      </c>
      <c r="P33" s="3999"/>
      <c r="Q33" s="511"/>
      <c r="R33" s="162"/>
    </row>
    <row r="34" spans="1:20" s="42" customFormat="1" ht="24.75" customHeight="1">
      <c r="A34" s="4000">
        <v>1</v>
      </c>
      <c r="B34" s="4001"/>
      <c r="C34" s="4001"/>
      <c r="D34" s="4001"/>
      <c r="E34" s="4002"/>
      <c r="F34" s="1005"/>
      <c r="G34" s="4000">
        <v>1</v>
      </c>
      <c r="H34" s="4001"/>
      <c r="I34" s="4002"/>
      <c r="J34" s="1009" t="s">
        <v>1733</v>
      </c>
      <c r="K34" s="4003">
        <v>1</v>
      </c>
      <c r="L34" s="4004"/>
      <c r="M34" s="4004"/>
      <c r="N34" s="4004"/>
      <c r="O34" s="4005" t="s">
        <v>1733</v>
      </c>
      <c r="P34" s="4006"/>
      <c r="Q34" s="509" t="s">
        <v>1254</v>
      </c>
      <c r="R34" s="162"/>
    </row>
    <row r="35" spans="1:20" s="42" customFormat="1" ht="24.75" customHeight="1">
      <c r="A35" s="3966">
        <v>2</v>
      </c>
      <c r="B35" s="3967"/>
      <c r="C35" s="3967"/>
      <c r="D35" s="3967"/>
      <c r="E35" s="3968"/>
      <c r="F35" s="1006"/>
      <c r="G35" s="3966">
        <v>2</v>
      </c>
      <c r="H35" s="3967"/>
      <c r="I35" s="3968"/>
      <c r="J35" s="1006"/>
      <c r="K35" s="3969">
        <v>2</v>
      </c>
      <c r="L35" s="3970"/>
      <c r="M35" s="3970"/>
      <c r="N35" s="3970"/>
      <c r="O35" s="4033"/>
      <c r="P35" s="4034"/>
      <c r="Q35" s="510"/>
      <c r="R35" s="162"/>
    </row>
    <row r="36" spans="1:20" s="42" customFormat="1" ht="24.75" customHeight="1">
      <c r="A36" s="3966">
        <v>3</v>
      </c>
      <c r="B36" s="3967"/>
      <c r="C36" s="3967"/>
      <c r="D36" s="3967"/>
      <c r="E36" s="3968"/>
      <c r="F36" s="1006"/>
      <c r="G36" s="3966">
        <v>3</v>
      </c>
      <c r="H36" s="3967"/>
      <c r="I36" s="3968"/>
      <c r="J36" s="1471" t="s">
        <v>2904</v>
      </c>
      <c r="K36" s="3969">
        <v>3</v>
      </c>
      <c r="L36" s="3970"/>
      <c r="M36" s="3970"/>
      <c r="N36" s="3970"/>
      <c r="O36" s="4138" t="s">
        <v>2904</v>
      </c>
      <c r="P36" s="4139"/>
      <c r="Q36" s="4151" t="s">
        <v>4804</v>
      </c>
      <c r="R36" s="4152"/>
      <c r="S36" s="2446"/>
      <c r="T36" s="2446"/>
    </row>
    <row r="37" spans="1:20" s="42" customFormat="1" ht="24.75" customHeight="1">
      <c r="A37" s="3966">
        <v>4</v>
      </c>
      <c r="B37" s="3967"/>
      <c r="C37" s="3967"/>
      <c r="D37" s="3967"/>
      <c r="E37" s="3968"/>
      <c r="F37" s="1006"/>
      <c r="G37" s="3966">
        <v>4</v>
      </c>
      <c r="H37" s="3967"/>
      <c r="I37" s="3968"/>
      <c r="J37" s="1006"/>
      <c r="K37" s="3969">
        <v>4</v>
      </c>
      <c r="L37" s="3970"/>
      <c r="M37" s="3970"/>
      <c r="N37" s="3970"/>
      <c r="O37" s="4138" t="s">
        <v>2904</v>
      </c>
      <c r="P37" s="4139"/>
      <c r="Q37" s="4151"/>
      <c r="R37" s="4152"/>
      <c r="S37" s="2446"/>
      <c r="T37" s="2446"/>
    </row>
    <row r="38" spans="1:20" s="42" customFormat="1" ht="24.75" customHeight="1">
      <c r="A38" s="3966">
        <v>5</v>
      </c>
      <c r="B38" s="3967"/>
      <c r="C38" s="3967"/>
      <c r="D38" s="3967"/>
      <c r="E38" s="3968"/>
      <c r="F38" s="1006"/>
      <c r="G38" s="3966">
        <v>5</v>
      </c>
      <c r="H38" s="3967"/>
      <c r="I38" s="3968"/>
      <c r="J38" s="1471" t="s">
        <v>3585</v>
      </c>
      <c r="K38" s="3969">
        <v>5</v>
      </c>
      <c r="L38" s="3970"/>
      <c r="M38" s="3970"/>
      <c r="N38" s="3970"/>
      <c r="O38" s="4033"/>
      <c r="P38" s="4034"/>
      <c r="Q38" s="4151"/>
      <c r="R38" s="4152"/>
      <c r="S38" s="2446"/>
      <c r="T38" s="2446"/>
    </row>
    <row r="39" spans="1:20" s="42" customFormat="1" ht="24" customHeight="1">
      <c r="A39" s="3966">
        <v>6</v>
      </c>
      <c r="B39" s="3967"/>
      <c r="C39" s="3967"/>
      <c r="D39" s="3967"/>
      <c r="E39" s="3968"/>
      <c r="F39" s="1006"/>
      <c r="G39" s="3966">
        <v>6</v>
      </c>
      <c r="H39" s="3967"/>
      <c r="I39" s="3968"/>
      <c r="J39" s="1006"/>
      <c r="K39" s="3969">
        <v>6</v>
      </c>
      <c r="L39" s="3970"/>
      <c r="M39" s="3970"/>
      <c r="N39" s="3970"/>
      <c r="O39" s="4033"/>
      <c r="P39" s="4034"/>
      <c r="Q39" s="4151"/>
      <c r="R39" s="4152"/>
    </row>
    <row r="40" spans="1:20" s="42" customFormat="1" ht="10.5" customHeight="1">
      <c r="A40" s="3966">
        <v>7</v>
      </c>
      <c r="B40" s="3967"/>
      <c r="C40" s="3967"/>
      <c r="D40" s="3967"/>
      <c r="E40" s="3968"/>
      <c r="F40" s="1006"/>
      <c r="G40" s="3966">
        <v>7</v>
      </c>
      <c r="H40" s="3967"/>
      <c r="I40" s="3968"/>
      <c r="J40" s="1471" t="s">
        <v>3586</v>
      </c>
      <c r="K40" s="3969">
        <v>7</v>
      </c>
      <c r="L40" s="3970"/>
      <c r="M40" s="3970"/>
      <c r="N40" s="3970"/>
      <c r="O40" s="4033"/>
      <c r="P40" s="4034"/>
      <c r="Q40" s="162"/>
      <c r="R40" s="162"/>
    </row>
    <row r="41" spans="1:20" s="42" customFormat="1" ht="10.5" customHeight="1">
      <c r="A41" s="3966">
        <v>8</v>
      </c>
      <c r="B41" s="3967"/>
      <c r="C41" s="3967"/>
      <c r="D41" s="3967"/>
      <c r="E41" s="3968"/>
      <c r="F41" s="1006"/>
      <c r="G41" s="3966">
        <v>8</v>
      </c>
      <c r="H41" s="3967"/>
      <c r="I41" s="3968"/>
      <c r="J41" s="1006"/>
      <c r="K41" s="3969">
        <v>8</v>
      </c>
      <c r="L41" s="3970"/>
      <c r="M41" s="3970"/>
      <c r="N41" s="3970"/>
      <c r="O41" s="4033"/>
      <c r="P41" s="4034"/>
      <c r="Q41" s="162"/>
      <c r="R41" s="162"/>
    </row>
    <row r="42" spans="1:20" s="42" customFormat="1" ht="11.25" customHeight="1">
      <c r="A42" s="3966">
        <v>9</v>
      </c>
      <c r="B42" s="3967"/>
      <c r="C42" s="3967"/>
      <c r="D42" s="3967"/>
      <c r="E42" s="3968"/>
      <c r="F42" s="1006"/>
      <c r="G42" s="3966">
        <v>9</v>
      </c>
      <c r="H42" s="3967"/>
      <c r="I42" s="3968"/>
      <c r="J42" s="1471" t="s">
        <v>3587</v>
      </c>
      <c r="K42" s="3969">
        <v>9</v>
      </c>
      <c r="L42" s="3970"/>
      <c r="M42" s="3970"/>
      <c r="N42" s="3970"/>
      <c r="O42" s="4033"/>
      <c r="P42" s="4034"/>
      <c r="Q42" s="162"/>
      <c r="R42" s="162"/>
    </row>
    <row r="43" spans="1:20" s="42" customFormat="1" ht="11.25" customHeight="1">
      <c r="A43" s="3966">
        <v>10</v>
      </c>
      <c r="B43" s="3967"/>
      <c r="C43" s="3967"/>
      <c r="D43" s="3967"/>
      <c r="E43" s="3968"/>
      <c r="F43" s="1006"/>
      <c r="G43" s="3966">
        <v>10</v>
      </c>
      <c r="H43" s="3967"/>
      <c r="I43" s="3968"/>
      <c r="J43" s="1006"/>
      <c r="K43" s="3969">
        <v>10</v>
      </c>
      <c r="L43" s="3970"/>
      <c r="M43" s="3970"/>
      <c r="N43" s="3970"/>
      <c r="O43" s="4033"/>
      <c r="P43" s="4034"/>
      <c r="Q43" s="162"/>
    </row>
    <row r="44" spans="1:20" s="42" customFormat="1" ht="11.25" customHeight="1">
      <c r="A44" s="3966">
        <v>11</v>
      </c>
      <c r="B44" s="3967"/>
      <c r="C44" s="3967"/>
      <c r="D44" s="3967"/>
      <c r="E44" s="3968"/>
      <c r="F44" s="1006"/>
      <c r="G44" s="3966">
        <v>11</v>
      </c>
      <c r="H44" s="3967"/>
      <c r="I44" s="3968"/>
      <c r="J44" s="1471" t="s">
        <v>3588</v>
      </c>
      <c r="K44" s="3966">
        <v>11</v>
      </c>
      <c r="L44" s="3967"/>
      <c r="M44" s="3967"/>
      <c r="N44" s="3968"/>
      <c r="O44" s="4033"/>
      <c r="P44" s="4034"/>
      <c r="Q44" s="162"/>
      <c r="R44" s="162"/>
    </row>
    <row r="45" spans="1:20" s="42" customFormat="1" ht="11.25" customHeight="1">
      <c r="A45" s="3971">
        <v>12</v>
      </c>
      <c r="B45" s="3972"/>
      <c r="C45" s="3972"/>
      <c r="D45" s="3972"/>
      <c r="E45" s="3973"/>
      <c r="F45" s="1007"/>
      <c r="G45" s="3971">
        <v>12</v>
      </c>
      <c r="H45" s="3972"/>
      <c r="I45" s="3973"/>
      <c r="J45" s="1007"/>
      <c r="K45" s="3971">
        <v>12</v>
      </c>
      <c r="L45" s="3972"/>
      <c r="M45" s="3972"/>
      <c r="N45" s="3973"/>
      <c r="O45" s="4029"/>
      <c r="P45" s="4030"/>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3589</v>
      </c>
      <c r="E47" s="57"/>
      <c r="G47" s="235"/>
      <c r="H47" s="52"/>
      <c r="I47" s="45" t="s">
        <v>3489</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4814</v>
      </c>
      <c r="G48" s="89"/>
      <c r="H48" s="52"/>
      <c r="I48" s="45"/>
      <c r="K48" s="596"/>
      <c r="L48" s="1010"/>
      <c r="M48" s="1011"/>
      <c r="N48" s="7"/>
      <c r="O48" s="3"/>
      <c r="P48" s="3"/>
      <c r="Q48" s="112"/>
      <c r="R48" s="434"/>
    </row>
    <row r="49" spans="1:18" s="43" customFormat="1" ht="13.5" customHeight="1">
      <c r="A49" s="142" t="s">
        <v>1982</v>
      </c>
      <c r="B49" s="1037" t="s">
        <v>2624</v>
      </c>
      <c r="E49" s="57"/>
      <c r="G49" s="89"/>
      <c r="H49" s="55" t="s">
        <v>5016</v>
      </c>
      <c r="J49" s="2609"/>
      <c r="K49" s="2609" t="str">
        <f>'Part I-Project Information'!$K$94</f>
        <v>Income Averaging</v>
      </c>
      <c r="M49" s="1011"/>
      <c r="N49" s="7"/>
      <c r="Q49" s="7"/>
      <c r="R49" s="434"/>
    </row>
    <row r="50" spans="1:18" s="105" customFormat="1" ht="9" customHeight="1">
      <c r="A50" s="142"/>
      <c r="B50" s="4153" t="s">
        <v>4808</v>
      </c>
      <c r="C50" s="4153"/>
      <c r="D50" s="4153"/>
      <c r="E50" s="4153"/>
      <c r="F50" s="4153"/>
      <c r="G50" s="4153"/>
      <c r="H50" s="4153"/>
      <c r="I50" s="4153"/>
      <c r="J50" s="4153"/>
      <c r="K50" s="4153"/>
      <c r="L50" s="4153"/>
      <c r="M50" s="1011"/>
      <c r="N50" s="7"/>
      <c r="Q50" s="7"/>
      <c r="R50" s="434"/>
    </row>
    <row r="51" spans="1:18" s="105" customFormat="1" ht="13.5" customHeight="1">
      <c r="B51" s="4153"/>
      <c r="C51" s="4153"/>
      <c r="D51" s="4153"/>
      <c r="E51" s="4153"/>
      <c r="F51" s="4153"/>
      <c r="G51" s="4153"/>
      <c r="H51" s="4153"/>
      <c r="I51" s="4153"/>
      <c r="J51" s="4153"/>
      <c r="K51" s="4153"/>
      <c r="L51" s="4153"/>
      <c r="M51" s="1020">
        <v>2</v>
      </c>
      <c r="N51" s="449" t="s">
        <v>1982</v>
      </c>
      <c r="O51" s="1042">
        <f>MIN($M51, O52+O53)</f>
        <v>0</v>
      </c>
      <c r="P51" s="1042">
        <f>MIN($M51, P52+P53)</f>
        <v>0</v>
      </c>
    </row>
    <row r="52" spans="1:18" s="105" customFormat="1" ht="13.5" customHeight="1">
      <c r="A52" s="142"/>
      <c r="B52" s="1532" t="s">
        <v>1985</v>
      </c>
      <c r="C52" s="2455" t="s">
        <v>4809</v>
      </c>
      <c r="D52" s="52"/>
      <c r="H52" s="52" t="s">
        <v>4810</v>
      </c>
      <c r="I52" s="2452"/>
      <c r="K52" s="2611">
        <f>'Part VI-Revenues &amp; Expenses'!B49</f>
        <v>60</v>
      </c>
      <c r="L52" s="4028" t="str">
        <f>IF(AND(O52&gt;0,O53&gt;0), "CHOOSE EITHER A OR B, NOT BOTH!", "")</f>
        <v/>
      </c>
      <c r="M52" s="1197">
        <v>2</v>
      </c>
      <c r="N52" s="194" t="s">
        <v>1985</v>
      </c>
      <c r="O52" s="598"/>
      <c r="P52" s="612"/>
      <c r="Q52" s="2549" t="str">
        <f>IF(OR($O52=$M52,$O52=0,$O52=""),"","*CHECK!*")</f>
        <v/>
      </c>
      <c r="R52" s="1141" t="s">
        <v>2705</v>
      </c>
    </row>
    <row r="53" spans="1:18" s="105" customFormat="1" ht="13.5" customHeight="1">
      <c r="A53" s="2453" t="s">
        <v>3343</v>
      </c>
      <c r="B53" s="1532" t="s">
        <v>1987</v>
      </c>
      <c r="C53" s="2455" t="s">
        <v>4811</v>
      </c>
      <c r="D53" s="52"/>
      <c r="I53" s="2452"/>
      <c r="K53" s="52"/>
      <c r="L53" s="4028"/>
      <c r="M53" s="1197">
        <v>2</v>
      </c>
      <c r="N53" s="194" t="s">
        <v>1987</v>
      </c>
      <c r="O53" s="599"/>
      <c r="P53" s="613"/>
      <c r="Q53" s="2549" t="str">
        <f>IF(OR($O53=$M53,$O53=0,$O53=""),"","*CHECK!*")</f>
        <v/>
      </c>
      <c r="R53" s="1141" t="s">
        <v>2705</v>
      </c>
    </row>
    <row r="54" spans="1:18" s="490" customFormat="1" ht="6.75" customHeight="1">
      <c r="A54" s="672"/>
      <c r="B54" s="666"/>
      <c r="C54" s="667"/>
      <c r="D54" s="143"/>
      <c r="K54" s="1036"/>
      <c r="L54" s="1036"/>
      <c r="M54" s="1197"/>
      <c r="N54" s="449"/>
      <c r="O54" s="1041"/>
      <c r="P54" s="1041"/>
    </row>
    <row r="55" spans="1:18" s="490" customFormat="1" ht="13.5" customHeight="1">
      <c r="A55" s="142" t="s">
        <v>1984</v>
      </c>
      <c r="B55" s="1037" t="s">
        <v>3650</v>
      </c>
      <c r="E55" s="491"/>
      <c r="H55" s="4031" t="s">
        <v>4812</v>
      </c>
      <c r="I55" s="4032"/>
      <c r="J55" s="2458" t="s">
        <v>4813</v>
      </c>
      <c r="M55" s="1020">
        <v>3</v>
      </c>
      <c r="N55" s="166" t="s">
        <v>1984</v>
      </c>
      <c r="O55" s="1042">
        <f>IF(AND(O56="Yes", O57="Yes"),$M$55,0)</f>
        <v>0</v>
      </c>
      <c r="P55" s="1042">
        <f>IF(AND(P56="Yes", P57="Yes"),$M$55,0)</f>
        <v>0</v>
      </c>
    </row>
    <row r="56" spans="1:18" s="490" customFormat="1" ht="13.5" customHeight="1">
      <c r="A56" s="489"/>
      <c r="B56" s="1532" t="s">
        <v>1985</v>
      </c>
      <c r="C56" s="2456">
        <v>0.3</v>
      </c>
      <c r="D56" s="1119" t="s">
        <v>3651</v>
      </c>
      <c r="E56" s="491"/>
      <c r="F56" s="1008"/>
      <c r="H56" s="1500"/>
      <c r="I56" s="1501"/>
      <c r="J56" s="2457">
        <f>'Part VI-Revenues &amp; Expenses'!O65</f>
        <v>156</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1985</v>
      </c>
      <c r="O56" s="1038" t="str">
        <f>IF(AND(K56 &gt;= $C$56,O57="Yes"),"Yes","No")</f>
        <v>No</v>
      </c>
      <c r="P56" s="1038" t="str">
        <f>IF(AND(L56 &gt;= $C$56,P57="Yes"),"Yes","No")</f>
        <v>No</v>
      </c>
    </row>
    <row r="57" spans="1:18" s="490" customFormat="1" ht="13.5" customHeight="1">
      <c r="A57" s="672"/>
      <c r="B57" s="1532" t="s">
        <v>1987</v>
      </c>
      <c r="C57" s="1072" t="s">
        <v>3955</v>
      </c>
      <c r="E57" s="1085"/>
      <c r="F57" s="1008"/>
      <c r="I57" s="1040"/>
      <c r="J57" s="1040"/>
      <c r="K57" s="1040"/>
      <c r="L57" s="1040"/>
      <c r="M57" s="1040"/>
      <c r="N57" s="449" t="s">
        <v>1987</v>
      </c>
      <c r="O57" s="239"/>
      <c r="P57" s="619"/>
    </row>
    <row r="58" spans="1:18" s="43" customFormat="1" ht="10.5" customHeight="1">
      <c r="A58" s="42"/>
      <c r="B58" s="100" t="s">
        <v>1865</v>
      </c>
      <c r="C58" s="490"/>
      <c r="D58" s="87"/>
      <c r="E58" s="1506"/>
      <c r="F58" s="1506"/>
      <c r="G58" s="1506"/>
      <c r="H58" s="1506"/>
      <c r="I58" s="1506"/>
      <c r="J58" s="1506"/>
      <c r="K58" s="1506"/>
      <c r="L58" s="1506"/>
      <c r="M58" s="1506"/>
      <c r="N58" s="75"/>
      <c r="O58" s="71"/>
      <c r="P58" s="1503"/>
      <c r="Q58" s="490"/>
    </row>
    <row r="59" spans="1:18" s="43" customFormat="1" ht="22.5" customHeight="1">
      <c r="A59" s="3602"/>
      <c r="B59" s="3603"/>
      <c r="C59" s="3603"/>
      <c r="D59" s="3603"/>
      <c r="E59" s="3603"/>
      <c r="F59" s="3603"/>
      <c r="G59" s="3603"/>
      <c r="H59" s="3603"/>
      <c r="I59" s="3603"/>
      <c r="J59" s="3603"/>
      <c r="K59" s="3603"/>
      <c r="L59" s="3603"/>
      <c r="M59" s="3603"/>
      <c r="N59" s="3603"/>
      <c r="O59" s="3603"/>
      <c r="P59" s="3604"/>
      <c r="Q59" s="509"/>
    </row>
    <row r="60" spans="1:18" ht="7.5" customHeight="1" thickBot="1"/>
    <row r="61" spans="1:18" s="43" customFormat="1" ht="12.6" customHeight="1" thickBot="1">
      <c r="A61" s="157" t="s">
        <v>742</v>
      </c>
      <c r="B61" s="108" t="s">
        <v>4095</v>
      </c>
      <c r="D61" s="41"/>
      <c r="I61" s="3976" t="s">
        <v>3769</v>
      </c>
      <c r="J61" s="3976"/>
      <c r="K61" s="3976"/>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3854</v>
      </c>
      <c r="D63" s="33"/>
      <c r="N63" s="527"/>
      <c r="O63" s="238"/>
      <c r="P63" s="617"/>
    </row>
    <row r="64" spans="1:18" s="105" customFormat="1" ht="12" customHeight="1">
      <c r="A64" s="142" t="s">
        <v>1982</v>
      </c>
      <c r="B64" s="184" t="s">
        <v>1873</v>
      </c>
      <c r="C64" s="4"/>
      <c r="D64" s="4"/>
      <c r="F64" s="327"/>
      <c r="H64" s="969" t="s">
        <v>2717</v>
      </c>
      <c r="I64" s="3974" t="s">
        <v>4175</v>
      </c>
      <c r="J64" s="3974"/>
      <c r="K64" s="3974"/>
      <c r="L64" s="3974"/>
      <c r="M64" s="73">
        <v>10</v>
      </c>
      <c r="N64" s="194" t="s">
        <v>1982</v>
      </c>
      <c r="O64" s="598"/>
      <c r="P64" s="612"/>
      <c r="Q64" s="2549" t="str">
        <f>IF(OR($O64=$M64,$O64=0,$O64=""),"","*CHECK!*")</f>
        <v/>
      </c>
    </row>
    <row r="65" spans="1:21" s="105" customFormat="1" ht="12.6" customHeight="1">
      <c r="A65" s="142" t="s">
        <v>1984</v>
      </c>
      <c r="B65" s="184" t="s">
        <v>3843</v>
      </c>
      <c r="D65" s="1357"/>
      <c r="F65" s="2610"/>
      <c r="H65" s="969" t="s">
        <v>3984</v>
      </c>
      <c r="I65" s="3974"/>
      <c r="J65" s="3974"/>
      <c r="K65" s="3974"/>
      <c r="L65" s="3974"/>
      <c r="M65" s="2597" t="s">
        <v>1238</v>
      </c>
      <c r="N65" s="527" t="s">
        <v>1984</v>
      </c>
      <c r="O65" s="599"/>
      <c r="P65" s="613"/>
    </row>
    <row r="66" spans="1:21" s="43" customFormat="1" ht="11.25" customHeight="1" thickBot="1">
      <c r="A66" s="42"/>
      <c r="B66" s="1488" t="s">
        <v>3754</v>
      </c>
      <c r="C66" s="42"/>
      <c r="D66" s="48"/>
      <c r="E66" s="48"/>
      <c r="F66" s="48"/>
      <c r="G66" s="48"/>
      <c r="H66" s="36"/>
      <c r="I66" s="3975"/>
      <c r="J66" s="3975"/>
      <c r="K66" s="3975"/>
      <c r="L66" s="3975"/>
      <c r="M66" s="46"/>
      <c r="N66" s="62"/>
      <c r="O66" s="3"/>
      <c r="P66" s="1505"/>
    </row>
    <row r="67" spans="1:21" s="43" customFormat="1" ht="72" customHeight="1" thickTop="1" thickBot="1">
      <c r="A67" s="3869"/>
      <c r="B67" s="3870"/>
      <c r="C67" s="3870"/>
      <c r="D67" s="3870"/>
      <c r="E67" s="3870"/>
      <c r="F67" s="3870"/>
      <c r="G67" s="3870"/>
      <c r="H67" s="3870"/>
      <c r="I67" s="3870"/>
      <c r="J67" s="3870"/>
      <c r="K67" s="3870"/>
      <c r="L67" s="3870"/>
      <c r="M67" s="3870"/>
      <c r="N67" s="3870"/>
      <c r="O67" s="3870"/>
      <c r="P67" s="3871"/>
      <c r="Q67" s="1291" t="s">
        <v>1254</v>
      </c>
      <c r="R67" s="510"/>
    </row>
    <row r="68" spans="1:21" s="43" customFormat="1" ht="11.45" customHeight="1" thickTop="1">
      <c r="A68" s="42"/>
      <c r="B68" s="67" t="s">
        <v>1865</v>
      </c>
      <c r="C68" s="42"/>
      <c r="D68" s="140"/>
      <c r="E68" s="1506"/>
      <c r="F68" s="1506"/>
      <c r="G68" s="1506"/>
      <c r="H68" s="1506"/>
      <c r="I68" s="1506"/>
      <c r="J68" s="1506"/>
      <c r="K68" s="1506"/>
      <c r="L68" s="1506"/>
      <c r="M68" s="1506"/>
      <c r="N68" s="75"/>
      <c r="O68" s="71"/>
      <c r="P68" s="1503"/>
      <c r="Q68" s="490"/>
      <c r="R68" s="490"/>
    </row>
    <row r="69" spans="1:21" s="43" customFormat="1" ht="72" customHeight="1">
      <c r="A69" s="3602"/>
      <c r="B69" s="3603"/>
      <c r="C69" s="3603"/>
      <c r="D69" s="3603"/>
      <c r="E69" s="3603"/>
      <c r="F69" s="3603"/>
      <c r="G69" s="3603"/>
      <c r="H69" s="3603"/>
      <c r="I69" s="3603"/>
      <c r="J69" s="3603"/>
      <c r="K69" s="3603"/>
      <c r="L69" s="3603"/>
      <c r="M69" s="3603"/>
      <c r="N69" s="3603"/>
      <c r="O69" s="3603"/>
      <c r="P69" s="3604"/>
      <c r="Q69" s="509"/>
      <c r="R69" s="510"/>
    </row>
    <row r="70" spans="1:21" ht="7.5" customHeight="1" thickBot="1">
      <c r="M70" s="33"/>
      <c r="N70" s="118"/>
      <c r="O70" s="155"/>
      <c r="P70" s="155"/>
    </row>
    <row r="71" spans="1:21" s="43" customFormat="1" ht="12.6" customHeight="1" thickBot="1">
      <c r="A71" s="157" t="s">
        <v>1792</v>
      </c>
      <c r="B71" s="108" t="s">
        <v>2630</v>
      </c>
      <c r="D71" s="41"/>
      <c r="K71" s="1178" t="s">
        <v>1878</v>
      </c>
      <c r="M71" s="1503">
        <v>6</v>
      </c>
      <c r="N71" s="527"/>
      <c r="O71" s="1329">
        <f>IF($J$72="Flexible",MIN($M71,MAX(O86,O92)),IF(AND($J$72="Rural",O100&gt;0),MIN($M100,O100),0))</f>
        <v>0</v>
      </c>
      <c r="P71" s="1329">
        <f>IF($J$72="Flexible",MIN($M71,MAX(P86,P92)),IF(AND($J$72="Rural",P100&gt;0),MIN($M100,P100),0))</f>
        <v>0</v>
      </c>
      <c r="Q71" s="112" t="s">
        <v>441</v>
      </c>
      <c r="R71" s="3932" t="s">
        <v>5018</v>
      </c>
      <c r="S71" s="3932"/>
      <c r="T71" s="3932"/>
      <c r="U71" s="3932"/>
    </row>
    <row r="72" spans="1:21" s="43" customFormat="1" ht="17.25" customHeight="1">
      <c r="A72" s="157"/>
      <c r="B72" s="114" t="s">
        <v>3958</v>
      </c>
      <c r="D72" s="41"/>
      <c r="H72" s="184" t="s">
        <v>2793</v>
      </c>
      <c r="I72" s="588"/>
      <c r="J72" s="586" t="str">
        <f>'Part I-Project Information'!$H$105</f>
        <v>N/A - 4% Bond</v>
      </c>
      <c r="K72" s="48"/>
      <c r="M72" s="1503"/>
      <c r="N72" s="527"/>
      <c r="O72" s="1172" t="s">
        <v>3595</v>
      </c>
      <c r="P72" s="1172" t="s">
        <v>3596</v>
      </c>
      <c r="Q72" s="112"/>
      <c r="R72" s="3932"/>
      <c r="S72" s="3932"/>
      <c r="T72" s="3932"/>
      <c r="U72" s="3932"/>
    </row>
    <row r="73" spans="1:21" s="43" customFormat="1" ht="11.25" customHeight="1">
      <c r="A73" s="157"/>
      <c r="B73" s="432" t="s">
        <v>1985</v>
      </c>
      <c r="C73" s="36" t="s">
        <v>4820</v>
      </c>
      <c r="D73" s="1357"/>
      <c r="E73" s="105"/>
      <c r="F73" s="105"/>
      <c r="G73" s="105"/>
      <c r="H73" s="45"/>
      <c r="I73" s="49"/>
      <c r="J73" s="48"/>
      <c r="K73" s="48"/>
      <c r="L73" s="105"/>
      <c r="M73" s="2433"/>
      <c r="N73" s="527"/>
      <c r="O73" s="238"/>
      <c r="P73" s="617"/>
      <c r="Q73" s="112"/>
      <c r="R73" s="3932"/>
      <c r="S73" s="3932"/>
      <c r="T73" s="3932"/>
      <c r="U73" s="3932"/>
    </row>
    <row r="74" spans="1:21" s="43" customFormat="1" ht="11.25" customHeight="1">
      <c r="A74" s="157"/>
      <c r="B74" s="432" t="s">
        <v>1987</v>
      </c>
      <c r="C74" s="36" t="s">
        <v>4821</v>
      </c>
      <c r="D74" s="1357"/>
      <c r="E74" s="105"/>
      <c r="F74" s="105"/>
      <c r="G74" s="105"/>
      <c r="H74" s="45"/>
      <c r="I74" s="49"/>
      <c r="J74" s="48"/>
      <c r="K74" s="48"/>
      <c r="L74" s="105"/>
      <c r="M74" s="105"/>
      <c r="N74" s="527"/>
      <c r="O74" s="422"/>
      <c r="P74" s="618"/>
      <c r="Q74" s="112"/>
      <c r="R74" s="3932"/>
      <c r="S74" s="3932"/>
      <c r="T74" s="3932"/>
      <c r="U74" s="3932"/>
    </row>
    <row r="75" spans="1:21" s="43" customFormat="1" ht="11.25" customHeight="1">
      <c r="A75" s="157"/>
      <c r="B75" s="432" t="s">
        <v>2533</v>
      </c>
      <c r="C75" s="36" t="s">
        <v>4822</v>
      </c>
      <c r="D75" s="1357"/>
      <c r="E75" s="105"/>
      <c r="F75" s="105"/>
      <c r="G75" s="105"/>
      <c r="H75" s="45"/>
      <c r="I75" s="49"/>
      <c r="J75" s="48"/>
      <c r="K75" s="48"/>
      <c r="L75" s="105"/>
      <c r="M75" s="105"/>
      <c r="N75" s="527"/>
      <c r="O75" s="422"/>
      <c r="P75" s="618"/>
      <c r="Q75" s="112"/>
      <c r="R75" s="3932"/>
      <c r="S75" s="3932"/>
      <c r="T75" s="3932"/>
      <c r="U75" s="3932"/>
    </row>
    <row r="76" spans="1:21" s="43" customFormat="1" ht="11.25" customHeight="1">
      <c r="A76" s="157"/>
      <c r="B76" s="432" t="s">
        <v>1224</v>
      </c>
      <c r="C76" s="36" t="s">
        <v>4815</v>
      </c>
      <c r="D76" s="1357"/>
      <c r="E76" s="105"/>
      <c r="F76" s="105"/>
      <c r="G76" s="105"/>
      <c r="H76" s="45"/>
      <c r="I76" s="49"/>
      <c r="J76" s="48"/>
      <c r="K76" s="48"/>
      <c r="L76" s="105"/>
      <c r="M76" s="105"/>
      <c r="N76" s="527"/>
      <c r="O76" s="239"/>
      <c r="P76" s="619"/>
      <c r="Q76" s="112"/>
      <c r="R76" s="3932"/>
      <c r="S76" s="3932"/>
      <c r="T76" s="3932"/>
      <c r="U76" s="3932"/>
    </row>
    <row r="77" spans="1:21" s="43" customFormat="1" ht="3" customHeight="1">
      <c r="A77" s="157"/>
      <c r="B77" s="108"/>
      <c r="D77" s="41"/>
      <c r="H77" s="45"/>
      <c r="I77" s="49"/>
      <c r="J77" s="48"/>
      <c r="K77" s="48"/>
      <c r="M77" s="1503"/>
      <c r="N77" s="527"/>
      <c r="O77" s="3"/>
      <c r="P77" s="3"/>
      <c r="Q77" s="112"/>
      <c r="R77" s="3932"/>
      <c r="S77" s="3932"/>
      <c r="T77" s="3932"/>
      <c r="U77" s="3932"/>
    </row>
    <row r="78" spans="1:21" s="43" customFormat="1" ht="13.5" customHeight="1">
      <c r="A78" s="157"/>
      <c r="B78" s="114" t="s">
        <v>3964</v>
      </c>
      <c r="D78" s="41"/>
      <c r="F78" s="3955" t="s">
        <v>3716</v>
      </c>
      <c r="G78" s="3955"/>
      <c r="H78" s="3955"/>
      <c r="I78" s="3955"/>
      <c r="J78" s="3955" t="s">
        <v>3717</v>
      </c>
      <c r="K78" s="3955"/>
      <c r="L78" s="3955"/>
      <c r="M78" s="3955"/>
      <c r="N78" s="527"/>
      <c r="O78" s="3962" t="s">
        <v>5017</v>
      </c>
      <c r="P78" s="3963"/>
      <c r="Q78" s="112"/>
      <c r="R78" s="3932"/>
      <c r="S78" s="3932"/>
      <c r="T78" s="3932"/>
      <c r="U78" s="3932"/>
    </row>
    <row r="79" spans="1:21" s="43" customFormat="1" ht="12.75" customHeight="1">
      <c r="A79" s="157"/>
      <c r="C79" s="557" t="s">
        <v>3963</v>
      </c>
      <c r="D79" s="712"/>
      <c r="E79" s="300"/>
      <c r="F79" s="3933"/>
      <c r="G79" s="3934"/>
      <c r="H79" s="3964"/>
      <c r="I79" s="3965"/>
      <c r="J79" s="3933"/>
      <c r="K79" s="3934"/>
      <c r="L79" s="3964"/>
      <c r="M79" s="3965"/>
      <c r="N79" s="527"/>
      <c r="Q79" s="112"/>
      <c r="R79" s="3932"/>
      <c r="S79" s="3932"/>
      <c r="T79" s="3932"/>
      <c r="U79" s="3932"/>
    </row>
    <row r="80" spans="1:21" s="43" customFormat="1" ht="12.75" customHeight="1">
      <c r="A80" s="4042" t="s">
        <v>4141</v>
      </c>
      <c r="B80" s="4042"/>
      <c r="D80" s="1438" t="s">
        <v>3965</v>
      </c>
      <c r="E80" s="300"/>
      <c r="F80" s="3853"/>
      <c r="G80" s="3854"/>
      <c r="H80" s="3996"/>
      <c r="I80" s="3997"/>
      <c r="J80" s="3853"/>
      <c r="K80" s="3854"/>
      <c r="L80" s="3996"/>
      <c r="M80" s="3997"/>
      <c r="N80" s="527"/>
      <c r="O80" s="1445"/>
      <c r="P80" s="1446"/>
      <c r="Q80" s="112"/>
      <c r="R80" s="3932"/>
      <c r="S80" s="3932"/>
      <c r="T80" s="3932"/>
      <c r="U80" s="3932"/>
    </row>
    <row r="81" spans="1:21" s="43" customFormat="1" ht="12.75" customHeight="1">
      <c r="A81" s="4042"/>
      <c r="B81" s="4042"/>
      <c r="C81" s="557" t="s">
        <v>4093</v>
      </c>
      <c r="D81" s="712"/>
      <c r="E81" s="300"/>
      <c r="F81" s="3943"/>
      <c r="G81" s="3944"/>
      <c r="H81" s="3956"/>
      <c r="I81" s="3957"/>
      <c r="J81" s="3943"/>
      <c r="K81" s="3944"/>
      <c r="L81" s="3956"/>
      <c r="M81" s="3957"/>
      <c r="N81" s="527"/>
      <c r="O81" s="527"/>
      <c r="P81" s="527"/>
      <c r="Q81" s="112"/>
      <c r="R81" s="3932"/>
      <c r="S81" s="3932"/>
      <c r="T81" s="3932"/>
      <c r="U81" s="3932"/>
    </row>
    <row r="82" spans="1:21" s="43" customFormat="1" ht="12.75" customHeight="1">
      <c r="A82" s="4042"/>
      <c r="B82" s="4042"/>
      <c r="E82" s="2406" t="s">
        <v>4092</v>
      </c>
      <c r="F82" s="3850"/>
      <c r="G82" s="3851"/>
      <c r="H82" s="3953"/>
      <c r="I82" s="3954"/>
      <c r="J82" s="3850"/>
      <c r="K82" s="3851"/>
      <c r="L82" s="3953"/>
      <c r="M82" s="3954"/>
      <c r="N82" s="527"/>
      <c r="O82" s="1445"/>
      <c r="P82" s="1446"/>
      <c r="Q82" s="112"/>
      <c r="R82" s="3932"/>
      <c r="S82" s="3932"/>
      <c r="T82" s="3932"/>
      <c r="U82" s="3932"/>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2784</v>
      </c>
      <c r="B84" s="108"/>
      <c r="D84" s="41"/>
      <c r="F84" s="61" t="s">
        <v>3755</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1982</v>
      </c>
      <c r="B86" s="184" t="s">
        <v>3747</v>
      </c>
      <c r="D86" s="41"/>
      <c r="F86" s="45" t="s">
        <v>3856</v>
      </c>
      <c r="M86" s="1503">
        <v>6</v>
      </c>
      <c r="N86" s="449" t="s">
        <v>1982</v>
      </c>
      <c r="O86" s="1177">
        <f>IF($J$72="Flexible",MIN($M86,O87+O88+O89),0)</f>
        <v>0</v>
      </c>
      <c r="P86" s="1177">
        <f>IF($J$72="Flexible",MIN($M86,P87+P88+P89),0)</f>
        <v>0</v>
      </c>
      <c r="Q86" s="112"/>
    </row>
    <row r="87" spans="1:21" s="472" customFormat="1" ht="23.25" customHeight="1">
      <c r="B87" s="504" t="s">
        <v>1985</v>
      </c>
      <c r="C87" s="3610" t="s">
        <v>4816</v>
      </c>
      <c r="D87" s="3610"/>
      <c r="E87" s="3610"/>
      <c r="F87" s="3610"/>
      <c r="G87" s="3610"/>
      <c r="H87" s="3610"/>
      <c r="I87" s="4140" t="s">
        <v>4090</v>
      </c>
      <c r="J87" s="4141"/>
      <c r="K87" s="4141"/>
      <c r="L87" s="4142"/>
      <c r="M87" s="583">
        <v>5</v>
      </c>
      <c r="N87" s="543" t="s">
        <v>1985</v>
      </c>
      <c r="O87" s="981"/>
      <c r="P87" s="980"/>
      <c r="Q87" s="2549" t="str">
        <f>IF(OR($O87=$M87,$O87=0,$O87=""),"","*CHECK!*")</f>
        <v/>
      </c>
      <c r="R87" s="1141" t="s">
        <v>2705</v>
      </c>
    </row>
    <row r="88" spans="1:21" s="472" customFormat="1" ht="12" customHeight="1">
      <c r="A88" s="672" t="s">
        <v>1353</v>
      </c>
      <c r="B88" s="504" t="s">
        <v>1987</v>
      </c>
      <c r="C88" s="450" t="s">
        <v>3959</v>
      </c>
      <c r="D88" s="450"/>
      <c r="E88" s="450"/>
      <c r="F88" s="450"/>
      <c r="G88" s="450"/>
      <c r="H88" s="2597" t="str">
        <f>IF(AND(O88&gt;0,O87&gt;0),"Pick A1 or A2!","")</f>
        <v/>
      </c>
      <c r="I88" s="4143"/>
      <c r="J88" s="4144"/>
      <c r="K88" s="4144"/>
      <c r="L88" s="4145"/>
      <c r="M88" s="73">
        <v>4</v>
      </c>
      <c r="N88" s="499" t="s">
        <v>1987</v>
      </c>
      <c r="O88" s="598"/>
      <c r="P88" s="612"/>
      <c r="Q88" s="2549" t="str">
        <f>IF(OR($O88=$M88,$O88=0,$O88=""),"","*CHECK!*")</f>
        <v/>
      </c>
      <c r="R88" s="1141" t="s">
        <v>2705</v>
      </c>
    </row>
    <row r="89" spans="1:21" s="472" customFormat="1" ht="12" customHeight="1">
      <c r="B89" s="504" t="s">
        <v>2533</v>
      </c>
      <c r="C89" s="450" t="s">
        <v>3748</v>
      </c>
      <c r="D89" s="450"/>
      <c r="E89" s="450"/>
      <c r="F89" s="450"/>
      <c r="I89" s="4143"/>
      <c r="J89" s="4144"/>
      <c r="K89" s="4144"/>
      <c r="L89" s="4145"/>
      <c r="M89" s="73">
        <v>1</v>
      </c>
      <c r="N89" s="499" t="s">
        <v>2533</v>
      </c>
      <c r="O89" s="599"/>
      <c r="P89" s="613"/>
      <c r="Q89" s="2549" t="str">
        <f>IF(OR($O89=$M89,$O89=0,$O89=""),"","*CHECK!*")</f>
        <v/>
      </c>
      <c r="R89" s="1141" t="s">
        <v>2705</v>
      </c>
    </row>
    <row r="90" spans="1:21" s="472" customFormat="1" ht="12" customHeight="1">
      <c r="B90" s="504"/>
      <c r="C90" s="969" t="s">
        <v>4091</v>
      </c>
      <c r="D90" s="450"/>
      <c r="E90" s="450"/>
      <c r="F90" s="2462" t="str">
        <f>'Part I-Project Information'!$H$82</f>
        <v>Family</v>
      </c>
      <c r="G90" s="969"/>
      <c r="H90" s="2462"/>
      <c r="I90" s="4143"/>
      <c r="J90" s="4144"/>
      <c r="K90" s="4144"/>
      <c r="L90" s="4145"/>
      <c r="M90" s="105"/>
      <c r="N90" s="105"/>
      <c r="O90" s="105"/>
      <c r="P90" s="105"/>
      <c r="Q90" s="1179"/>
      <c r="R90" s="1395"/>
    </row>
    <row r="91" spans="1:21" s="472" customFormat="1" ht="12" customHeight="1">
      <c r="B91" s="504"/>
      <c r="C91" s="969"/>
      <c r="D91" s="450"/>
      <c r="E91" s="450"/>
      <c r="F91" s="2462"/>
      <c r="G91" s="969"/>
      <c r="H91" s="2462"/>
      <c r="I91" s="4146"/>
      <c r="J91" s="4147"/>
      <c r="K91" s="4147"/>
      <c r="L91" s="4148"/>
      <c r="M91" s="105"/>
      <c r="N91" s="105"/>
      <c r="O91" s="105"/>
      <c r="P91" s="105"/>
      <c r="Q91" s="1179"/>
      <c r="R91" s="1395"/>
    </row>
    <row r="92" spans="1:21" s="472" customFormat="1" ht="12" customHeight="1">
      <c r="A92" s="147" t="s">
        <v>1984</v>
      </c>
      <c r="B92" s="1394" t="s">
        <v>3749</v>
      </c>
      <c r="C92" s="736"/>
      <c r="D92" s="736"/>
      <c r="E92" s="736"/>
      <c r="F92" s="1354" t="s">
        <v>3855</v>
      </c>
      <c r="I92" s="3958" t="s">
        <v>3745</v>
      </c>
      <c r="J92" s="3959"/>
      <c r="K92" s="3959"/>
      <c r="L92" s="3980" t="s">
        <v>3746</v>
      </c>
      <c r="M92" s="2596">
        <v>3</v>
      </c>
      <c r="N92" s="527" t="s">
        <v>1984</v>
      </c>
      <c r="O92" s="1177">
        <f>IF($J$72="Flexible",MIN($M92,O95+O96+O97),0)</f>
        <v>0</v>
      </c>
      <c r="P92" s="1177">
        <f>IF($J$72="Flexible",MIN($M92,P95+P96+P97),0)</f>
        <v>0</v>
      </c>
      <c r="Q92" s="584"/>
      <c r="R92" s="448"/>
    </row>
    <row r="93" spans="1:21" s="43" customFormat="1" ht="11.25" customHeight="1">
      <c r="A93" s="157"/>
      <c r="B93" s="446" t="s">
        <v>3780</v>
      </c>
      <c r="C93" s="192" t="s">
        <v>4818</v>
      </c>
      <c r="D93" s="1357"/>
      <c r="E93" s="105"/>
      <c r="F93" s="105"/>
      <c r="G93" s="105"/>
      <c r="H93" s="45"/>
      <c r="I93" s="3960"/>
      <c r="J93" s="3961"/>
      <c r="K93" s="3961"/>
      <c r="L93" s="3981"/>
      <c r="M93" s="105"/>
      <c r="N93" s="446" t="s">
        <v>3780</v>
      </c>
      <c r="O93" s="1174"/>
      <c r="P93" s="1084"/>
      <c r="Q93" s="112"/>
      <c r="R93" s="448"/>
      <c r="S93" s="472"/>
      <c r="T93" s="472"/>
      <c r="U93" s="472"/>
    </row>
    <row r="94" spans="1:21" s="43" customFormat="1" ht="11.25" customHeight="1">
      <c r="A94" s="157"/>
      <c r="B94" s="446" t="s">
        <v>3781</v>
      </c>
      <c r="C94" s="192" t="s">
        <v>4817</v>
      </c>
      <c r="D94" s="1357"/>
      <c r="E94" s="105"/>
      <c r="F94" s="105"/>
      <c r="G94" s="105"/>
      <c r="H94" s="45"/>
      <c r="I94" s="3947" t="s">
        <v>4819</v>
      </c>
      <c r="J94" s="3948"/>
      <c r="K94" s="3948"/>
      <c r="L94" s="3949"/>
      <c r="M94" s="105"/>
      <c r="N94" s="446" t="s">
        <v>3781</v>
      </c>
      <c r="O94" s="239"/>
      <c r="P94" s="619"/>
      <c r="Q94" s="112"/>
      <c r="R94" s="448"/>
      <c r="S94" s="472"/>
      <c r="T94" s="472"/>
      <c r="U94" s="472"/>
    </row>
    <row r="95" spans="1:21" s="472" customFormat="1" ht="12" customHeight="1">
      <c r="A95" s="142"/>
      <c r="B95" s="2612" t="s">
        <v>1985</v>
      </c>
      <c r="C95" s="3664" t="s">
        <v>3960</v>
      </c>
      <c r="D95" s="3664"/>
      <c r="E95" s="3664"/>
      <c r="F95" s="3664"/>
      <c r="G95" s="3664"/>
      <c r="H95" s="3942"/>
      <c r="I95" s="3950"/>
      <c r="J95" s="3951"/>
      <c r="K95" s="3951"/>
      <c r="L95" s="3952"/>
      <c r="M95" s="73">
        <v>3</v>
      </c>
      <c r="N95" s="499" t="s">
        <v>1985</v>
      </c>
      <c r="O95" s="598"/>
      <c r="P95" s="611"/>
      <c r="Q95" s="1179" t="str">
        <f>IF(OR($O95=$M95,$O95=0,$O95=""),"","*CHECK!*")</f>
        <v/>
      </c>
      <c r="R95" s="1395" t="s">
        <v>2705</v>
      </c>
    </row>
    <row r="96" spans="1:21" s="43" customFormat="1" ht="12" customHeight="1">
      <c r="A96" s="672" t="s">
        <v>1353</v>
      </c>
      <c r="B96" s="2612" t="s">
        <v>1987</v>
      </c>
      <c r="C96" s="3664" t="s">
        <v>3961</v>
      </c>
      <c r="D96" s="3664"/>
      <c r="E96" s="3664"/>
      <c r="F96" s="3664"/>
      <c r="G96" s="3664"/>
      <c r="H96" s="3942"/>
      <c r="I96" s="3947" t="s">
        <v>3597</v>
      </c>
      <c r="J96" s="3948"/>
      <c r="K96" s="3948"/>
      <c r="L96" s="3949"/>
      <c r="M96" s="73">
        <v>2</v>
      </c>
      <c r="N96" s="499" t="s">
        <v>1987</v>
      </c>
      <c r="O96" s="598"/>
      <c r="P96" s="612"/>
      <c r="Q96" s="1179" t="str">
        <f>IF(OR($O96=$M96,$O96=0,$O96=""),"","*CHECK!*")</f>
        <v/>
      </c>
      <c r="R96" s="1395" t="s">
        <v>2705</v>
      </c>
    </row>
    <row r="97" spans="1:18" s="43" customFormat="1" ht="14.25" customHeight="1">
      <c r="A97" s="672" t="s">
        <v>1353</v>
      </c>
      <c r="B97" s="2612" t="s">
        <v>2533</v>
      </c>
      <c r="C97" s="3664" t="s">
        <v>3962</v>
      </c>
      <c r="D97" s="3664"/>
      <c r="E97" s="3664"/>
      <c r="F97" s="3664"/>
      <c r="G97" s="3664"/>
      <c r="H97" s="3942"/>
      <c r="I97" s="3950"/>
      <c r="J97" s="3951"/>
      <c r="K97" s="3951"/>
      <c r="L97" s="3952"/>
      <c r="M97" s="73">
        <v>1</v>
      </c>
      <c r="N97" s="499" t="s">
        <v>2533</v>
      </c>
      <c r="O97" s="599"/>
      <c r="P97" s="613"/>
      <c r="Q97" s="1179" t="str">
        <f>IF(OR($O97=$M97,$O97=0,$O97=""),"","*CHECK!*")</f>
        <v/>
      </c>
      <c r="R97" s="1395" t="s">
        <v>2705</v>
      </c>
    </row>
    <row r="98" spans="1:18" s="43" customFormat="1" ht="14.25" customHeight="1">
      <c r="A98" s="1355"/>
      <c r="B98" s="2441"/>
      <c r="C98" s="2497"/>
      <c r="D98" s="2497"/>
      <c r="E98" s="2497"/>
      <c r="F98" s="3703" t="str">
        <f>IF(OR(AND(O95&gt;0,O96&gt;0,O97&gt;0),AND(O95&gt;0,O96&gt;0),AND(O95&gt;0,O97&gt;0),AND(O96&gt;0,O97&gt;0)),"Choose only one option: B1 or B2 or B3!","")</f>
        <v/>
      </c>
      <c r="G98" s="3703"/>
      <c r="H98" s="3991"/>
      <c r="I98" s="3947" t="s">
        <v>3598</v>
      </c>
      <c r="J98" s="3948"/>
      <c r="K98" s="3948"/>
      <c r="L98" s="3949"/>
      <c r="M98" s="105"/>
      <c r="N98" s="105"/>
      <c r="O98" s="105"/>
      <c r="P98" s="105"/>
      <c r="Q98" s="1179"/>
      <c r="R98" s="1395"/>
    </row>
    <row r="99" spans="1:18" s="43" customFormat="1" ht="12.6" customHeight="1">
      <c r="A99" s="587" t="s">
        <v>2786</v>
      </c>
      <c r="B99" s="184"/>
      <c r="E99" s="41"/>
      <c r="I99" s="3993"/>
      <c r="J99" s="3994"/>
      <c r="K99" s="3994"/>
      <c r="L99" s="3995"/>
      <c r="M99" s="73"/>
      <c r="N99" s="73"/>
      <c r="O99" s="73"/>
      <c r="P99" s="73"/>
      <c r="Q99" s="434"/>
      <c r="R99" s="434"/>
    </row>
    <row r="100" spans="1:18" s="105" customFormat="1" ht="12" customHeight="1">
      <c r="A100" s="142"/>
      <c r="B100" s="504" t="s">
        <v>1224</v>
      </c>
      <c r="C100" s="4155" t="s">
        <v>4927</v>
      </c>
      <c r="D100" s="4155"/>
      <c r="E100" s="4155"/>
      <c r="F100" s="4155"/>
      <c r="G100" s="4155"/>
      <c r="H100" s="4155"/>
      <c r="I100" s="184"/>
      <c r="J100" s="184"/>
      <c r="K100" s="184"/>
      <c r="L100" s="184"/>
      <c r="M100" s="73">
        <v>2</v>
      </c>
      <c r="N100" s="499" t="s">
        <v>1224</v>
      </c>
      <c r="O100" s="682"/>
      <c r="P100" s="978"/>
      <c r="Q100" s="1179" t="str">
        <f>IF(OR($O100=$M100,$O100=0,$O100=""),"","*CHECK!*")</f>
        <v/>
      </c>
      <c r="R100" s="1395" t="s">
        <v>2705</v>
      </c>
    </row>
    <row r="101" spans="1:18" s="105" customFormat="1" ht="12" customHeight="1">
      <c r="A101" s="142"/>
      <c r="B101" s="504"/>
      <c r="C101" s="4155"/>
      <c r="D101" s="4155"/>
      <c r="E101" s="4155"/>
      <c r="F101" s="4155"/>
      <c r="G101" s="4155"/>
      <c r="H101" s="4155"/>
      <c r="I101" s="184"/>
      <c r="J101" s="184"/>
      <c r="K101" s="184"/>
      <c r="L101" s="184"/>
      <c r="M101" s="184"/>
      <c r="N101" s="184"/>
      <c r="O101" s="184"/>
      <c r="P101" s="184"/>
      <c r="Q101" s="1179"/>
      <c r="R101" s="1395"/>
    </row>
    <row r="102" spans="1:18" s="43" customFormat="1" ht="12.6" customHeight="1">
      <c r="A102" s="36" t="s">
        <v>4094</v>
      </c>
      <c r="B102" s="184"/>
      <c r="E102" s="41"/>
      <c r="K102" s="48"/>
      <c r="M102" s="73"/>
      <c r="N102" s="73"/>
      <c r="O102" s="73"/>
      <c r="P102" s="73"/>
      <c r="Q102" s="434"/>
      <c r="R102" s="434"/>
    </row>
    <row r="103" spans="1:18" s="105" customFormat="1" ht="11.45" customHeight="1">
      <c r="A103" s="42"/>
      <c r="B103" s="100" t="s">
        <v>1865</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2"/>
      <c r="B104" s="3603"/>
      <c r="C104" s="3603"/>
      <c r="D104" s="3603"/>
      <c r="E104" s="3603"/>
      <c r="F104" s="3603"/>
      <c r="G104" s="3603"/>
      <c r="H104" s="3603"/>
      <c r="I104" s="3603"/>
      <c r="J104" s="3603"/>
      <c r="K104" s="3603"/>
      <c r="L104" s="3603"/>
      <c r="M104" s="3603"/>
      <c r="N104" s="3603"/>
      <c r="O104" s="3603"/>
      <c r="P104" s="3604"/>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3982</v>
      </c>
      <c r="D107" s="39"/>
      <c r="E107" s="36"/>
      <c r="F107" s="1011"/>
      <c r="G107" s="1011"/>
      <c r="H107" s="1011"/>
      <c r="I107" s="61" t="s">
        <v>3755</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1982</v>
      </c>
      <c r="B109" s="989" t="s">
        <v>3983</v>
      </c>
      <c r="C109" s="94"/>
      <c r="D109" s="1326"/>
      <c r="E109" s="52" t="s">
        <v>4097</v>
      </c>
      <c r="G109" s="117"/>
      <c r="I109" s="527" t="s">
        <v>4091</v>
      </c>
      <c r="J109" s="1444" t="str">
        <f>'Part I-Project Information'!$H$82</f>
        <v>Family</v>
      </c>
      <c r="K109" s="1357"/>
      <c r="L109" s="434" t="str">
        <f>IF(OR($O109=$M109,$O109=0,$O109=""),"","* * Check Score! * *")</f>
        <v/>
      </c>
      <c r="M109" s="73">
        <v>3</v>
      </c>
      <c r="N109" s="527" t="s">
        <v>1982</v>
      </c>
      <c r="O109" s="1399"/>
      <c r="P109" s="1367"/>
      <c r="Q109" s="2549" t="str">
        <f>IF(OR($O109=$M109,$O109=0,$O109=""),"","*CHECK!*")</f>
        <v/>
      </c>
      <c r="R109" s="1141" t="s">
        <v>2705</v>
      </c>
    </row>
    <row r="110" spans="1:18" s="43" customFormat="1" ht="11.25" customHeight="1">
      <c r="A110" s="42"/>
      <c r="B110" s="55" t="s">
        <v>4615</v>
      </c>
      <c r="D110" s="39"/>
      <c r="E110" s="36"/>
      <c r="F110" s="1011"/>
      <c r="G110" s="1011"/>
      <c r="H110" s="1011"/>
      <c r="I110" s="1011"/>
      <c r="J110" s="1021"/>
      <c r="K110" s="1021"/>
      <c r="L110" s="1021"/>
      <c r="M110" s="60"/>
      <c r="N110" s="1011"/>
      <c r="O110" s="1505"/>
      <c r="P110" s="3"/>
    </row>
    <row r="111" spans="1:18" s="43" customFormat="1" ht="11.25" customHeight="1">
      <c r="A111" s="42"/>
      <c r="B111" s="2442" t="s">
        <v>1985</v>
      </c>
      <c r="C111" s="88" t="s">
        <v>5020</v>
      </c>
      <c r="D111" s="39"/>
      <c r="E111" s="36"/>
      <c r="F111" s="1011"/>
      <c r="G111" s="1011"/>
      <c r="H111" s="1011"/>
      <c r="I111" s="1011"/>
      <c r="J111" s="1021"/>
      <c r="K111" s="1021"/>
      <c r="L111" s="1021"/>
      <c r="M111" s="60"/>
      <c r="N111" s="1325" t="s">
        <v>1985</v>
      </c>
      <c r="O111" s="238"/>
      <c r="P111" s="617"/>
    </row>
    <row r="112" spans="1:18" s="43" customFormat="1" ht="11.25" customHeight="1">
      <c r="A112" s="42"/>
      <c r="B112" s="2442" t="s">
        <v>1987</v>
      </c>
      <c r="C112" s="88" t="s">
        <v>5021</v>
      </c>
      <c r="D112" s="39"/>
      <c r="E112" s="36"/>
      <c r="F112" s="1011"/>
      <c r="G112" s="1011"/>
      <c r="H112" s="1011"/>
      <c r="I112" s="1011"/>
      <c r="J112" s="1021"/>
      <c r="K112" s="1021"/>
      <c r="L112" s="1021"/>
      <c r="M112" s="60"/>
      <c r="N112" s="1325" t="s">
        <v>1987</v>
      </c>
      <c r="O112" s="239"/>
      <c r="P112" s="619"/>
    </row>
    <row r="113" spans="1:21" s="36" customFormat="1" ht="10.5" customHeight="1">
      <c r="A113" s="64"/>
      <c r="B113" s="2442" t="s">
        <v>2533</v>
      </c>
      <c r="C113" s="36" t="s">
        <v>4823</v>
      </c>
      <c r="E113" s="3928"/>
      <c r="F113" s="3929"/>
      <c r="G113" s="3929"/>
      <c r="H113" s="3929"/>
      <c r="I113" s="3929"/>
      <c r="J113" s="3929"/>
      <c r="K113" s="3929"/>
      <c r="L113" s="3929"/>
      <c r="M113" s="3929"/>
      <c r="N113" s="3929"/>
      <c r="O113" s="3929"/>
      <c r="P113" s="3930"/>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1984</v>
      </c>
      <c r="B115" s="184" t="s">
        <v>3986</v>
      </c>
      <c r="D115" s="94"/>
      <c r="F115" s="52"/>
      <c r="G115" s="52"/>
      <c r="H115" s="94"/>
      <c r="I115" s="94"/>
      <c r="J115" s="94"/>
      <c r="K115" s="94"/>
      <c r="L115" s="434" t="str">
        <f>IF(OR($O115=$M115,$O115=0,$O115=""),"","* * Check Score! * *")</f>
        <v/>
      </c>
      <c r="M115" s="1197">
        <v>3</v>
      </c>
      <c r="N115" s="527" t="s">
        <v>1984</v>
      </c>
      <c r="O115" s="1399"/>
      <c r="P115" s="1367"/>
      <c r="Q115" s="2549" t="str">
        <f>IF(OR($O115=$M115,$O115=0,$O115=""),"","*CHECK!*")</f>
        <v/>
      </c>
      <c r="R115" s="1141" t="s">
        <v>2705</v>
      </c>
      <c r="S115" s="1285"/>
      <c r="T115" s="1285"/>
    </row>
    <row r="116" spans="1:21" s="105" customFormat="1" ht="10.5" customHeight="1">
      <c r="A116" s="198"/>
      <c r="B116" s="1012"/>
      <c r="C116" s="52" t="s">
        <v>3987</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3988</v>
      </c>
      <c r="D117" s="192" t="s">
        <v>4825</v>
      </c>
      <c r="F117" s="52"/>
      <c r="G117" s="52"/>
      <c r="H117" s="3982"/>
      <c r="I117" s="3982"/>
      <c r="J117" s="3982"/>
      <c r="K117" s="3982"/>
      <c r="L117" s="3982"/>
      <c r="M117" s="3982"/>
      <c r="N117" s="3982"/>
      <c r="O117" s="3982"/>
      <c r="P117" s="3982"/>
      <c r="Q117" s="1285"/>
      <c r="R117" s="1285"/>
      <c r="S117" s="1285"/>
      <c r="T117" s="1285"/>
    </row>
    <row r="118" spans="1:21" s="105" customFormat="1" ht="10.5" customHeight="1">
      <c r="A118" s="198"/>
      <c r="B118" s="52"/>
      <c r="C118" s="36" t="s">
        <v>3990</v>
      </c>
      <c r="D118" s="94"/>
      <c r="E118" s="52"/>
      <c r="F118" s="52"/>
      <c r="G118" s="52"/>
      <c r="H118" s="94"/>
      <c r="I118" s="94"/>
      <c r="J118" s="94"/>
      <c r="K118" s="94"/>
      <c r="L118" s="94"/>
      <c r="M118" s="494"/>
      <c r="N118" s="1188" t="s">
        <v>3780</v>
      </c>
      <c r="O118" s="1174"/>
      <c r="P118" s="1084"/>
      <c r="Q118" s="1285"/>
      <c r="R118" s="1285"/>
      <c r="S118" s="1285"/>
      <c r="T118" s="1285"/>
    </row>
    <row r="119" spans="1:21" s="36" customFormat="1" ht="10.5" customHeight="1">
      <c r="A119" s="64"/>
      <c r="B119" s="432"/>
      <c r="C119" s="36" t="s">
        <v>3991</v>
      </c>
      <c r="D119" s="52"/>
      <c r="E119" s="52"/>
      <c r="F119" s="52"/>
      <c r="G119" s="52"/>
      <c r="H119" s="52"/>
      <c r="I119" s="52"/>
      <c r="J119" s="52"/>
      <c r="K119" s="52"/>
      <c r="L119" s="52"/>
      <c r="M119" s="1508"/>
      <c r="N119" s="446" t="s">
        <v>3781</v>
      </c>
      <c r="O119" s="422"/>
      <c r="P119" s="618"/>
      <c r="Q119" s="1285"/>
      <c r="R119" s="1285"/>
      <c r="S119" s="1285"/>
      <c r="T119" s="1285"/>
    </row>
    <row r="120" spans="1:21" s="55" customFormat="1" ht="10.5" customHeight="1">
      <c r="A120" s="64"/>
      <c r="C120" s="55" t="s">
        <v>4125</v>
      </c>
      <c r="D120" s="478"/>
      <c r="E120" s="52"/>
      <c r="F120" s="52"/>
      <c r="G120" s="52"/>
      <c r="H120" s="478"/>
      <c r="J120" s="478"/>
      <c r="L120" s="3803" t="s">
        <v>3817</v>
      </c>
      <c r="M120" s="3803"/>
      <c r="N120" s="3803"/>
      <c r="O120" s="3992" t="s">
        <v>3816</v>
      </c>
      <c r="P120" s="3992"/>
      <c r="Q120" s="52"/>
    </row>
    <row r="121" spans="1:21" s="55" customFormat="1" ht="10.5" customHeight="1">
      <c r="A121" s="64"/>
      <c r="B121" s="433"/>
      <c r="C121" s="3936"/>
      <c r="D121" s="3937"/>
      <c r="E121" s="3937"/>
      <c r="F121" s="3937"/>
      <c r="G121" s="3937"/>
      <c r="H121" s="3937"/>
      <c r="I121" s="3937"/>
      <c r="J121" s="3937"/>
      <c r="K121" s="3938"/>
      <c r="L121" s="3939" t="s">
        <v>3700</v>
      </c>
      <c r="M121" s="3939"/>
      <c r="N121" s="3939"/>
      <c r="O121" s="3940"/>
      <c r="P121" s="3940"/>
      <c r="Q121" s="1346" t="str">
        <f>IF(O121&gt;15, "Too much!","")</f>
        <v/>
      </c>
    </row>
    <row r="122" spans="1:21" s="55" customFormat="1" ht="10.5" customHeight="1">
      <c r="A122" s="64"/>
      <c r="B122" s="447"/>
      <c r="C122" s="3919"/>
      <c r="D122" s="3920"/>
      <c r="E122" s="3920"/>
      <c r="F122" s="3920"/>
      <c r="G122" s="3920"/>
      <c r="H122" s="3920"/>
      <c r="I122" s="3920"/>
      <c r="J122" s="3920"/>
      <c r="K122" s="3921"/>
      <c r="L122" s="3852" t="s">
        <v>3700</v>
      </c>
      <c r="M122" s="3852"/>
      <c r="N122" s="3852"/>
      <c r="O122" s="3941"/>
      <c r="P122" s="3941"/>
      <c r="Q122" s="1346" t="str">
        <f>IF(O122&gt;15, "Too much!","")</f>
        <v/>
      </c>
    </row>
    <row r="123" spans="1:21" s="55" customFormat="1" ht="10.5" customHeight="1">
      <c r="A123" s="64"/>
      <c r="B123" s="433"/>
      <c r="C123" s="3919"/>
      <c r="D123" s="3920"/>
      <c r="E123" s="3920"/>
      <c r="F123" s="3920"/>
      <c r="G123" s="3920"/>
      <c r="H123" s="3920"/>
      <c r="I123" s="3920"/>
      <c r="J123" s="3920"/>
      <c r="K123" s="3921"/>
      <c r="L123" s="3852" t="s">
        <v>3700</v>
      </c>
      <c r="M123" s="3852"/>
      <c r="N123" s="3852"/>
      <c r="O123" s="3941"/>
      <c r="P123" s="3941"/>
      <c r="Q123" s="1346" t="str">
        <f>IF(O123&gt;15, "Too much!","")</f>
        <v/>
      </c>
    </row>
    <row r="124" spans="1:21" s="55" customFormat="1" ht="10.5" customHeight="1">
      <c r="A124" s="64"/>
      <c r="B124" s="446"/>
      <c r="C124" s="3984"/>
      <c r="D124" s="3985"/>
      <c r="E124" s="3985"/>
      <c r="F124" s="3985"/>
      <c r="G124" s="3985"/>
      <c r="H124" s="3985"/>
      <c r="I124" s="3985"/>
      <c r="J124" s="3985"/>
      <c r="K124" s="3986"/>
      <c r="L124" s="3987" t="s">
        <v>3700</v>
      </c>
      <c r="M124" s="3987"/>
      <c r="N124" s="3987"/>
      <c r="O124" s="3935"/>
      <c r="P124" s="3935"/>
      <c r="Q124" s="1346" t="str">
        <f>IF(O124&gt;15, "Too much!","")</f>
        <v/>
      </c>
    </row>
    <row r="125" spans="1:21" s="105" customFormat="1" ht="10.5" customHeight="1">
      <c r="B125" s="1012"/>
      <c r="C125" s="52" t="s">
        <v>3989</v>
      </c>
      <c r="D125" s="36" t="s">
        <v>3992</v>
      </c>
      <c r="E125" s="52"/>
      <c r="F125" s="52"/>
      <c r="G125" s="52"/>
      <c r="H125" s="94"/>
      <c r="I125" s="94"/>
      <c r="J125" s="94"/>
      <c r="K125" s="94"/>
      <c r="L125" s="94"/>
      <c r="M125" s="94"/>
      <c r="N125" s="1188" t="s">
        <v>3780</v>
      </c>
      <c r="O125" s="238"/>
      <c r="P125" s="617"/>
      <c r="Q125" s="563"/>
      <c r="R125" s="55"/>
      <c r="S125" s="55"/>
      <c r="T125" s="55"/>
      <c r="U125" s="55"/>
    </row>
    <row r="126" spans="1:21" s="105" customFormat="1" ht="10.5" customHeight="1">
      <c r="A126" s="198"/>
      <c r="B126" s="52"/>
      <c r="D126" s="36" t="s">
        <v>3993</v>
      </c>
      <c r="E126" s="52"/>
      <c r="F126" s="52"/>
      <c r="G126" s="52"/>
      <c r="H126" s="94"/>
      <c r="I126" s="94"/>
      <c r="J126" s="94"/>
      <c r="K126" s="94"/>
      <c r="L126" s="94"/>
      <c r="M126" s="494"/>
      <c r="N126" s="446" t="s">
        <v>3781</v>
      </c>
      <c r="O126" s="239"/>
      <c r="P126" s="619"/>
      <c r="Q126" s="563"/>
      <c r="R126" s="55"/>
      <c r="S126" s="55"/>
      <c r="T126" s="55"/>
      <c r="U126" s="55"/>
    </row>
    <row r="127" spans="1:21" s="36" customFormat="1" ht="10.5" customHeight="1">
      <c r="A127" s="64"/>
      <c r="B127" s="432"/>
      <c r="D127" s="55" t="s">
        <v>4824</v>
      </c>
      <c r="E127" s="52"/>
      <c r="F127" s="52"/>
      <c r="G127" s="52"/>
      <c r="H127" s="52"/>
      <c r="I127" s="52"/>
      <c r="J127" s="52"/>
      <c r="K127" s="52"/>
      <c r="L127" s="52"/>
      <c r="M127" s="1508"/>
      <c r="N127" s="446" t="s">
        <v>3782</v>
      </c>
      <c r="Q127" s="52"/>
      <c r="R127" s="55"/>
      <c r="S127" s="55"/>
      <c r="T127" s="55"/>
      <c r="U127" s="55"/>
    </row>
    <row r="128" spans="1:21" s="55" customFormat="1" ht="10.5" customHeight="1">
      <c r="A128" s="64"/>
      <c r="B128" s="64"/>
      <c r="D128" s="64"/>
      <c r="E128" s="1021" t="s">
        <v>4157</v>
      </c>
      <c r="F128" s="64"/>
      <c r="L128" s="64"/>
      <c r="M128" s="64"/>
      <c r="N128" s="64"/>
      <c r="O128" s="238"/>
      <c r="P128" s="617"/>
      <c r="Q128" s="52"/>
    </row>
    <row r="129" spans="1:21" s="55" customFormat="1" ht="10.5" customHeight="1">
      <c r="A129" s="64"/>
      <c r="B129" s="64"/>
      <c r="D129" s="64"/>
      <c r="E129" s="1021" t="s">
        <v>4480</v>
      </c>
      <c r="F129" s="64"/>
      <c r="L129" s="64"/>
      <c r="M129" s="64"/>
      <c r="N129" s="64"/>
      <c r="O129" s="422"/>
      <c r="P129" s="618"/>
      <c r="Q129" s="52"/>
    </row>
    <row r="130" spans="1:21" s="55" customFormat="1" ht="10.5" customHeight="1">
      <c r="A130" s="64"/>
      <c r="B130" s="64"/>
      <c r="D130" s="64"/>
      <c r="E130" s="1021" t="s">
        <v>4159</v>
      </c>
      <c r="F130" s="64"/>
      <c r="L130" s="64"/>
      <c r="M130" s="64"/>
      <c r="N130" s="64"/>
      <c r="O130" s="422"/>
      <c r="P130" s="618"/>
      <c r="Q130" s="52"/>
    </row>
    <row r="131" spans="1:21" s="55" customFormat="1" ht="10.5" customHeight="1">
      <c r="A131" s="64"/>
      <c r="B131" s="64"/>
      <c r="D131" s="64"/>
      <c r="E131" s="1021" t="s">
        <v>4612</v>
      </c>
      <c r="F131" s="64"/>
      <c r="I131" s="1021"/>
      <c r="L131" s="64"/>
      <c r="M131" s="64"/>
      <c r="N131" s="64"/>
      <c r="O131" s="2275"/>
      <c r="P131" s="1035"/>
      <c r="Q131" s="52"/>
    </row>
    <row r="132" spans="1:21" s="55" customFormat="1" ht="10.5" customHeight="1">
      <c r="A132" s="64"/>
      <c r="B132" s="64"/>
      <c r="D132" s="64"/>
      <c r="E132" s="52" t="s">
        <v>4613</v>
      </c>
      <c r="F132" s="64"/>
      <c r="I132" s="1021"/>
      <c r="L132" s="64"/>
      <c r="M132" s="64"/>
      <c r="N132" s="64"/>
      <c r="O132" s="2275"/>
      <c r="P132" s="1035"/>
      <c r="Q132" s="52"/>
    </row>
    <row r="133" spans="1:21" s="55" customFormat="1" ht="10.5" customHeight="1">
      <c r="A133" s="64"/>
      <c r="B133" s="64"/>
      <c r="D133" s="64"/>
      <c r="E133" s="1021" t="s">
        <v>4614</v>
      </c>
      <c r="F133" s="64"/>
      <c r="I133" s="1021"/>
      <c r="L133" s="64"/>
      <c r="M133" s="64"/>
      <c r="N133" s="64"/>
      <c r="O133" s="2275"/>
      <c r="P133" s="1035"/>
      <c r="Q133" s="52"/>
    </row>
    <row r="134" spans="1:21" s="55" customFormat="1" ht="10.5" customHeight="1">
      <c r="A134" s="64"/>
      <c r="B134" s="64"/>
      <c r="D134" s="64"/>
      <c r="E134" s="3988" t="s">
        <v>4163</v>
      </c>
      <c r="F134" s="3989"/>
      <c r="G134" s="3989"/>
      <c r="H134" s="3989"/>
      <c r="I134" s="3989"/>
      <c r="J134" s="3989"/>
      <c r="K134" s="3989"/>
      <c r="L134" s="3990"/>
      <c r="M134" s="64"/>
      <c r="N134" s="64"/>
      <c r="O134" s="239"/>
      <c r="P134" s="619"/>
      <c r="Q134" s="52"/>
    </row>
    <row r="135" spans="1:21" s="105" customFormat="1" ht="10.5" customHeight="1">
      <c r="A135" s="198"/>
      <c r="B135" s="52"/>
      <c r="D135" s="36" t="s">
        <v>4826</v>
      </c>
      <c r="E135" s="52"/>
      <c r="F135" s="52"/>
      <c r="G135" s="52"/>
      <c r="H135" s="94"/>
      <c r="I135" s="94"/>
      <c r="J135" s="94"/>
      <c r="K135" s="94"/>
      <c r="L135" s="94"/>
      <c r="M135" s="494"/>
      <c r="N135" s="446" t="s">
        <v>3784</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3818</v>
      </c>
      <c r="D137" s="52"/>
      <c r="F137" s="52"/>
      <c r="G137" s="52"/>
      <c r="H137" s="52"/>
      <c r="I137" s="52"/>
      <c r="J137" s="52"/>
      <c r="K137" s="52"/>
      <c r="L137" s="434" t="str">
        <f>IF(OR($O137=$M137,$O137=0,$O137=""),"","* * Check Score! * *")</f>
        <v/>
      </c>
      <c r="M137" s="1197">
        <v>1</v>
      </c>
      <c r="N137" s="1325" t="s">
        <v>1987</v>
      </c>
      <c r="O137" s="1399"/>
      <c r="P137" s="1367"/>
      <c r="Q137" s="2549" t="str">
        <f>IF(OR($O137=$M137,$O137=0,$O137=""),"","*CHECK!*")</f>
        <v/>
      </c>
      <c r="R137" s="1141" t="s">
        <v>2705</v>
      </c>
      <c r="S137" s="1285"/>
      <c r="T137" s="1285"/>
      <c r="U137" s="1285"/>
    </row>
    <row r="138" spans="1:21" s="36" customFormat="1" ht="10.5" customHeight="1">
      <c r="A138" s="64"/>
      <c r="C138" s="52" t="s">
        <v>3994</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50" t="s">
        <v>4827</v>
      </c>
      <c r="D139" s="3650"/>
      <c r="E139" s="3650"/>
      <c r="F139" s="1514"/>
      <c r="G139" s="1021" t="s">
        <v>3995</v>
      </c>
      <c r="I139" s="1514"/>
      <c r="J139" s="1514"/>
      <c r="K139" s="1514"/>
      <c r="L139" s="1514"/>
      <c r="M139" s="65" t="s">
        <v>2434</v>
      </c>
      <c r="N139" s="446" t="s">
        <v>3780</v>
      </c>
      <c r="O139" s="1174"/>
      <c r="P139" s="1084"/>
      <c r="Q139" s="52"/>
      <c r="R139" s="1285"/>
      <c r="S139" s="1285"/>
      <c r="T139" s="1285"/>
      <c r="U139" s="1285"/>
    </row>
    <row r="140" spans="1:21" s="36" customFormat="1" ht="10.5" customHeight="1">
      <c r="A140" s="64"/>
      <c r="B140" s="432"/>
      <c r="C140" s="3650"/>
      <c r="D140" s="3650"/>
      <c r="E140" s="3650"/>
      <c r="F140" s="1514"/>
      <c r="G140" s="1021" t="s">
        <v>3996</v>
      </c>
      <c r="I140" s="1514"/>
      <c r="J140" s="1514"/>
      <c r="K140" s="1514"/>
      <c r="L140" s="1514"/>
      <c r="M140" s="1508"/>
      <c r="N140" s="1188" t="s">
        <v>3781</v>
      </c>
      <c r="O140" s="422"/>
      <c r="P140" s="618"/>
      <c r="Q140" s="52"/>
      <c r="R140" s="1285"/>
      <c r="S140" s="1285"/>
      <c r="T140" s="1285"/>
      <c r="U140" s="1285"/>
    </row>
    <row r="141" spans="1:21" s="36" customFormat="1" ht="10.5" customHeight="1">
      <c r="A141" s="65"/>
      <c r="B141" s="432"/>
      <c r="C141" s="3650"/>
      <c r="D141" s="3650"/>
      <c r="E141" s="3650"/>
      <c r="F141" s="1514"/>
      <c r="G141" s="1021" t="s">
        <v>3997</v>
      </c>
      <c r="I141" s="1514"/>
      <c r="J141" s="1514"/>
      <c r="K141" s="1514"/>
      <c r="L141" s="1514"/>
      <c r="M141" s="1508"/>
      <c r="N141" s="446" t="s">
        <v>3782</v>
      </c>
      <c r="O141" s="422"/>
      <c r="P141" s="618"/>
      <c r="Q141" s="52"/>
      <c r="R141" s="1285"/>
      <c r="S141" s="1285"/>
      <c r="T141" s="1285"/>
      <c r="U141" s="1285"/>
    </row>
    <row r="142" spans="1:21" s="36" customFormat="1" ht="10.5" customHeight="1">
      <c r="A142" s="64"/>
      <c r="B142" s="432"/>
      <c r="D142" s="1514"/>
      <c r="E142" s="1514"/>
      <c r="F142" s="1514"/>
      <c r="G142" s="1021" t="s">
        <v>3998</v>
      </c>
      <c r="I142" s="1514"/>
      <c r="J142" s="1514"/>
      <c r="K142" s="1514"/>
      <c r="L142" s="1514"/>
      <c r="M142" s="1508"/>
      <c r="N142" s="446" t="s">
        <v>3784</v>
      </c>
      <c r="O142" s="422"/>
      <c r="P142" s="618"/>
      <c r="Q142" s="52"/>
      <c r="R142" s="1285"/>
      <c r="S142" s="1285"/>
      <c r="T142" s="1285"/>
      <c r="U142" s="1285"/>
    </row>
    <row r="143" spans="1:21" s="36" customFormat="1" ht="10.5" customHeight="1">
      <c r="A143" s="64"/>
      <c r="B143" s="432"/>
      <c r="D143" s="1514"/>
      <c r="E143" s="1514"/>
      <c r="F143" s="1514"/>
      <c r="G143" s="1021" t="s">
        <v>3999</v>
      </c>
      <c r="I143" s="1514"/>
      <c r="J143" s="1514"/>
      <c r="K143" s="1514"/>
      <c r="L143" s="1514"/>
      <c r="M143" s="1508"/>
      <c r="N143" s="1188" t="s">
        <v>3785</v>
      </c>
      <c r="O143" s="239"/>
      <c r="P143" s="619"/>
      <c r="Q143" s="52"/>
    </row>
    <row r="144" spans="1:21" s="36" customFormat="1" ht="10.5" customHeight="1">
      <c r="A144" s="64"/>
      <c r="B144" s="1012"/>
      <c r="C144" s="1021" t="s">
        <v>4828</v>
      </c>
      <c r="D144" s="1514"/>
      <c r="E144" s="1514"/>
      <c r="F144" s="1514"/>
      <c r="G144" s="1514"/>
      <c r="H144" s="1514"/>
      <c r="I144" s="1514"/>
      <c r="J144" s="1514"/>
      <c r="K144" s="1514"/>
      <c r="L144" s="1514"/>
      <c r="M144" s="65"/>
      <c r="N144" s="65" t="s">
        <v>2435</v>
      </c>
      <c r="O144" s="542"/>
      <c r="P144" s="616"/>
      <c r="Q144" s="52"/>
    </row>
    <row r="145" spans="1:18" s="55" customFormat="1" ht="10.5" customHeight="1">
      <c r="A145" s="64"/>
      <c r="B145" s="504"/>
      <c r="C145" s="55" t="s">
        <v>3832</v>
      </c>
      <c r="D145" s="478"/>
      <c r="E145" s="52"/>
      <c r="F145" s="52"/>
      <c r="G145" s="55" t="s">
        <v>4130</v>
      </c>
      <c r="H145" s="478"/>
      <c r="M145" s="58"/>
      <c r="N145" s="58"/>
      <c r="O145" s="58"/>
      <c r="P145" s="58"/>
      <c r="Q145" s="52"/>
    </row>
    <row r="146" spans="1:18" s="55" customFormat="1" ht="10.5" customHeight="1">
      <c r="B146" s="433"/>
      <c r="C146" s="3936"/>
      <c r="D146" s="3937"/>
      <c r="E146" s="3937"/>
      <c r="F146" s="3938"/>
      <c r="G146" s="3936"/>
      <c r="H146" s="3937"/>
      <c r="I146" s="3937"/>
      <c r="J146" s="3937"/>
      <c r="K146" s="3937"/>
      <c r="L146" s="3937"/>
      <c r="M146" s="3937"/>
      <c r="N146" s="3937"/>
      <c r="O146" s="3937"/>
      <c r="P146" s="3938"/>
      <c r="Q146" s="52"/>
    </row>
    <row r="147" spans="1:18" s="55" customFormat="1" ht="10.5" customHeight="1">
      <c r="A147" s="64"/>
      <c r="B147" s="447"/>
      <c r="C147" s="3919"/>
      <c r="D147" s="3920"/>
      <c r="E147" s="3920"/>
      <c r="F147" s="3921"/>
      <c r="G147" s="3919"/>
      <c r="H147" s="3920"/>
      <c r="I147" s="3920"/>
      <c r="J147" s="3920"/>
      <c r="K147" s="3920"/>
      <c r="L147" s="3920"/>
      <c r="M147" s="3920"/>
      <c r="N147" s="3920"/>
      <c r="O147" s="3920"/>
      <c r="P147" s="3921"/>
      <c r="Q147" s="52"/>
    </row>
    <row r="148" spans="1:18" s="55" customFormat="1" ht="10.5" customHeight="1">
      <c r="A148" s="3577" t="s">
        <v>4164</v>
      </c>
      <c r="B148" s="3577"/>
      <c r="C148" s="3919"/>
      <c r="D148" s="3920"/>
      <c r="E148" s="3920"/>
      <c r="F148" s="3921"/>
      <c r="G148" s="3919"/>
      <c r="H148" s="3920"/>
      <c r="I148" s="3920"/>
      <c r="J148" s="3920"/>
      <c r="K148" s="3920"/>
      <c r="L148" s="3920"/>
      <c r="M148" s="3920"/>
      <c r="N148" s="3920"/>
      <c r="O148" s="3920"/>
      <c r="P148" s="3921"/>
      <c r="Q148" s="52"/>
    </row>
    <row r="149" spans="1:18" s="55" customFormat="1" ht="10.5" customHeight="1">
      <c r="A149" s="3577"/>
      <c r="B149" s="3577"/>
      <c r="C149" s="3984"/>
      <c r="D149" s="3985"/>
      <c r="E149" s="3985"/>
      <c r="F149" s="3986"/>
      <c r="G149" s="3984"/>
      <c r="H149" s="3985"/>
      <c r="I149" s="3985"/>
      <c r="J149" s="3985"/>
      <c r="K149" s="3985"/>
      <c r="L149" s="3985"/>
      <c r="M149" s="3985"/>
      <c r="N149" s="3985"/>
      <c r="O149" s="3985"/>
      <c r="P149" s="3986"/>
      <c r="Q149" s="52"/>
    </row>
    <row r="150" spans="1:18" s="43" customFormat="1" ht="4.5" customHeight="1">
      <c r="A150" s="3983"/>
      <c r="B150" s="3983"/>
      <c r="C150" s="101"/>
      <c r="D150" s="87"/>
      <c r="E150" s="102"/>
      <c r="F150" s="1506"/>
      <c r="G150" s="1506"/>
      <c r="H150" s="1506"/>
      <c r="I150" s="1506"/>
      <c r="J150" s="1506"/>
      <c r="K150" s="1506"/>
      <c r="L150" s="1506"/>
      <c r="M150" s="1506"/>
      <c r="N150" s="75"/>
      <c r="O150" s="71"/>
      <c r="P150" s="1503"/>
      <c r="Q150" s="490"/>
    </row>
    <row r="151" spans="1:18" s="43" customFormat="1" ht="11.25" customHeight="1">
      <c r="A151" s="3602"/>
      <c r="B151" s="3603"/>
      <c r="C151" s="3603"/>
      <c r="D151" s="3603"/>
      <c r="E151" s="3603"/>
      <c r="F151" s="3603"/>
      <c r="G151" s="3603"/>
      <c r="H151" s="3603"/>
      <c r="I151" s="3603"/>
      <c r="J151" s="3603"/>
      <c r="K151" s="3603"/>
      <c r="L151" s="3603"/>
      <c r="M151" s="3603"/>
      <c r="N151" s="3603"/>
      <c r="O151" s="3603"/>
      <c r="P151" s="3604"/>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3966</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1982</v>
      </c>
      <c r="B155" s="10" t="s">
        <v>4003</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3827</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922" t="s">
        <v>5026</v>
      </c>
      <c r="C158" s="3922"/>
      <c r="D158" s="3922"/>
      <c r="E158" s="52" t="s">
        <v>3824</v>
      </c>
      <c r="F158" s="105"/>
      <c r="G158" s="52"/>
      <c r="H158" s="105"/>
      <c r="I158" s="3928"/>
      <c r="J158" s="3929"/>
      <c r="K158" s="3929"/>
      <c r="L158" s="3930"/>
    </row>
    <row r="159" spans="1:18" s="43" customFormat="1" ht="11.25" customHeight="1">
      <c r="A159" s="142"/>
      <c r="B159" s="3922"/>
      <c r="C159" s="3922"/>
      <c r="D159" s="3922"/>
      <c r="E159" s="40" t="s">
        <v>4831</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4832</v>
      </c>
      <c r="F160" s="2615" t="str">
        <f>'Part I-Project Information'!$H$82</f>
        <v>Family</v>
      </c>
      <c r="H160" s="2614"/>
      <c r="I160" s="1506"/>
      <c r="J160" s="1506"/>
      <c r="M160" s="1506"/>
      <c r="N160" s="75"/>
      <c r="O160" s="3923" t="s">
        <v>5022</v>
      </c>
      <c r="P160" s="3923"/>
    </row>
    <row r="161" spans="1:24" s="55" customFormat="1" ht="3" customHeight="1">
      <c r="A161" s="1028"/>
      <c r="B161" s="492"/>
      <c r="O161" s="3924"/>
      <c r="P161" s="3924"/>
    </row>
    <row r="162" spans="1:24" s="43" customFormat="1" ht="12" customHeight="1">
      <c r="A162" s="433" t="s">
        <v>2434</v>
      </c>
      <c r="B162" s="114" t="s">
        <v>4830</v>
      </c>
      <c r="C162" s="2434"/>
      <c r="D162" s="2434"/>
      <c r="E162" s="52"/>
      <c r="F162" s="2435"/>
      <c r="G162" s="2435"/>
      <c r="I162" s="2434"/>
      <c r="J162" s="2434"/>
      <c r="K162" s="2434"/>
      <c r="L162" s="2434"/>
      <c r="M162" s="3895" t="s">
        <v>4829</v>
      </c>
      <c r="N162" s="75"/>
      <c r="O162" s="3924"/>
      <c r="P162" s="3924"/>
      <c r="T162" s="3802" t="s">
        <v>5059</v>
      </c>
    </row>
    <row r="163" spans="1:24" s="55" customFormat="1" ht="3" customHeight="1">
      <c r="A163" s="1028"/>
      <c r="B163" s="492"/>
      <c r="M163" s="3895"/>
      <c r="O163" s="3924"/>
      <c r="P163" s="3924"/>
      <c r="T163" s="3802"/>
    </row>
    <row r="164" spans="1:24" s="43" customFormat="1" ht="13.5" customHeight="1">
      <c r="A164" s="142"/>
      <c r="B164" s="632"/>
      <c r="C164" s="631"/>
      <c r="D164" s="631"/>
      <c r="E164" s="1522"/>
      <c r="H164" s="3927" t="s">
        <v>3822</v>
      </c>
      <c r="I164" s="3896" t="s">
        <v>3867</v>
      </c>
      <c r="J164" s="3897"/>
      <c r="K164" s="3898"/>
      <c r="L164" s="3895" t="s">
        <v>3821</v>
      </c>
      <c r="M164" s="3895"/>
      <c r="N164" s="2464"/>
      <c r="O164" s="3924"/>
      <c r="P164" s="3924"/>
      <c r="R164" s="3861" t="s">
        <v>5027</v>
      </c>
      <c r="T164" s="3802"/>
      <c r="U164" s="3846" t="s">
        <v>5058</v>
      </c>
    </row>
    <row r="165" spans="1:24" s="43" customFormat="1" ht="13.5" customHeight="1">
      <c r="A165" s="142"/>
      <c r="B165" s="640" t="s">
        <v>3819</v>
      </c>
      <c r="C165" s="1521"/>
      <c r="D165" s="3917" t="s">
        <v>3823</v>
      </c>
      <c r="E165" s="3917"/>
      <c r="F165" s="3917"/>
      <c r="G165" s="1517" t="s">
        <v>3397</v>
      </c>
      <c r="H165" s="3846"/>
      <c r="I165" s="595">
        <v>2015</v>
      </c>
      <c r="J165" s="595">
        <v>2016</v>
      </c>
      <c r="K165" s="595">
        <v>2017</v>
      </c>
      <c r="L165" s="3144"/>
      <c r="M165" s="3144"/>
      <c r="N165" s="2464"/>
      <c r="O165" s="3925"/>
      <c r="P165" s="3925"/>
      <c r="R165" s="3862"/>
      <c r="T165" s="3846"/>
      <c r="U165" s="3846"/>
    </row>
    <row r="166" spans="1:24" s="43" customFormat="1" ht="12" customHeight="1">
      <c r="B166" s="677" t="s">
        <v>4002</v>
      </c>
      <c r="D166" s="3902"/>
      <c r="E166" s="3903"/>
      <c r="F166" s="3904"/>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3845">
        <f>SUM(T166:T170)</f>
        <v>0</v>
      </c>
    </row>
    <row r="167" spans="1:24" s="43" customFormat="1" ht="12" customHeight="1">
      <c r="B167" s="677" t="s">
        <v>4165</v>
      </c>
      <c r="D167" s="3905"/>
      <c r="E167" s="3906"/>
      <c r="F167" s="3907"/>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3845"/>
    </row>
    <row r="168" spans="1:24" s="43" customFormat="1" ht="12" customHeight="1">
      <c r="A168" s="433"/>
      <c r="B168" s="677" t="s">
        <v>4000</v>
      </c>
      <c r="D168" s="3899"/>
      <c r="E168" s="3900"/>
      <c r="F168" s="3901"/>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3845"/>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1984</v>
      </c>
      <c r="B171" s="10" t="s">
        <v>4004</v>
      </c>
      <c r="C171" s="94"/>
      <c r="D171" s="1326"/>
      <c r="E171" s="1326"/>
      <c r="F171" s="61" t="s">
        <v>3390</v>
      </c>
      <c r="H171" s="40" t="s">
        <v>3868</v>
      </c>
      <c r="M171" s="494">
        <v>2</v>
      </c>
      <c r="N171" s="194"/>
      <c r="O171" s="1329">
        <f>IF(AND(I180="Yes",I181="Yes"),$H$181,IF(AND(I180="Yes",I181="No"),$H$180,0))</f>
        <v>0</v>
      </c>
      <c r="P171" s="1329">
        <f>IF(AND(J180="Yes",J181="Yes"),$H$181,IF(AND(J180="Yes",J181="No"),$H$180,0))</f>
        <v>0</v>
      </c>
      <c r="Q171" s="112"/>
      <c r="R171" s="1327"/>
    </row>
    <row r="172" spans="1:24" s="55" customFormat="1" ht="15" customHeight="1">
      <c r="E172" s="4120" t="s">
        <v>4167</v>
      </c>
      <c r="F172" s="4120" t="s">
        <v>3660</v>
      </c>
      <c r="G172" s="4123" t="s">
        <v>3398</v>
      </c>
      <c r="H172" s="4123"/>
      <c r="I172" s="4123"/>
      <c r="J172" s="4123"/>
      <c r="K172" s="4123"/>
      <c r="L172" s="4123"/>
      <c r="M172" s="4123"/>
      <c r="N172" s="4123"/>
      <c r="P172" s="1361"/>
      <c r="R172" s="52" t="s">
        <v>2832</v>
      </c>
      <c r="S172" s="36"/>
      <c r="T172" s="4111" t="str">
        <f>'Part I-Project Information'!$F$38</f>
        <v>Atlanta</v>
      </c>
      <c r="U172" s="4112"/>
      <c r="V172" s="4112"/>
      <c r="W172" s="4112"/>
      <c r="X172" s="4113"/>
    </row>
    <row r="173" spans="1:24" s="55" customFormat="1" ht="13.5" customHeight="1">
      <c r="A173" s="47"/>
      <c r="B173" s="4134" t="s">
        <v>4007</v>
      </c>
      <c r="C173" s="4134"/>
      <c r="D173" s="4134"/>
      <c r="E173" s="4127"/>
      <c r="F173" s="4127"/>
      <c r="G173" s="4122" t="s">
        <v>4006</v>
      </c>
      <c r="H173" s="4122"/>
      <c r="I173" s="4122"/>
      <c r="J173" s="4122"/>
      <c r="K173" s="4122"/>
      <c r="L173" s="4122"/>
      <c r="M173" s="4122"/>
      <c r="N173" s="4122"/>
      <c r="O173" s="4120" t="s">
        <v>3661</v>
      </c>
      <c r="P173" s="4120"/>
      <c r="R173" s="52" t="s">
        <v>2833</v>
      </c>
      <c r="S173" s="36"/>
      <c r="T173" s="4114" t="str">
        <f>'Part I-Project Information'!$J$39</f>
        <v>Fulton</v>
      </c>
      <c r="U173" s="4115"/>
      <c r="V173" s="4115"/>
      <c r="W173" s="4115"/>
      <c r="X173" s="4116"/>
    </row>
    <row r="174" spans="1:24" s="55" customFormat="1" ht="13.5" customHeight="1">
      <c r="A174" s="47"/>
      <c r="B174" s="3926" t="s">
        <v>3828</v>
      </c>
      <c r="C174" s="3926"/>
      <c r="D174" s="3926"/>
      <c r="E174" s="1518">
        <v>3000</v>
      </c>
      <c r="F174" s="1518">
        <v>6000</v>
      </c>
      <c r="G174" s="4117">
        <v>15000</v>
      </c>
      <c r="H174" s="4117"/>
      <c r="I174" s="4117"/>
      <c r="J174" s="4117"/>
      <c r="K174" s="4117"/>
      <c r="L174" s="4117"/>
      <c r="M174" s="4117"/>
      <c r="N174" s="4117"/>
      <c r="O174" s="4117">
        <v>20000</v>
      </c>
      <c r="P174" s="4117"/>
      <c r="R174" s="40" t="s">
        <v>2834</v>
      </c>
      <c r="S174" s="36"/>
      <c r="T174" s="4114" t="str">
        <f>'Part I-Project Information'!$O$40</f>
        <v>Atlanta-Sandy Springs-Marietta</v>
      </c>
      <c r="U174" s="4115"/>
      <c r="V174" s="4115"/>
      <c r="W174" s="4115"/>
      <c r="X174" s="4116"/>
    </row>
    <row r="175" spans="1:24" s="36" customFormat="1" ht="13.5" customHeight="1">
      <c r="A175" s="47"/>
      <c r="B175" s="3866" t="s">
        <v>4005</v>
      </c>
      <c r="C175" s="3866"/>
      <c r="D175" s="3866"/>
      <c r="E175" s="1516">
        <v>4500</v>
      </c>
      <c r="F175" s="1516">
        <v>9000</v>
      </c>
      <c r="G175" s="4121">
        <v>22500</v>
      </c>
      <c r="H175" s="4121"/>
      <c r="I175" s="4121"/>
      <c r="J175" s="4121"/>
      <c r="K175" s="4121"/>
      <c r="L175" s="4121"/>
      <c r="M175" s="4121"/>
      <c r="N175" s="4121"/>
      <c r="O175" s="4121">
        <v>30000</v>
      </c>
      <c r="P175" s="4121"/>
      <c r="R175" s="40" t="s">
        <v>3861</v>
      </c>
      <c r="T175" s="4114" t="str">
        <f>VLOOKUP('Part I-Project Information'!$J$39,'DCA Underwriting Assumptions'!$G$158:$J$317,4)</f>
        <v>MSA</v>
      </c>
      <c r="U175" s="4115"/>
      <c r="V175" s="4115"/>
      <c r="W175" s="4115"/>
      <c r="X175" s="4116"/>
    </row>
    <row r="176" spans="1:24" s="55" customFormat="1" ht="9" customHeight="1">
      <c r="A176" s="47"/>
      <c r="B176" s="47"/>
      <c r="C176" s="478"/>
      <c r="K176" s="595"/>
      <c r="L176" s="595"/>
    </row>
    <row r="177" spans="1:24" s="55" customFormat="1" ht="12" customHeight="1">
      <c r="B177" s="1026" t="s">
        <v>3862</v>
      </c>
      <c r="E177" s="1023"/>
      <c r="F177" s="1023"/>
      <c r="G177" s="1023"/>
      <c r="I177" s="1024"/>
      <c r="J177" s="1407"/>
      <c r="R177" s="36" t="s">
        <v>3626</v>
      </c>
      <c r="S177" s="36"/>
      <c r="T177" s="4124" t="str">
        <f>'Part I-Project Information'!$K$40</f>
        <v>Urban</v>
      </c>
      <c r="U177" s="4125"/>
      <c r="V177" s="4125"/>
      <c r="W177" s="4125"/>
      <c r="X177" s="4126"/>
    </row>
    <row r="178" spans="1:24" s="55" customFormat="1" ht="12" customHeight="1">
      <c r="A178" s="1028"/>
      <c r="B178" s="492" t="s">
        <v>3625</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1985</v>
      </c>
      <c r="C180" s="36" t="s">
        <v>4166</v>
      </c>
      <c r="D180" s="1266"/>
      <c r="E180" s="1266"/>
      <c r="F180" s="1266"/>
      <c r="G180" s="1266"/>
      <c r="H180" s="1442" t="s">
        <v>1985</v>
      </c>
      <c r="I180" s="1439" t="str">
        <f>IF(OR(I177="",I178=""),"",IF(I178&gt;=I177,"Yes","No"))</f>
        <v/>
      </c>
      <c r="J180" s="1439" t="str">
        <f>IF(OR(J177="",J178=""),"",IF(J178&gt;=J177,"Yes","No"))</f>
        <v/>
      </c>
    </row>
    <row r="181" spans="1:24" s="55" customFormat="1" ht="11.25" customHeight="1">
      <c r="A181" s="1268" t="s">
        <v>1353</v>
      </c>
      <c r="B181" s="666" t="s">
        <v>1987</v>
      </c>
      <c r="C181" s="36" t="s">
        <v>4008</v>
      </c>
      <c r="D181" s="1522"/>
      <c r="E181" s="1522"/>
      <c r="F181" s="1522"/>
      <c r="H181" s="1442" t="s">
        <v>1987</v>
      </c>
      <c r="I181" s="1440" t="str">
        <f>IF(OR(I177="",I178=""),"",IF(I178&gt;=HLOOKUP(I177,$E$174:$P$175,2),"Yes","No"))</f>
        <v/>
      </c>
      <c r="J181" s="1440" t="str">
        <f>IF(OR(J177="",J178=""),"",IF(J178&gt;=HLOOKUP(J177,$E$174:$P$175,2),"Yes","No"))</f>
        <v/>
      </c>
    </row>
    <row r="182" spans="1:24" s="55" customFormat="1" ht="11.25" customHeight="1">
      <c r="B182" s="142"/>
      <c r="C182" s="492" t="s">
        <v>3883</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3754</v>
      </c>
      <c r="C184" s="42"/>
      <c r="D184" s="48"/>
      <c r="E184" s="48"/>
      <c r="F184" s="48"/>
      <c r="G184" s="48"/>
      <c r="H184" s="36"/>
      <c r="I184" s="36"/>
      <c r="J184" s="36"/>
      <c r="K184" s="36"/>
      <c r="M184" s="46"/>
      <c r="N184" s="62"/>
      <c r="O184" s="3"/>
      <c r="P184" s="1505"/>
    </row>
    <row r="185" spans="1:24" s="43" customFormat="1" ht="21.75" customHeight="1" thickTop="1" thickBot="1">
      <c r="A185" s="3869"/>
      <c r="B185" s="3870"/>
      <c r="C185" s="3870"/>
      <c r="D185" s="3870"/>
      <c r="E185" s="3870"/>
      <c r="F185" s="3870"/>
      <c r="G185" s="3870"/>
      <c r="H185" s="3870"/>
      <c r="I185" s="3870"/>
      <c r="J185" s="3870"/>
      <c r="K185" s="3870"/>
      <c r="L185" s="3870"/>
      <c r="M185" s="3870"/>
      <c r="N185" s="3870"/>
      <c r="O185" s="3870"/>
      <c r="P185" s="3871"/>
      <c r="Q185" s="1291" t="s">
        <v>1254</v>
      </c>
    </row>
    <row r="186" spans="1:24" s="43" customFormat="1" ht="10.5" customHeight="1" thickTop="1">
      <c r="A186" s="42"/>
      <c r="B186" s="87" t="s">
        <v>1865</v>
      </c>
      <c r="C186" s="101"/>
      <c r="D186" s="87"/>
      <c r="E186" s="102"/>
      <c r="F186" s="1506"/>
      <c r="G186" s="1506"/>
      <c r="H186" s="1506"/>
      <c r="I186" s="1506"/>
      <c r="J186" s="1506"/>
      <c r="K186" s="1506"/>
      <c r="L186" s="1506"/>
      <c r="M186" s="1506"/>
      <c r="N186" s="75"/>
      <c r="O186" s="71"/>
      <c r="P186" s="1503"/>
      <c r="Q186" s="490"/>
    </row>
    <row r="187" spans="1:24" s="43" customFormat="1" ht="11.25" customHeight="1">
      <c r="A187" s="3602"/>
      <c r="B187" s="3603"/>
      <c r="C187" s="3603"/>
      <c r="D187" s="3603"/>
      <c r="E187" s="3603"/>
      <c r="F187" s="3603"/>
      <c r="G187" s="3603"/>
      <c r="H187" s="3603"/>
      <c r="I187" s="3603"/>
      <c r="J187" s="3603"/>
      <c r="K187" s="3603"/>
      <c r="L187" s="3603"/>
      <c r="M187" s="3603"/>
      <c r="N187" s="3603"/>
      <c r="O187" s="3603"/>
      <c r="P187" s="3604"/>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4014</v>
      </c>
      <c r="C189" s="94"/>
      <c r="D189" s="59"/>
      <c r="E189" s="59"/>
      <c r="I189" s="1269"/>
      <c r="J189" s="1269"/>
      <c r="K189" s="668"/>
      <c r="L189" s="668"/>
      <c r="M189" s="1503">
        <v>7</v>
      </c>
      <c r="N189" s="7"/>
      <c r="O189" s="1328">
        <f>IF(OR(O$153&gt;0,O$277&gt;0),0,MIN($M$189,O205+O210))</f>
        <v>0</v>
      </c>
      <c r="P189" s="1329">
        <f>IF(OR(P$153&gt;0,P$277&gt;0),0,MIN($M$189,P205+P210))</f>
        <v>0</v>
      </c>
      <c r="Q189" s="112" t="s">
        <v>441</v>
      </c>
      <c r="R189" s="4128" t="s">
        <v>4839</v>
      </c>
      <c r="S189" s="4129"/>
    </row>
    <row r="190" spans="1:24" s="43" customFormat="1" ht="2.25" customHeight="1">
      <c r="A190" s="493"/>
      <c r="C190" s="184"/>
      <c r="D190" s="184"/>
      <c r="E190" s="192"/>
      <c r="F190" s="184"/>
      <c r="G190" s="184"/>
      <c r="H190" s="184"/>
      <c r="I190" s="184"/>
      <c r="J190" s="184"/>
      <c r="K190" s="184"/>
      <c r="L190" s="184"/>
      <c r="M190" s="184"/>
      <c r="N190" s="184"/>
      <c r="O190" s="184"/>
      <c r="P190" s="184"/>
      <c r="R190" s="4130"/>
      <c r="S190" s="4131"/>
    </row>
    <row r="191" spans="1:24" s="43" customFormat="1" ht="23.25" customHeight="1">
      <c r="A191" s="493"/>
      <c r="B191" s="3664" t="s">
        <v>4839</v>
      </c>
      <c r="C191" s="3664"/>
      <c r="D191" s="3664"/>
      <c r="E191" s="3664"/>
      <c r="F191" s="3664"/>
      <c r="G191" s="3664"/>
      <c r="H191" s="3664"/>
      <c r="I191" s="3664"/>
      <c r="J191" s="3664"/>
      <c r="K191" s="3664"/>
      <c r="L191" s="3664"/>
      <c r="M191" s="3664"/>
      <c r="N191" s="3664"/>
      <c r="O191" s="3664"/>
      <c r="P191" s="3664"/>
      <c r="R191" s="4130"/>
      <c r="S191" s="4131"/>
    </row>
    <row r="192" spans="1:24" s="43" customFormat="1" ht="12" customHeight="1">
      <c r="A192" s="493"/>
      <c r="B192" s="184" t="s">
        <v>4131</v>
      </c>
      <c r="C192" s="184"/>
      <c r="D192" s="184"/>
      <c r="E192" s="184"/>
      <c r="F192" s="184"/>
      <c r="G192" s="184"/>
      <c r="H192" s="184"/>
      <c r="I192" s="184"/>
      <c r="J192" s="184"/>
      <c r="K192" s="1455" t="s">
        <v>2509</v>
      </c>
      <c r="L192" s="1456" t="s">
        <v>2509</v>
      </c>
      <c r="N192" s="1491"/>
      <c r="P192" s="1492"/>
      <c r="R192" s="4130"/>
      <c r="S192" s="4131"/>
    </row>
    <row r="193" spans="1:25" s="451" customFormat="1" ht="11.25" customHeight="1">
      <c r="B193" s="1188" t="s">
        <v>2434</v>
      </c>
      <c r="C193" s="3894" t="s">
        <v>4945</v>
      </c>
      <c r="D193" s="3894"/>
      <c r="E193" s="3894"/>
      <c r="F193" s="3894"/>
      <c r="G193" s="3894"/>
      <c r="H193" s="3894"/>
      <c r="I193" s="3894"/>
      <c r="J193" s="1188" t="s">
        <v>2434</v>
      </c>
      <c r="K193" s="1493"/>
      <c r="L193" s="1494"/>
      <c r="M193" s="4135" t="s">
        <v>3857</v>
      </c>
      <c r="N193" s="4136"/>
      <c r="O193" s="4136"/>
      <c r="P193" s="4137"/>
      <c r="R193" s="4130"/>
      <c r="S193" s="4131"/>
    </row>
    <row r="194" spans="1:25" s="43" customFormat="1" ht="11.25" customHeight="1">
      <c r="A194" s="431"/>
      <c r="B194" s="433"/>
      <c r="C194" s="3894"/>
      <c r="D194" s="3894"/>
      <c r="E194" s="3894"/>
      <c r="F194" s="3894"/>
      <c r="G194" s="3894"/>
      <c r="H194" s="3894"/>
      <c r="I194" s="3894"/>
      <c r="K194" s="1472"/>
      <c r="L194" s="1472"/>
      <c r="R194" s="4130"/>
      <c r="S194" s="4131"/>
    </row>
    <row r="195" spans="1:25" s="105" customFormat="1" ht="11.25" customHeight="1">
      <c r="A195" s="493"/>
      <c r="B195" s="433" t="s">
        <v>2435</v>
      </c>
      <c r="C195" s="3918" t="s">
        <v>4833</v>
      </c>
      <c r="D195" s="3918"/>
      <c r="E195" s="3918"/>
      <c r="F195" s="3918"/>
      <c r="G195" s="3918"/>
      <c r="J195" s="433" t="s">
        <v>2435</v>
      </c>
      <c r="K195" s="1495"/>
      <c r="L195" s="623"/>
      <c r="M195" s="3908" t="s">
        <v>3857</v>
      </c>
      <c r="N195" s="3909"/>
      <c r="O195" s="3909"/>
      <c r="P195" s="3910"/>
      <c r="R195" s="4130"/>
      <c r="S195" s="4131"/>
    </row>
    <row r="196" spans="1:25" s="33" customFormat="1" ht="11.25" customHeight="1">
      <c r="B196" s="433" t="s">
        <v>2436</v>
      </c>
      <c r="C196" s="558" t="s">
        <v>4834</v>
      </c>
      <c r="D196" s="558"/>
      <c r="E196" s="558"/>
      <c r="F196" s="558"/>
      <c r="G196" s="558"/>
      <c r="H196" s="558"/>
      <c r="J196" s="433" t="s">
        <v>2436</v>
      </c>
      <c r="K196" s="2533"/>
      <c r="L196" s="2534"/>
      <c r="M196" s="3877" t="s">
        <v>3857</v>
      </c>
      <c r="N196" s="3878"/>
      <c r="O196" s="3878"/>
      <c r="P196" s="3879"/>
      <c r="R196" s="4130"/>
      <c r="S196" s="4131"/>
    </row>
    <row r="197" spans="1:25" s="33" customFormat="1" ht="11.25" customHeight="1">
      <c r="B197" s="433" t="s">
        <v>2438</v>
      </c>
      <c r="C197" s="138" t="s">
        <v>4835</v>
      </c>
      <c r="D197" s="558"/>
      <c r="E197" s="558"/>
      <c r="F197" s="558"/>
      <c r="G197" s="558"/>
      <c r="H197" s="558"/>
      <c r="J197" s="433" t="s">
        <v>2438</v>
      </c>
      <c r="K197" s="2533"/>
      <c r="L197" s="2534"/>
      <c r="M197" s="3877" t="s">
        <v>3857</v>
      </c>
      <c r="N197" s="3878"/>
      <c r="O197" s="3878"/>
      <c r="P197" s="3879"/>
      <c r="R197" s="4130"/>
      <c r="S197" s="4131"/>
    </row>
    <row r="198" spans="1:25" s="33" customFormat="1" ht="11.25" customHeight="1">
      <c r="B198" s="433" t="s">
        <v>2437</v>
      </c>
      <c r="C198" s="52" t="s">
        <v>4837</v>
      </c>
      <c r="D198" s="52"/>
      <c r="E198" s="52"/>
      <c r="F198" s="52"/>
      <c r="G198" s="52"/>
      <c r="H198" s="52"/>
      <c r="J198" s="433" t="s">
        <v>2437</v>
      </c>
      <c r="K198" s="2533"/>
      <c r="L198" s="2534"/>
      <c r="M198" s="3877" t="s">
        <v>3857</v>
      </c>
      <c r="N198" s="3878"/>
      <c r="O198" s="3878"/>
      <c r="P198" s="3879"/>
      <c r="R198" s="4130"/>
      <c r="S198" s="4131"/>
    </row>
    <row r="199" spans="1:25" s="33" customFormat="1" ht="11.25" customHeight="1">
      <c r="B199" s="446" t="s">
        <v>2454</v>
      </c>
      <c r="C199" s="52" t="s">
        <v>4836</v>
      </c>
      <c r="D199" s="558"/>
      <c r="E199" s="558"/>
      <c r="F199" s="558"/>
      <c r="G199" s="558"/>
      <c r="J199" s="446" t="s">
        <v>2454</v>
      </c>
      <c r="K199" s="2533"/>
      <c r="L199" s="2534"/>
      <c r="M199" s="3863" t="s">
        <v>3857</v>
      </c>
      <c r="N199" s="3864"/>
      <c r="O199" s="3864"/>
      <c r="P199" s="3865"/>
      <c r="R199" s="4130"/>
      <c r="S199" s="4131"/>
    </row>
    <row r="200" spans="1:25" s="33" customFormat="1" ht="11.25" customHeight="1">
      <c r="B200" s="446" t="s">
        <v>2455</v>
      </c>
      <c r="C200" s="3888" t="s">
        <v>4943</v>
      </c>
      <c r="D200" s="3888"/>
      <c r="E200" s="3888"/>
      <c r="F200" s="3888"/>
      <c r="G200" s="3888"/>
      <c r="H200" s="3888"/>
      <c r="I200" s="2551"/>
      <c r="J200" s="446" t="s">
        <v>2455</v>
      </c>
      <c r="K200" s="2533"/>
      <c r="L200" s="2534"/>
      <c r="R200" s="4130"/>
      <c r="S200" s="4131"/>
    </row>
    <row r="201" spans="1:25" s="43" customFormat="1" ht="11.25" customHeight="1">
      <c r="A201" s="431"/>
      <c r="B201" s="433"/>
      <c r="C201" s="3888"/>
      <c r="D201" s="3888"/>
      <c r="E201" s="3888"/>
      <c r="F201" s="3888"/>
      <c r="G201" s="3888"/>
      <c r="H201" s="3888"/>
      <c r="I201" s="2551"/>
      <c r="J201" s="446" t="s">
        <v>4944</v>
      </c>
      <c r="K201" s="2552"/>
      <c r="L201" s="2553"/>
      <c r="M201" s="558"/>
      <c r="N201" s="558"/>
      <c r="O201" s="558"/>
      <c r="P201" s="558"/>
      <c r="R201" s="4130"/>
      <c r="S201" s="4131"/>
    </row>
    <row r="202" spans="1:25" s="33" customFormat="1" ht="11.25" customHeight="1">
      <c r="B202" s="1188" t="s">
        <v>2456</v>
      </c>
      <c r="C202" s="3894" t="s">
        <v>4840</v>
      </c>
      <c r="D202" s="3894"/>
      <c r="E202" s="3894"/>
      <c r="F202" s="3894"/>
      <c r="G202" s="3894"/>
      <c r="H202" s="3894"/>
      <c r="I202" s="3894"/>
      <c r="J202" s="446" t="s">
        <v>2456</v>
      </c>
      <c r="K202" s="1496"/>
      <c r="L202" s="624"/>
      <c r="R202" s="4130"/>
      <c r="S202" s="4131"/>
    </row>
    <row r="203" spans="1:25" s="43" customFormat="1" ht="11.25" customHeight="1" thickBot="1">
      <c r="A203" s="431"/>
      <c r="B203" s="433"/>
      <c r="C203" s="3894"/>
      <c r="D203" s="3894"/>
      <c r="E203" s="3894"/>
      <c r="F203" s="3894"/>
      <c r="G203" s="3894"/>
      <c r="H203" s="3894"/>
      <c r="I203" s="3894"/>
      <c r="K203" s="1472"/>
      <c r="L203" s="1472"/>
      <c r="R203" s="4132"/>
      <c r="S203" s="4133"/>
    </row>
    <row r="204" spans="1:25" ht="4.5" customHeight="1">
      <c r="B204" s="446"/>
      <c r="C204" s="558"/>
      <c r="K204" s="40"/>
      <c r="M204" s="431"/>
      <c r="N204" s="431"/>
      <c r="O204" s="431"/>
      <c r="P204" s="431"/>
    </row>
    <row r="205" spans="1:25" ht="11.25" customHeight="1">
      <c r="A205" s="142" t="s">
        <v>1982</v>
      </c>
      <c r="B205" s="197" t="s">
        <v>4013</v>
      </c>
      <c r="H205" s="163"/>
      <c r="I205" s="495" t="s">
        <v>4838</v>
      </c>
      <c r="M205" s="494">
        <v>5</v>
      </c>
      <c r="N205" s="47" t="s">
        <v>1982</v>
      </c>
      <c r="O205" s="628">
        <f>IF(SUM(O206:O207)=$M$207,0,MIN($M$205,SUM(O206:O207)))</f>
        <v>0</v>
      </c>
      <c r="P205" s="628">
        <f>IF(SUM(P206:P207)=$M$207,0,MIN($M$205,SUM(P206:P207)))</f>
        <v>0</v>
      </c>
      <c r="Q205" s="1185"/>
      <c r="X205" s="431"/>
      <c r="Y205" s="433"/>
    </row>
    <row r="206" spans="1:25" ht="22.5" customHeight="1">
      <c r="A206" s="581"/>
      <c r="B206" s="674" t="s">
        <v>1985</v>
      </c>
      <c r="C206" s="3922" t="s">
        <v>4931</v>
      </c>
      <c r="D206" s="3922"/>
      <c r="E206" s="3922"/>
      <c r="F206" s="3922"/>
      <c r="G206" s="3922"/>
      <c r="H206" s="3922"/>
      <c r="I206" s="3922"/>
      <c r="J206" s="3922"/>
      <c r="K206" s="3922"/>
      <c r="L206" s="3922"/>
      <c r="M206" s="1393">
        <v>3</v>
      </c>
      <c r="N206" s="543" t="s">
        <v>1985</v>
      </c>
      <c r="O206" s="981"/>
      <c r="P206" s="980"/>
      <c r="Q206" s="2549" t="str">
        <f>IF(OR($O206=$M206,$O206=0,$O206=""),"","*CHECK!*")</f>
        <v/>
      </c>
      <c r="R206" s="1175" t="s">
        <v>2705</v>
      </c>
    </row>
    <row r="207" spans="1:25" ht="12" customHeight="1">
      <c r="A207" s="581"/>
      <c r="B207" s="674" t="s">
        <v>1987</v>
      </c>
      <c r="C207" s="1187" t="s">
        <v>4929</v>
      </c>
      <c r="D207" s="1187"/>
      <c r="E207" s="1187"/>
      <c r="F207" s="1187"/>
      <c r="G207" s="1187"/>
      <c r="H207" s="1187"/>
      <c r="I207" s="1187"/>
      <c r="J207" s="497" t="s">
        <v>3779</v>
      </c>
      <c r="K207" s="33"/>
      <c r="L207" s="2531" t="str">
        <f>'Part I-Project Information'!$N$39</f>
        <v>Yes</v>
      </c>
      <c r="M207" s="2499">
        <v>2</v>
      </c>
      <c r="N207" s="499" t="s">
        <v>1987</v>
      </c>
      <c r="O207" s="599"/>
      <c r="P207" s="613"/>
      <c r="Q207" s="1179" t="str">
        <f>IF(OR($O207=$M207,$O207=0,$O207=""),"","*CHECK!*")</f>
        <v/>
      </c>
      <c r="R207" s="1175" t="s">
        <v>2705</v>
      </c>
    </row>
    <row r="208" spans="1:25" ht="12" customHeight="1">
      <c r="A208" s="581"/>
      <c r="B208" s="674"/>
      <c r="C208" s="3918" t="s">
        <v>4930</v>
      </c>
      <c r="D208" s="3918"/>
      <c r="E208" s="3918"/>
      <c r="F208" s="3918"/>
      <c r="G208" s="3918"/>
      <c r="H208" s="3918"/>
      <c r="I208" s="2500"/>
      <c r="J208" s="497" t="s">
        <v>3575</v>
      </c>
      <c r="K208" s="2535"/>
      <c r="L208" s="2532" t="str">
        <f>'Part I-Project Information'!$O$38</f>
        <v>0055.01</v>
      </c>
      <c r="M208" s="2501"/>
      <c r="N208" s="1393"/>
      <c r="O208" s="1393"/>
      <c r="P208" s="1393"/>
      <c r="Q208" s="1179"/>
      <c r="R208" s="1175"/>
    </row>
    <row r="209" spans="1:23" ht="12" customHeight="1">
      <c r="A209" s="581"/>
      <c r="B209" s="538"/>
      <c r="C209" s="3918"/>
      <c r="D209" s="3918"/>
      <c r="E209" s="3918"/>
      <c r="F209" s="3918"/>
      <c r="G209" s="3918"/>
      <c r="H209" s="3918"/>
      <c r="J209" s="497" t="s">
        <v>3374</v>
      </c>
      <c r="K209" s="33"/>
      <c r="L209" s="2530" t="str">
        <f>'Part IV-A-Uses of Funds'!$H$152</f>
        <v>DDA/QCT</v>
      </c>
      <c r="M209" s="2530"/>
      <c r="N209" s="27"/>
      <c r="O209" s="27"/>
      <c r="P209" s="27"/>
      <c r="R209" s="163"/>
    </row>
    <row r="210" spans="1:23" ht="12" customHeight="1">
      <c r="A210" s="142" t="s">
        <v>1984</v>
      </c>
      <c r="B210" s="197" t="s">
        <v>4841</v>
      </c>
      <c r="D210" s="33"/>
      <c r="F210" s="2474"/>
      <c r="K210" s="1443"/>
      <c r="L210" s="434" t="str">
        <f>IF(OR($O210=$M210,$O210=0,$O210=""),"","* * Check Score! * *")</f>
        <v/>
      </c>
      <c r="M210" s="494">
        <v>2</v>
      </c>
      <c r="N210" s="64" t="s">
        <v>1984</v>
      </c>
      <c r="O210" s="682"/>
      <c r="P210" s="979"/>
      <c r="Q210" s="1179" t="str">
        <f>IF(OR($O210=$M210,$O210=0,$O210=""),"","*CHECK!*")</f>
        <v/>
      </c>
      <c r="R210" s="1175" t="s">
        <v>2705</v>
      </c>
    </row>
    <row r="211" spans="1:23" s="43" customFormat="1" ht="9.75" customHeight="1">
      <c r="A211" s="142"/>
      <c r="B211" s="105"/>
      <c r="C211" s="36" t="s">
        <v>2793</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3780</v>
      </c>
      <c r="C212" s="36" t="s">
        <v>3858</v>
      </c>
      <c r="D212" s="105"/>
      <c r="E212" s="105"/>
      <c r="F212" s="105"/>
      <c r="G212" s="105"/>
      <c r="H212" s="105"/>
      <c r="I212" s="105"/>
      <c r="J212" s="4156"/>
      <c r="K212" s="4157"/>
      <c r="L212" s="4157"/>
      <c r="M212" s="4157"/>
      <c r="N212" s="4157"/>
      <c r="O212" s="4157"/>
      <c r="P212" s="4158"/>
      <c r="V212" s="1285"/>
      <c r="W212" s="1285"/>
    </row>
    <row r="213" spans="1:23" s="43" customFormat="1" ht="11.25" customHeight="1">
      <c r="A213" s="195"/>
      <c r="B213" s="527" t="s">
        <v>3781</v>
      </c>
      <c r="C213" s="497" t="s">
        <v>3859</v>
      </c>
      <c r="D213" s="105"/>
      <c r="E213" s="105"/>
      <c r="F213" s="105"/>
      <c r="G213" s="105"/>
      <c r="H213" s="105"/>
      <c r="I213" s="2408" t="str">
        <f>IF($J$213="Government", "Additional documentation required - see QAP.","")</f>
        <v/>
      </c>
      <c r="J213" s="3634" t="s">
        <v>2828</v>
      </c>
      <c r="K213" s="4118"/>
      <c r="L213" s="4119"/>
      <c r="M213" s="105"/>
      <c r="N213" s="105"/>
      <c r="O213" s="105"/>
      <c r="P213" s="105"/>
      <c r="V213" s="1285"/>
      <c r="W213" s="1285"/>
    </row>
    <row r="214" spans="1:23" ht="11.25" customHeight="1">
      <c r="A214" s="196"/>
      <c r="B214" s="527" t="s">
        <v>3782</v>
      </c>
      <c r="C214" s="497" t="s">
        <v>4846</v>
      </c>
      <c r="D214" s="33"/>
      <c r="E214" s="33"/>
      <c r="F214" s="673"/>
      <c r="G214" s="673"/>
      <c r="H214" s="673"/>
      <c r="I214" s="33"/>
      <c r="J214" s="238"/>
      <c r="K214" s="4159" t="s">
        <v>4843</v>
      </c>
      <c r="L214" s="4160"/>
      <c r="M214" s="4160"/>
      <c r="N214" s="4160"/>
      <c r="O214" s="2469"/>
      <c r="P214" s="94"/>
      <c r="V214" s="1285"/>
      <c r="W214" s="1285"/>
    </row>
    <row r="215" spans="1:23" ht="11.25" customHeight="1">
      <c r="A215" s="196"/>
      <c r="B215" s="446" t="s">
        <v>3784</v>
      </c>
      <c r="C215" s="497" t="s">
        <v>4842</v>
      </c>
      <c r="D215" s="33"/>
      <c r="E215" s="33"/>
      <c r="F215" s="673"/>
      <c r="G215" s="673"/>
      <c r="H215" s="673"/>
      <c r="I215" s="33"/>
      <c r="J215" s="422"/>
      <c r="K215" s="4159"/>
      <c r="L215" s="4160"/>
      <c r="M215" s="4160"/>
      <c r="N215" s="4160"/>
      <c r="O215" s="2473"/>
      <c r="P215" s="2470" t="s">
        <v>3787</v>
      </c>
      <c r="V215" s="1285"/>
      <c r="W215" s="1285"/>
    </row>
    <row r="216" spans="1:23" ht="11.25" customHeight="1">
      <c r="A216" s="196"/>
      <c r="B216" s="446" t="s">
        <v>3785</v>
      </c>
      <c r="C216" s="497" t="s">
        <v>4845</v>
      </c>
      <c r="D216" s="33"/>
      <c r="E216" s="33"/>
      <c r="F216" s="673"/>
      <c r="G216" s="673"/>
      <c r="H216" s="673"/>
      <c r="I216" s="33"/>
      <c r="J216" s="239"/>
      <c r="L216" s="2471" t="s">
        <v>4844</v>
      </c>
      <c r="N216" s="2472"/>
      <c r="O216" s="4161"/>
      <c r="P216" s="4162"/>
      <c r="V216" s="1285"/>
      <c r="W216" s="1285"/>
    </row>
    <row r="217" spans="1:23" ht="2.25" customHeight="1">
      <c r="A217" s="196"/>
      <c r="G217" s="450"/>
      <c r="L217" s="1409"/>
      <c r="V217" s="1285"/>
      <c r="W217" s="1285"/>
    </row>
    <row r="218" spans="1:23" ht="21.75" customHeight="1">
      <c r="A218" s="3874" t="s">
        <v>4171</v>
      </c>
      <c r="B218" s="3872" t="s">
        <v>4168</v>
      </c>
      <c r="C218" s="3873"/>
      <c r="D218" s="3107"/>
      <c r="E218" s="3093"/>
      <c r="F218" s="3093"/>
      <c r="G218" s="3093"/>
      <c r="H218" s="3093"/>
      <c r="I218" s="3093"/>
      <c r="J218" s="3093"/>
      <c r="K218" s="3093"/>
      <c r="L218" s="3093"/>
      <c r="M218" s="3093"/>
      <c r="N218" s="3093"/>
      <c r="O218" s="3093"/>
      <c r="P218" s="3094"/>
      <c r="Q218" s="509"/>
      <c r="V218" s="1285"/>
      <c r="W218" s="1285"/>
    </row>
    <row r="219" spans="1:23" ht="22.5" customHeight="1">
      <c r="A219" s="3875"/>
      <c r="B219" s="3867" t="s">
        <v>4169</v>
      </c>
      <c r="C219" s="3868"/>
      <c r="D219" s="3112"/>
      <c r="E219" s="3063"/>
      <c r="F219" s="3063"/>
      <c r="G219" s="3063"/>
      <c r="H219" s="3063"/>
      <c r="I219" s="3063"/>
      <c r="J219" s="3063"/>
      <c r="K219" s="3063"/>
      <c r="L219" s="3063"/>
      <c r="M219" s="3063"/>
      <c r="N219" s="3063"/>
      <c r="O219" s="3063"/>
      <c r="P219" s="3064"/>
      <c r="Q219" s="509"/>
      <c r="V219" s="1285"/>
      <c r="W219" s="1285"/>
    </row>
    <row r="220" spans="1:23" ht="22.5" customHeight="1">
      <c r="A220" s="3876"/>
      <c r="B220" s="3884" t="s">
        <v>4925</v>
      </c>
      <c r="C220" s="3885"/>
      <c r="D220" s="3150"/>
      <c r="E220" s="3116"/>
      <c r="F220" s="3116"/>
      <c r="G220" s="3116"/>
      <c r="H220" s="3116"/>
      <c r="I220" s="3116"/>
      <c r="J220" s="3116"/>
      <c r="K220" s="3116"/>
      <c r="L220" s="3116"/>
      <c r="M220" s="3116"/>
      <c r="N220" s="3116"/>
      <c r="O220" s="3116"/>
      <c r="P220" s="3117"/>
      <c r="Q220" s="509"/>
      <c r="V220" s="1285"/>
      <c r="W220" s="1285"/>
    </row>
    <row r="221" spans="1:23" ht="11.25" customHeight="1">
      <c r="B221" s="36" t="s">
        <v>3453</v>
      </c>
      <c r="G221" s="3913" t="s">
        <v>2628</v>
      </c>
      <c r="H221" s="3913"/>
      <c r="J221" s="3911"/>
      <c r="K221" s="3912"/>
      <c r="L221" s="3882"/>
      <c r="M221" s="3883"/>
      <c r="V221" s="1285"/>
      <c r="W221" s="1285"/>
    </row>
    <row r="222" spans="1:23" s="43" customFormat="1" ht="11.25" customHeight="1">
      <c r="C222" s="36" t="s">
        <v>3454</v>
      </c>
      <c r="D222" s="1506"/>
      <c r="G222" s="3886">
        <f>'Part IV-A-Uses of Funds'!$G$132</f>
        <v>32698126.5</v>
      </c>
      <c r="H222" s="3887"/>
      <c r="J222" s="3880">
        <f>IF($J221=0,0,$J221/$G$222)</f>
        <v>0</v>
      </c>
      <c r="K222" s="3881"/>
      <c r="L222" s="3880">
        <f>IF($L221=0,0,$L221/$G$222)</f>
        <v>0</v>
      </c>
      <c r="M222" s="3881"/>
      <c r="V222" s="1285"/>
      <c r="W222" s="1285"/>
    </row>
    <row r="223" spans="1:23" s="105" customFormat="1" ht="10.5" customHeight="1" thickBot="1">
      <c r="A223" s="42"/>
      <c r="B223" s="1488" t="s">
        <v>3754</v>
      </c>
      <c r="C223" s="42"/>
      <c r="D223" s="48"/>
      <c r="E223" s="48"/>
      <c r="F223" s="48"/>
      <c r="G223" s="48"/>
      <c r="H223" s="36"/>
      <c r="I223" s="36"/>
      <c r="J223" s="36"/>
      <c r="K223" s="36"/>
      <c r="M223" s="46"/>
      <c r="N223" s="6"/>
      <c r="O223" s="3"/>
      <c r="P223" s="1503"/>
    </row>
    <row r="224" spans="1:23" s="43" customFormat="1" ht="21.75" customHeight="1" thickTop="1" thickBot="1">
      <c r="A224" s="3869"/>
      <c r="B224" s="3870"/>
      <c r="C224" s="3870"/>
      <c r="D224" s="3870"/>
      <c r="E224" s="3870"/>
      <c r="F224" s="3870"/>
      <c r="G224" s="3870"/>
      <c r="H224" s="3870"/>
      <c r="I224" s="3870"/>
      <c r="J224" s="3870"/>
      <c r="K224" s="3870"/>
      <c r="L224" s="3870"/>
      <c r="M224" s="3870"/>
      <c r="N224" s="3870"/>
      <c r="O224" s="3870"/>
      <c r="P224" s="3871"/>
      <c r="Q224" s="1291" t="s">
        <v>1254</v>
      </c>
    </row>
    <row r="225" spans="1:23" s="105" customFormat="1" ht="11.45" customHeight="1" thickTop="1">
      <c r="A225" s="42"/>
      <c r="B225" s="100" t="s">
        <v>1865</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2"/>
      <c r="B226" s="3603"/>
      <c r="C226" s="3603"/>
      <c r="D226" s="3603"/>
      <c r="E226" s="3603"/>
      <c r="F226" s="3603"/>
      <c r="G226" s="3603"/>
      <c r="H226" s="3603"/>
      <c r="I226" s="3603"/>
      <c r="J226" s="3603"/>
      <c r="K226" s="3603"/>
      <c r="L226" s="3603"/>
      <c r="M226" s="3603"/>
      <c r="N226" s="3603"/>
      <c r="O226" s="3603"/>
      <c r="P226" s="3604"/>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4017</v>
      </c>
      <c r="C228" s="1506"/>
      <c r="D228" s="1506"/>
      <c r="E228" s="1506"/>
      <c r="F228" s="1506"/>
      <c r="G228" s="1506"/>
      <c r="H228" s="1506"/>
      <c r="I228" s="1506"/>
      <c r="J228" s="1506"/>
      <c r="M228" s="1011">
        <v>3</v>
      </c>
      <c r="N228" s="75"/>
      <c r="O228" s="71"/>
      <c r="P228" s="1367"/>
      <c r="Q228" s="112" t="s">
        <v>441</v>
      </c>
      <c r="R228" s="1175" t="s">
        <v>2705</v>
      </c>
    </row>
    <row r="229" spans="1:23" s="43" customFormat="1" ht="13.5" customHeight="1">
      <c r="A229" s="157"/>
      <c r="B229" s="106" t="s">
        <v>4610</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4019</v>
      </c>
      <c r="C230" s="2271"/>
      <c r="D230" s="2271"/>
      <c r="E230" s="2271"/>
      <c r="F230" s="2271"/>
      <c r="G230" s="2271"/>
      <c r="H230" s="2271"/>
      <c r="I230" s="2271"/>
      <c r="J230" s="2271"/>
      <c r="K230" s="1507" t="s">
        <v>3245</v>
      </c>
      <c r="L230" s="1507" t="s">
        <v>256</v>
      </c>
      <c r="M230" s="1011"/>
      <c r="N230" s="75"/>
      <c r="O230" s="71"/>
      <c r="P230" s="71"/>
      <c r="Q230" s="112"/>
      <c r="R230" s="1175"/>
    </row>
    <row r="231" spans="1:23" s="43" customFormat="1" ht="11.25" customHeight="1">
      <c r="A231" s="142"/>
      <c r="C231" s="55" t="s">
        <v>4853</v>
      </c>
      <c r="K231" s="1452">
        <f>$O$189</f>
        <v>0</v>
      </c>
      <c r="L231" s="1453">
        <f>$P$189</f>
        <v>0</v>
      </c>
      <c r="N231" s="527" t="s">
        <v>2434</v>
      </c>
      <c r="O231" s="238"/>
      <c r="P231" s="617"/>
      <c r="R231" s="434"/>
    </row>
    <row r="232" spans="1:23" s="43" customFormat="1" ht="11.25" customHeight="1">
      <c r="A232" s="142"/>
      <c r="C232" s="55" t="s">
        <v>4854</v>
      </c>
      <c r="K232" s="1452">
        <f>$O$107</f>
        <v>0</v>
      </c>
      <c r="L232" s="1453">
        <f>$P$107</f>
        <v>0</v>
      </c>
      <c r="N232" s="527" t="s">
        <v>2435</v>
      </c>
      <c r="O232" s="422"/>
      <c r="P232" s="618"/>
      <c r="R232" s="1285"/>
      <c r="S232" s="1285"/>
    </row>
    <row r="233" spans="1:23" s="43" customFormat="1" ht="11.25" customHeight="1">
      <c r="C233" s="55" t="s">
        <v>4855</v>
      </c>
      <c r="N233" s="527" t="s">
        <v>2436</v>
      </c>
      <c r="O233" s="239"/>
      <c r="P233" s="618"/>
      <c r="R233" s="1285"/>
      <c r="S233" s="1285"/>
    </row>
    <row r="234" spans="1:23" s="43" customFormat="1" ht="11.25" customHeight="1">
      <c r="A234" s="142"/>
      <c r="C234" s="55" t="s">
        <v>4023</v>
      </c>
      <c r="K234" s="2458" t="str">
        <f>'Part I-Project Information'!F38</f>
        <v>Atlanta</v>
      </c>
      <c r="L234" s="2461"/>
      <c r="N234" s="527" t="s">
        <v>2437</v>
      </c>
      <c r="O234" s="527"/>
      <c r="P234" s="618"/>
      <c r="R234" s="1285"/>
      <c r="S234" s="1285"/>
    </row>
    <row r="235" spans="1:23" s="43" customFormat="1" ht="11.25" customHeight="1">
      <c r="A235" s="142"/>
      <c r="C235" s="55" t="s">
        <v>4947</v>
      </c>
      <c r="K235" s="1452">
        <f>$O$153</f>
        <v>0</v>
      </c>
      <c r="L235" s="1453">
        <f>$P$153</f>
        <v>0</v>
      </c>
      <c r="N235" s="527" t="s">
        <v>2438</v>
      </c>
      <c r="O235" s="238"/>
      <c r="P235" s="618"/>
      <c r="R235" s="1285"/>
      <c r="S235" s="1285"/>
    </row>
    <row r="236" spans="1:23" s="43" customFormat="1" ht="11.25" customHeight="1">
      <c r="A236" s="142"/>
      <c r="C236" s="55" t="s">
        <v>4946</v>
      </c>
      <c r="K236" s="1452">
        <f>$O$277</f>
        <v>0</v>
      </c>
      <c r="L236" s="1453">
        <f>$P$277</f>
        <v>0</v>
      </c>
      <c r="N236" s="527" t="s">
        <v>2437</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1982</v>
      </c>
      <c r="B238" s="197" t="s">
        <v>4026</v>
      </c>
      <c r="D238" s="33"/>
      <c r="G238" s="538" t="s">
        <v>3783</v>
      </c>
      <c r="N238" s="27"/>
      <c r="O238" s="27"/>
      <c r="P238" s="27"/>
      <c r="Q238" s="1185"/>
    </row>
    <row r="239" spans="1:23" s="33" customFormat="1" ht="11.25" customHeight="1">
      <c r="A239" s="581"/>
      <c r="B239" s="138" t="s">
        <v>3863</v>
      </c>
      <c r="D239" s="3847"/>
      <c r="E239" s="3848"/>
      <c r="F239" s="3848"/>
      <c r="G239" s="3468"/>
      <c r="H239" s="3849"/>
      <c r="I239" s="1510" t="s">
        <v>2703</v>
      </c>
      <c r="J239" s="3847"/>
      <c r="K239" s="3848"/>
      <c r="L239" s="3848"/>
      <c r="M239" s="3848"/>
      <c r="N239" s="3849"/>
      <c r="O239" s="660"/>
      <c r="P239" s="660"/>
      <c r="Q239" s="1185"/>
      <c r="R239" s="3855" t="s">
        <v>5023</v>
      </c>
      <c r="S239" s="3856"/>
    </row>
    <row r="240" spans="1:23" s="33" customFormat="1" ht="11.25" customHeight="1">
      <c r="A240" s="581"/>
      <c r="B240" s="138" t="s">
        <v>2193</v>
      </c>
      <c r="D240" s="3889"/>
      <c r="E240" s="3890"/>
      <c r="F240" s="3891"/>
      <c r="G240" s="138" t="s">
        <v>1721</v>
      </c>
      <c r="H240" s="1270"/>
      <c r="I240" s="497" t="s">
        <v>1800</v>
      </c>
      <c r="J240" s="3889"/>
      <c r="K240" s="3890"/>
      <c r="L240" s="3890"/>
      <c r="M240" s="3890"/>
      <c r="N240" s="3891"/>
      <c r="Q240" s="1185"/>
      <c r="R240" s="3857"/>
      <c r="S240" s="3858"/>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3857"/>
      <c r="S241" s="3858"/>
    </row>
    <row r="242" spans="1:23" ht="10.5" customHeight="1">
      <c r="A242" s="581"/>
      <c r="B242" s="674" t="s">
        <v>1985</v>
      </c>
      <c r="C242" s="1187" t="s">
        <v>4025</v>
      </c>
      <c r="D242" s="1182"/>
      <c r="E242" s="1182"/>
      <c r="F242" s="1182"/>
      <c r="G242" s="1182"/>
      <c r="H242" s="1182"/>
      <c r="I242" s="1182"/>
      <c r="J242" s="1182"/>
      <c r="K242" s="1182"/>
      <c r="L242" s="1182"/>
      <c r="M242" s="1182"/>
      <c r="N242" s="1182"/>
      <c r="O242" s="589" t="s">
        <v>2509</v>
      </c>
      <c r="P242" s="589" t="s">
        <v>2509</v>
      </c>
      <c r="Q242" s="1182"/>
      <c r="R242" s="3857"/>
      <c r="S242" s="3858"/>
    </row>
    <row r="243" spans="1:23" s="33" customFormat="1" ht="21.75" customHeight="1">
      <c r="A243" s="1512"/>
      <c r="B243" s="718"/>
      <c r="C243" s="3918" t="s">
        <v>4036</v>
      </c>
      <c r="D243" s="3918"/>
      <c r="E243" s="3918"/>
      <c r="F243" s="3918"/>
      <c r="G243" s="3918"/>
      <c r="H243" s="3918"/>
      <c r="I243" s="3918"/>
      <c r="J243" s="3918"/>
      <c r="K243" s="3918"/>
      <c r="L243" s="3918"/>
      <c r="M243" s="3918"/>
      <c r="N243" s="449" t="s">
        <v>1985</v>
      </c>
      <c r="O243" s="1424"/>
      <c r="P243" s="1425"/>
      <c r="Q243" s="1182"/>
      <c r="R243" s="3857"/>
      <c r="S243" s="3858"/>
      <c r="V243" s="1285"/>
      <c r="W243" s="1285"/>
    </row>
    <row r="244" spans="1:23" s="33" customFormat="1" ht="11.25" customHeight="1">
      <c r="A244" s="581"/>
      <c r="B244" s="527" t="s">
        <v>2434</v>
      </c>
      <c r="C244" s="138" t="s">
        <v>4027</v>
      </c>
      <c r="D244" s="3914"/>
      <c r="E244" s="3915"/>
      <c r="F244" s="3915"/>
      <c r="G244" s="3848"/>
      <c r="H244" s="3916"/>
      <c r="I244" s="1510" t="s">
        <v>2703</v>
      </c>
      <c r="J244" s="3914"/>
      <c r="K244" s="3915"/>
      <c r="L244" s="3915"/>
      <c r="M244" s="3915"/>
      <c r="N244" s="3916"/>
      <c r="O244" s="3892" t="s">
        <v>4029</v>
      </c>
      <c r="P244" s="3893"/>
      <c r="Q244" s="1182"/>
      <c r="R244" s="3857"/>
      <c r="S244" s="3858"/>
      <c r="V244" s="1285"/>
      <c r="W244" s="1285"/>
    </row>
    <row r="245" spans="1:23" s="33" customFormat="1" ht="11.25" customHeight="1">
      <c r="A245" s="581"/>
      <c r="C245" s="1304" t="s">
        <v>2193</v>
      </c>
      <c r="D245" s="3889"/>
      <c r="E245" s="3890"/>
      <c r="F245" s="3891"/>
      <c r="G245" s="1413" t="s">
        <v>1721</v>
      </c>
      <c r="H245" s="1270"/>
      <c r="I245" s="1303" t="s">
        <v>1800</v>
      </c>
      <c r="J245" s="3889"/>
      <c r="K245" s="3890"/>
      <c r="L245" s="3890"/>
      <c r="M245" s="3890"/>
      <c r="N245" s="3891"/>
      <c r="O245" s="239"/>
      <c r="P245" s="619"/>
      <c r="Q245" s="1182"/>
      <c r="R245" s="3857"/>
      <c r="S245" s="3858"/>
      <c r="V245" s="1285"/>
      <c r="W245" s="1285"/>
    </row>
    <row r="246" spans="1:23" s="33" customFormat="1" ht="11.25" customHeight="1">
      <c r="A246" s="581"/>
      <c r="B246" s="527" t="s">
        <v>2435</v>
      </c>
      <c r="C246" s="138" t="s">
        <v>4028</v>
      </c>
      <c r="D246" s="3914"/>
      <c r="E246" s="3915"/>
      <c r="F246" s="3915"/>
      <c r="G246" s="3848"/>
      <c r="H246" s="3916"/>
      <c r="I246" s="1510" t="s">
        <v>2703</v>
      </c>
      <c r="J246" s="3914"/>
      <c r="K246" s="3915"/>
      <c r="L246" s="3915"/>
      <c r="M246" s="3915"/>
      <c r="N246" s="3916"/>
      <c r="O246" s="3892" t="s">
        <v>4029</v>
      </c>
      <c r="P246" s="3893"/>
      <c r="Q246" s="1182"/>
      <c r="R246" s="3857"/>
      <c r="S246" s="3858"/>
      <c r="V246" s="1285"/>
      <c r="W246" s="1285"/>
    </row>
    <row r="247" spans="1:23" s="33" customFormat="1" ht="11.25" customHeight="1">
      <c r="A247" s="581"/>
      <c r="C247" s="1304" t="s">
        <v>2193</v>
      </c>
      <c r="D247" s="3889"/>
      <c r="E247" s="3890"/>
      <c r="F247" s="3891"/>
      <c r="G247" s="1413" t="s">
        <v>1721</v>
      </c>
      <c r="H247" s="1270"/>
      <c r="I247" s="1303" t="s">
        <v>1800</v>
      </c>
      <c r="J247" s="3889"/>
      <c r="K247" s="3890"/>
      <c r="L247" s="3890"/>
      <c r="M247" s="3890"/>
      <c r="N247" s="3891"/>
      <c r="O247" s="239"/>
      <c r="P247" s="619"/>
      <c r="Q247" s="1182"/>
      <c r="R247" s="3857"/>
      <c r="S247" s="3858"/>
      <c r="V247" s="1285"/>
      <c r="W247" s="1285"/>
    </row>
    <row r="248" spans="1:23" ht="11.25" customHeight="1">
      <c r="A248" s="581"/>
      <c r="B248" s="674" t="s">
        <v>1987</v>
      </c>
      <c r="C248" s="1187" t="s">
        <v>4030</v>
      </c>
      <c r="D248" s="1182"/>
      <c r="E248" s="1182"/>
      <c r="F248" s="1182"/>
      <c r="G248" s="538" t="s">
        <v>3783</v>
      </c>
      <c r="H248" s="1182"/>
      <c r="I248" s="1182"/>
      <c r="J248" s="1182"/>
      <c r="K248" s="1182"/>
      <c r="L248" s="1182"/>
      <c r="M248" s="1182"/>
      <c r="N248" s="1182"/>
      <c r="O248" s="589" t="s">
        <v>2509</v>
      </c>
      <c r="P248" s="589" t="s">
        <v>2509</v>
      </c>
      <c r="Q248" s="1182"/>
      <c r="R248" s="3857"/>
      <c r="S248" s="3858"/>
    </row>
    <row r="249" spans="1:23" ht="33.75" customHeight="1">
      <c r="A249" s="581"/>
      <c r="B249" s="1189"/>
      <c r="C249" s="3894" t="s">
        <v>4135</v>
      </c>
      <c r="D249" s="3894"/>
      <c r="E249" s="3894"/>
      <c r="F249" s="3894"/>
      <c r="G249" s="3894"/>
      <c r="H249" s="3894"/>
      <c r="I249" s="3894"/>
      <c r="J249" s="3894"/>
      <c r="K249" s="3894"/>
      <c r="L249" s="3894"/>
      <c r="M249" s="3894"/>
      <c r="N249" s="449" t="s">
        <v>1987</v>
      </c>
      <c r="O249" s="1424"/>
      <c r="P249" s="1425"/>
      <c r="Q249" s="1186"/>
      <c r="R249" s="3857"/>
      <c r="S249" s="3858"/>
      <c r="V249" s="1285"/>
      <c r="W249" s="1285"/>
    </row>
    <row r="250" spans="1:23" ht="11.25" customHeight="1">
      <c r="A250" s="581"/>
      <c r="B250" s="527" t="s">
        <v>2434</v>
      </c>
      <c r="C250" s="1191" t="s">
        <v>4136</v>
      </c>
      <c r="D250" s="1511"/>
      <c r="E250" s="1511"/>
      <c r="F250" s="1511"/>
      <c r="G250" s="1511"/>
      <c r="H250" s="1511"/>
      <c r="I250" s="1511"/>
      <c r="J250" s="1511"/>
      <c r="K250" s="1511"/>
      <c r="L250" s="1511"/>
      <c r="M250" s="1511"/>
      <c r="N250" s="1511"/>
      <c r="O250" s="1511"/>
      <c r="P250" s="1511"/>
      <c r="Q250" s="1186"/>
      <c r="R250" s="3857"/>
      <c r="S250" s="3858"/>
      <c r="V250" s="1285"/>
      <c r="W250" s="1285"/>
    </row>
    <row r="251" spans="1:23" ht="11.25" customHeight="1">
      <c r="A251" s="581"/>
      <c r="B251" s="33"/>
      <c r="C251" s="4083" t="s">
        <v>4611</v>
      </c>
      <c r="D251" s="4084"/>
      <c r="E251" s="4084"/>
      <c r="F251" s="4084"/>
      <c r="G251" s="4084"/>
      <c r="H251" s="4084"/>
      <c r="I251" s="4084"/>
      <c r="J251" s="4084"/>
      <c r="K251" s="4084"/>
      <c r="L251" s="4084"/>
      <c r="M251" s="4084"/>
      <c r="N251" s="4084"/>
      <c r="O251" s="4084"/>
      <c r="P251" s="4085"/>
      <c r="Q251" s="1291"/>
      <c r="R251" s="3857"/>
      <c r="S251" s="3858"/>
      <c r="V251" s="1285"/>
      <c r="W251" s="1285"/>
    </row>
    <row r="252" spans="1:23" ht="11.25" customHeight="1">
      <c r="A252" s="581"/>
      <c r="B252" s="1189"/>
      <c r="C252" s="3950" t="s">
        <v>226</v>
      </c>
      <c r="D252" s="3951"/>
      <c r="E252" s="3951"/>
      <c r="F252" s="3951"/>
      <c r="G252" s="3951"/>
      <c r="H252" s="3951"/>
      <c r="I252" s="3951"/>
      <c r="J252" s="3951"/>
      <c r="K252" s="3951"/>
      <c r="L252" s="3951"/>
      <c r="M252" s="3951"/>
      <c r="N252" s="3951"/>
      <c r="O252" s="3951"/>
      <c r="P252" s="3952"/>
      <c r="Q252" s="1186"/>
      <c r="R252" s="3857"/>
      <c r="S252" s="3858"/>
      <c r="V252" s="1285"/>
      <c r="W252" s="1285"/>
    </row>
    <row r="253" spans="1:23" ht="11.25" customHeight="1">
      <c r="A253" s="581"/>
      <c r="B253" s="1189"/>
      <c r="C253" s="3993" t="s">
        <v>1404</v>
      </c>
      <c r="D253" s="3994"/>
      <c r="E253" s="3994"/>
      <c r="F253" s="3994"/>
      <c r="G253" s="3994"/>
      <c r="H253" s="3994"/>
      <c r="I253" s="3994"/>
      <c r="J253" s="3994"/>
      <c r="K253" s="3994"/>
      <c r="L253" s="3994"/>
      <c r="M253" s="3994"/>
      <c r="N253" s="3994"/>
      <c r="O253" s="3994"/>
      <c r="P253" s="3995"/>
      <c r="Q253" s="1186"/>
      <c r="R253" s="3857"/>
      <c r="S253" s="3858"/>
      <c r="V253" s="1285"/>
      <c r="W253" s="1285"/>
    </row>
    <row r="254" spans="1:23" ht="11.25" customHeight="1">
      <c r="A254" s="581"/>
      <c r="B254" s="527" t="s">
        <v>2435</v>
      </c>
      <c r="C254" s="1191" t="s">
        <v>4134</v>
      </c>
      <c r="D254" s="1511"/>
      <c r="E254" s="1511"/>
      <c r="F254" s="1511"/>
      <c r="G254" s="1511"/>
      <c r="H254" s="1511"/>
      <c r="I254" s="1511"/>
      <c r="J254" s="1511"/>
      <c r="K254" s="1511"/>
      <c r="L254" s="4088" t="s">
        <v>4138</v>
      </c>
      <c r="M254" s="4088"/>
      <c r="N254" s="4089" t="s">
        <v>4139</v>
      </c>
      <c r="O254" s="4089"/>
      <c r="P254" s="4089"/>
      <c r="Q254" s="1186"/>
      <c r="R254" s="3857"/>
      <c r="S254" s="3858"/>
      <c r="V254" s="1285"/>
      <c r="W254" s="1285"/>
    </row>
    <row r="255" spans="1:23" ht="11.25" customHeight="1">
      <c r="A255" s="581"/>
      <c r="B255" s="1189"/>
      <c r="C255" s="3936" t="s">
        <v>4611</v>
      </c>
      <c r="D255" s="3937"/>
      <c r="E255" s="3937"/>
      <c r="F255" s="3937"/>
      <c r="G255" s="3937"/>
      <c r="H255" s="3937"/>
      <c r="I255" s="3937"/>
      <c r="J255" s="3937"/>
      <c r="K255" s="3938"/>
      <c r="L255" s="3936"/>
      <c r="M255" s="3938"/>
      <c r="N255" s="3936"/>
      <c r="O255" s="3937"/>
      <c r="P255" s="3938"/>
      <c r="Q255" s="1291"/>
      <c r="R255" s="3857"/>
      <c r="S255" s="3858"/>
      <c r="V255" s="1285"/>
      <c r="W255" s="1285"/>
    </row>
    <row r="256" spans="1:23" ht="11.25" customHeight="1">
      <c r="A256" s="581"/>
      <c r="B256" s="1189"/>
      <c r="C256" s="3919" t="s">
        <v>226</v>
      </c>
      <c r="D256" s="3920"/>
      <c r="E256" s="3920"/>
      <c r="F256" s="3920"/>
      <c r="G256" s="3920"/>
      <c r="H256" s="3920"/>
      <c r="I256" s="3920"/>
      <c r="J256" s="3920"/>
      <c r="K256" s="3921"/>
      <c r="L256" s="3919"/>
      <c r="M256" s="3921"/>
      <c r="N256" s="3919"/>
      <c r="O256" s="3920"/>
      <c r="P256" s="3921"/>
      <c r="Q256" s="1186"/>
      <c r="R256" s="3857"/>
      <c r="S256" s="3858"/>
      <c r="V256" s="1285"/>
      <c r="W256" s="1285"/>
    </row>
    <row r="257" spans="1:23" ht="11.25" customHeight="1">
      <c r="A257" s="581"/>
      <c r="B257" s="1189"/>
      <c r="C257" s="3984" t="s">
        <v>1404</v>
      </c>
      <c r="D257" s="3985"/>
      <c r="E257" s="3985"/>
      <c r="F257" s="3985"/>
      <c r="G257" s="3985"/>
      <c r="H257" s="3985"/>
      <c r="I257" s="3985"/>
      <c r="J257" s="3985"/>
      <c r="K257" s="3986"/>
      <c r="L257" s="3984"/>
      <c r="M257" s="3986"/>
      <c r="N257" s="3984"/>
      <c r="O257" s="3985"/>
      <c r="P257" s="3986"/>
      <c r="Q257" s="1186"/>
      <c r="R257" s="3857"/>
      <c r="S257" s="3858"/>
      <c r="V257" s="1285"/>
      <c r="W257" s="1285"/>
    </row>
    <row r="258" spans="1:23" ht="11.25" customHeight="1">
      <c r="A258" s="581"/>
      <c r="B258" s="674" t="s">
        <v>2533</v>
      </c>
      <c r="C258" s="1187" t="s">
        <v>4031</v>
      </c>
      <c r="D258" s="1182"/>
      <c r="E258" s="1182"/>
      <c r="F258" s="1182"/>
      <c r="G258" s="1182"/>
      <c r="H258" s="1182"/>
      <c r="I258" s="1182"/>
      <c r="J258" s="1182"/>
      <c r="K258" s="1182"/>
      <c r="L258" s="1182"/>
      <c r="M258" s="1182"/>
      <c r="N258" s="1182"/>
      <c r="O258" s="589"/>
      <c r="P258" s="589"/>
      <c r="Q258" s="1182"/>
      <c r="R258" s="3859"/>
      <c r="S258" s="3860"/>
    </row>
    <row r="259" spans="1:23" s="33" customFormat="1" ht="11.25" customHeight="1">
      <c r="A259" s="581"/>
      <c r="B259" s="1190"/>
      <c r="C259" s="3918" t="s">
        <v>4035</v>
      </c>
      <c r="D259" s="3918"/>
      <c r="E259" s="3918"/>
      <c r="F259" s="3918"/>
      <c r="G259" s="3918"/>
      <c r="H259" s="3918"/>
      <c r="I259" s="3918"/>
      <c r="J259" s="3918"/>
      <c r="K259" s="3918"/>
      <c r="L259" s="3918"/>
      <c r="M259" s="3918"/>
      <c r="N259" s="449" t="s">
        <v>2533</v>
      </c>
      <c r="O259" s="542"/>
      <c r="P259" s="616"/>
      <c r="Q259" s="1186"/>
      <c r="V259" s="1285"/>
      <c r="W259" s="1285"/>
    </row>
    <row r="260" spans="1:23" ht="11.25" customHeight="1">
      <c r="A260" s="142"/>
      <c r="B260" s="1012" t="s">
        <v>1224</v>
      </c>
      <c r="C260" s="671" t="s">
        <v>3786</v>
      </c>
      <c r="D260" s="33"/>
      <c r="N260" s="27"/>
      <c r="O260" s="27"/>
      <c r="P260" s="27"/>
      <c r="Q260" s="118"/>
    </row>
    <row r="261" spans="1:23" s="33" customFormat="1" ht="21.75" customHeight="1">
      <c r="A261" s="581"/>
      <c r="B261" s="1190"/>
      <c r="C261" s="3922" t="s">
        <v>4037</v>
      </c>
      <c r="D261" s="3922"/>
      <c r="E261" s="3922"/>
      <c r="F261" s="3922"/>
      <c r="G261" s="3922"/>
      <c r="H261" s="3922"/>
      <c r="I261" s="3922"/>
      <c r="J261" s="3922"/>
      <c r="K261" s="3922"/>
      <c r="L261" s="3922"/>
      <c r="M261" s="3922"/>
      <c r="N261" s="449" t="s">
        <v>1224</v>
      </c>
      <c r="O261" s="1424"/>
      <c r="P261" s="1425"/>
      <c r="Q261" s="1186"/>
      <c r="V261" s="1285"/>
      <c r="W261" s="1285"/>
    </row>
    <row r="262" spans="1:23" s="33" customFormat="1" ht="10.5" customHeight="1">
      <c r="A262" s="581"/>
      <c r="B262" s="1190"/>
      <c r="C262" s="2541"/>
      <c r="D262" s="2541"/>
      <c r="E262" s="2541"/>
      <c r="F262" s="2541"/>
      <c r="G262" s="718" t="s">
        <v>4948</v>
      </c>
      <c r="H262" s="2541"/>
      <c r="J262" s="4070"/>
      <c r="K262" s="4071"/>
      <c r="L262" s="2541"/>
      <c r="M262" s="2541"/>
      <c r="N262" s="2541"/>
      <c r="O262" s="2541"/>
      <c r="P262" s="2541"/>
      <c r="Q262" s="1186"/>
      <c r="V262" s="1285"/>
      <c r="W262" s="1285"/>
    </row>
    <row r="263" spans="1:23" s="33" customFormat="1" ht="11.25" customHeight="1">
      <c r="A263" s="581"/>
      <c r="B263" s="446" t="s">
        <v>2434</v>
      </c>
      <c r="C263" s="3918" t="s">
        <v>4038</v>
      </c>
      <c r="D263" s="3918"/>
      <c r="E263" s="3918"/>
      <c r="F263" s="3918"/>
      <c r="G263" s="3918"/>
      <c r="H263" s="3918"/>
      <c r="I263" s="3918"/>
      <c r="J263" s="3918"/>
      <c r="K263" s="3918"/>
      <c r="L263" s="3918"/>
      <c r="M263" s="3918"/>
      <c r="N263" s="446" t="s">
        <v>2434</v>
      </c>
      <c r="O263" s="238"/>
      <c r="P263" s="617"/>
      <c r="Q263" s="1186"/>
      <c r="V263" s="1285"/>
      <c r="W263" s="1285"/>
    </row>
    <row r="264" spans="1:23" s="33" customFormat="1" ht="11.25" customHeight="1">
      <c r="A264" s="581"/>
      <c r="B264" s="446" t="s">
        <v>2435</v>
      </c>
      <c r="C264" s="3918" t="s">
        <v>4847</v>
      </c>
      <c r="D264" s="3918"/>
      <c r="E264" s="3918"/>
      <c r="F264" s="3918"/>
      <c r="G264" s="3918"/>
      <c r="H264" s="3918"/>
      <c r="I264" s="3918"/>
      <c r="J264" s="3918"/>
      <c r="K264" s="3918"/>
      <c r="L264" s="3918"/>
      <c r="M264" s="3918"/>
      <c r="N264" s="446" t="s">
        <v>2435</v>
      </c>
      <c r="O264" s="239"/>
      <c r="P264" s="619"/>
      <c r="Q264" s="1186"/>
      <c r="V264" s="1285"/>
      <c r="W264" s="1285"/>
    </row>
    <row r="265" spans="1:23" ht="11.25" customHeight="1">
      <c r="A265" s="142"/>
      <c r="B265" s="1012" t="s">
        <v>1225</v>
      </c>
      <c r="C265" s="671" t="s">
        <v>4848</v>
      </c>
      <c r="D265" s="33"/>
      <c r="N265" s="449" t="s">
        <v>1225</v>
      </c>
      <c r="O265" s="27"/>
      <c r="P265" s="27"/>
      <c r="Q265" s="118"/>
    </row>
    <row r="266" spans="1:23" s="33" customFormat="1" ht="11.25" customHeight="1">
      <c r="A266" s="581"/>
      <c r="B266" s="446" t="s">
        <v>2434</v>
      </c>
      <c r="C266" s="3918" t="s">
        <v>4849</v>
      </c>
      <c r="D266" s="3918"/>
      <c r="E266" s="3918"/>
      <c r="F266" s="3918"/>
      <c r="G266" s="3918"/>
      <c r="H266" s="3918"/>
      <c r="I266" s="3918"/>
      <c r="J266" s="3918"/>
      <c r="K266" s="3918"/>
      <c r="L266" s="3918"/>
      <c r="M266" s="3918"/>
      <c r="N266" s="446" t="s">
        <v>2434</v>
      </c>
      <c r="O266" s="238"/>
      <c r="P266" s="617"/>
      <c r="Q266" s="1186"/>
      <c r="V266" s="1285"/>
      <c r="W266" s="1285"/>
    </row>
    <row r="267" spans="1:23" s="33" customFormat="1" ht="11.25" customHeight="1">
      <c r="A267" s="581"/>
      <c r="B267" s="446" t="s">
        <v>2435</v>
      </c>
      <c r="C267" s="3918" t="s">
        <v>4850</v>
      </c>
      <c r="D267" s="3918"/>
      <c r="E267" s="3918"/>
      <c r="F267" s="3918"/>
      <c r="G267" s="3918"/>
      <c r="H267" s="3918"/>
      <c r="I267" s="3918"/>
      <c r="J267" s="3918"/>
      <c r="K267" s="3918"/>
      <c r="L267" s="3918"/>
      <c r="M267" s="3918"/>
      <c r="N267" s="446" t="s">
        <v>2435</v>
      </c>
      <c r="O267" s="239"/>
      <c r="P267" s="619"/>
      <c r="Q267" s="1186"/>
      <c r="V267" s="1285"/>
      <c r="W267" s="1285"/>
    </row>
    <row r="268" spans="1:23" ht="11.45" customHeight="1">
      <c r="A268" s="142" t="s">
        <v>1984</v>
      </c>
      <c r="B268" s="197" t="s">
        <v>4032</v>
      </c>
      <c r="D268" s="33"/>
      <c r="G268" s="538" t="s">
        <v>3783</v>
      </c>
      <c r="N268" s="27"/>
      <c r="O268" s="589" t="s">
        <v>2509</v>
      </c>
      <c r="P268" s="589" t="s">
        <v>2509</v>
      </c>
      <c r="Q268" s="1185"/>
    </row>
    <row r="269" spans="1:23" ht="22.5" customHeight="1">
      <c r="B269" s="674" t="s">
        <v>1985</v>
      </c>
      <c r="C269" s="3888" t="s">
        <v>4033</v>
      </c>
      <c r="D269" s="3888"/>
      <c r="E269" s="3888"/>
      <c r="F269" s="3888"/>
      <c r="G269" s="3888"/>
      <c r="H269" s="3888"/>
      <c r="I269" s="3888"/>
      <c r="J269" s="3888"/>
      <c r="K269" s="3888"/>
      <c r="L269" s="3888"/>
      <c r="M269" s="1368" t="s">
        <v>1984</v>
      </c>
      <c r="N269" s="449" t="s">
        <v>1985</v>
      </c>
      <c r="O269" s="1422"/>
      <c r="P269" s="1421"/>
      <c r="Q269" s="1185"/>
      <c r="V269" s="1285"/>
      <c r="W269" s="1285"/>
    </row>
    <row r="270" spans="1:23" s="33" customFormat="1" ht="11.25" customHeight="1">
      <c r="A270" s="581"/>
      <c r="B270" s="674" t="s">
        <v>1987</v>
      </c>
      <c r="C270" s="497" t="s">
        <v>4851</v>
      </c>
      <c r="D270" s="1129"/>
      <c r="E270" s="1129"/>
      <c r="F270" s="1129"/>
      <c r="G270" s="1129"/>
      <c r="H270" s="1129"/>
      <c r="I270" s="1129"/>
      <c r="J270" s="1129"/>
      <c r="K270" s="1129"/>
      <c r="L270" s="1129"/>
      <c r="M270" s="1129"/>
      <c r="N270" s="449" t="s">
        <v>1987</v>
      </c>
      <c r="O270" s="422"/>
      <c r="P270" s="618"/>
      <c r="Q270" s="1186"/>
      <c r="V270" s="1519"/>
      <c r="W270" s="1519"/>
    </row>
    <row r="271" spans="1:23" s="33" customFormat="1" ht="11.25" customHeight="1">
      <c r="A271" s="581"/>
      <c r="B271" s="674" t="s">
        <v>2533</v>
      </c>
      <c r="C271" s="497" t="s">
        <v>4852</v>
      </c>
      <c r="D271" s="1129"/>
      <c r="E271" s="1129"/>
      <c r="F271" s="1129"/>
      <c r="G271" s="1129"/>
      <c r="H271" s="1129"/>
      <c r="I271" s="1129"/>
      <c r="J271" s="1129"/>
      <c r="K271" s="1129"/>
      <c r="L271" s="1129"/>
      <c r="M271" s="1129"/>
      <c r="N271" s="449" t="s">
        <v>2533</v>
      </c>
      <c r="O271" s="239"/>
      <c r="P271" s="619"/>
      <c r="Q271" s="1186"/>
      <c r="V271" s="1519"/>
      <c r="W271" s="1519"/>
    </row>
    <row r="272" spans="1:23" s="43" customFormat="1" ht="12" customHeight="1" thickBot="1">
      <c r="A272" s="42"/>
      <c r="B272" s="1488" t="s">
        <v>3754</v>
      </c>
      <c r="C272" s="42"/>
      <c r="D272" s="48"/>
      <c r="E272" s="48"/>
      <c r="F272" s="48"/>
      <c r="G272" s="48"/>
      <c r="H272" s="36"/>
      <c r="I272" s="138"/>
      <c r="M272" s="46"/>
      <c r="N272" s="62"/>
      <c r="O272" s="3"/>
      <c r="P272" s="1505"/>
    </row>
    <row r="273" spans="1:18" s="43" customFormat="1" ht="21.75" customHeight="1" thickTop="1" thickBot="1">
      <c r="A273" s="4165"/>
      <c r="B273" s="4166"/>
      <c r="C273" s="4166"/>
      <c r="D273" s="4166"/>
      <c r="E273" s="4166"/>
      <c r="F273" s="4166"/>
      <c r="G273" s="4166"/>
      <c r="H273" s="4166"/>
      <c r="I273" s="4166"/>
      <c r="J273" s="4166"/>
      <c r="K273" s="4166"/>
      <c r="L273" s="4166"/>
      <c r="M273" s="4166"/>
      <c r="N273" s="4166"/>
      <c r="O273" s="4166"/>
      <c r="P273" s="4167"/>
      <c r="Q273" s="1291" t="s">
        <v>1254</v>
      </c>
    </row>
    <row r="274" spans="1:18" s="43" customFormat="1" ht="10.5" customHeight="1" thickTop="1">
      <c r="A274" s="42"/>
      <c r="B274" s="87" t="s">
        <v>1865</v>
      </c>
      <c r="C274" s="42"/>
      <c r="D274" s="87"/>
      <c r="E274" s="1506"/>
      <c r="F274" s="1506"/>
      <c r="G274" s="1506"/>
      <c r="H274" s="1506"/>
      <c r="I274" s="1506"/>
      <c r="J274" s="1506"/>
      <c r="K274" s="1506"/>
      <c r="L274" s="1506"/>
      <c r="M274" s="1506"/>
      <c r="N274" s="75"/>
      <c r="O274" s="71"/>
      <c r="P274" s="1503"/>
      <c r="Q274" s="490"/>
    </row>
    <row r="275" spans="1:18" s="43" customFormat="1" ht="11.25" customHeight="1">
      <c r="A275" s="4075"/>
      <c r="B275" s="4076"/>
      <c r="C275" s="4076"/>
      <c r="D275" s="4076"/>
      <c r="E275" s="4076"/>
      <c r="F275" s="4076"/>
      <c r="G275" s="4076"/>
      <c r="H275" s="4076"/>
      <c r="I275" s="4076"/>
      <c r="J275" s="4076"/>
      <c r="K275" s="4076"/>
      <c r="L275" s="4076"/>
      <c r="M275" s="4076"/>
      <c r="N275" s="4076"/>
      <c r="O275" s="4076"/>
      <c r="P275" s="4077"/>
      <c r="Q275" s="509"/>
    </row>
    <row r="276" spans="1:18" ht="3.6" customHeight="1" thickBot="1">
      <c r="B276" s="120"/>
      <c r="C276" s="120"/>
      <c r="D276" s="120"/>
      <c r="E276" s="120"/>
    </row>
    <row r="277" spans="1:18" s="105" customFormat="1" ht="12.6" customHeight="1" thickBot="1">
      <c r="A277" s="157" t="s">
        <v>426</v>
      </c>
      <c r="B277" s="109" t="s">
        <v>2785</v>
      </c>
      <c r="C277" s="94"/>
      <c r="D277" s="59"/>
      <c r="E277" s="59"/>
      <c r="G277" s="192" t="s">
        <v>4179</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78" t="s">
        <v>3601</v>
      </c>
      <c r="B279" s="989" t="s">
        <v>4856</v>
      </c>
      <c r="C279" s="94"/>
      <c r="D279" s="59"/>
      <c r="E279" s="59"/>
      <c r="G279" s="538" t="s">
        <v>4863</v>
      </c>
      <c r="I279" s="27"/>
      <c r="J279" s="4072" t="str">
        <f>'Part I-Project Information'!$O$38</f>
        <v>0055.01</v>
      </c>
      <c r="K279" s="4072"/>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78"/>
      <c r="B280" s="114" t="s">
        <v>2793</v>
      </c>
      <c r="C280" s="585"/>
      <c r="D280" s="585"/>
      <c r="G280" s="586" t="str">
        <f>'Part I-Project Information'!$H$105</f>
        <v>N/A - 4% Bond</v>
      </c>
      <c r="M280" s="1183" t="s">
        <v>4857</v>
      </c>
      <c r="N280" s="2476"/>
      <c r="O280" s="1456" t="s">
        <v>2509</v>
      </c>
      <c r="P280" s="1456" t="s">
        <v>2509</v>
      </c>
    </row>
    <row r="281" spans="1:18" ht="11.45" customHeight="1">
      <c r="A281" s="4078"/>
      <c r="B281" s="1012" t="s">
        <v>1985</v>
      </c>
      <c r="C281" s="502" t="s">
        <v>2684</v>
      </c>
      <c r="E281" s="120"/>
      <c r="M281" s="82"/>
      <c r="N281" s="194" t="s">
        <v>1985</v>
      </c>
      <c r="O281" s="238"/>
      <c r="P281" s="617"/>
      <c r="Q281" s="4067" t="str">
        <f>IF(AND(O281="Yes",O284="Yes"),"Only 1 or 4 can be 'Yes'!","")</f>
        <v/>
      </c>
      <c r="R281" s="4067"/>
    </row>
    <row r="282" spans="1:18" ht="11.45" customHeight="1">
      <c r="B282" s="1012" t="s">
        <v>1987</v>
      </c>
      <c r="C282" s="502" t="s">
        <v>2738</v>
      </c>
      <c r="G282" s="103" t="s">
        <v>2388</v>
      </c>
      <c r="H282" s="550" t="s">
        <v>4897</v>
      </c>
      <c r="I282" s="502" t="s">
        <v>2739</v>
      </c>
      <c r="L282" s="138" t="s">
        <v>2737</v>
      </c>
      <c r="M282" s="1013" t="str">
        <f>IF(O282&gt;H282,"CHECK ACTUAL PERCENT!!!","")</f>
        <v/>
      </c>
      <c r="N282" s="194" t="s">
        <v>1987</v>
      </c>
      <c r="O282" s="2477"/>
      <c r="P282" s="2478"/>
      <c r="Q282" s="4067"/>
      <c r="R282" s="4067"/>
    </row>
    <row r="283" spans="1:18" ht="11.45" customHeight="1">
      <c r="B283" s="1012" t="s">
        <v>2533</v>
      </c>
      <c r="C283" s="478" t="s">
        <v>2389</v>
      </c>
      <c r="E283" s="120"/>
      <c r="G283" s="103" t="s">
        <v>2390</v>
      </c>
      <c r="J283" s="4086" t="s">
        <v>5060</v>
      </c>
      <c r="L283" s="497" t="s">
        <v>2731</v>
      </c>
      <c r="M283" s="33"/>
      <c r="N283" s="194" t="s">
        <v>2533</v>
      </c>
      <c r="O283" s="2479" t="s">
        <v>201</v>
      </c>
      <c r="P283" s="2480" t="s">
        <v>201</v>
      </c>
      <c r="Q283" s="4067"/>
      <c r="R283" s="4067"/>
    </row>
    <row r="284" spans="1:18" s="451" customFormat="1" ht="11.45" customHeight="1">
      <c r="B284" s="674" t="s">
        <v>1224</v>
      </c>
      <c r="C284" s="3894" t="s">
        <v>4872</v>
      </c>
      <c r="D284" s="3894"/>
      <c r="E284" s="3894"/>
      <c r="F284" s="3894"/>
      <c r="G284" s="3894"/>
      <c r="H284" s="3894"/>
      <c r="I284" s="3894"/>
      <c r="J284" s="4149"/>
      <c r="K284" s="4086" t="s">
        <v>4040</v>
      </c>
      <c r="M284" s="1372">
        <v>2</v>
      </c>
      <c r="N284" s="194" t="s">
        <v>1224</v>
      </c>
      <c r="O284" s="1447"/>
      <c r="P284" s="1448"/>
      <c r="Q284" s="4067"/>
      <c r="R284" s="4067"/>
    </row>
    <row r="285" spans="1:18" ht="11.45" customHeight="1">
      <c r="B285" s="432"/>
      <c r="C285" s="3894"/>
      <c r="D285" s="3894"/>
      <c r="E285" s="3894"/>
      <c r="F285" s="3894"/>
      <c r="G285" s="3894"/>
      <c r="H285" s="3894"/>
      <c r="I285" s="3894"/>
      <c r="J285" s="4087"/>
      <c r="K285" s="4087"/>
      <c r="L285" s="4168" t="s">
        <v>4096</v>
      </c>
      <c r="M285" s="4169"/>
      <c r="N285" s="120"/>
    </row>
    <row r="286" spans="1:18" ht="23.25" customHeight="1">
      <c r="B286" s="432"/>
      <c r="C286" s="3894"/>
      <c r="D286" s="3894"/>
      <c r="E286" s="3894"/>
      <c r="F286" s="3894"/>
      <c r="G286" s="3894"/>
      <c r="H286" s="3894"/>
      <c r="I286" s="3894"/>
      <c r="J286" s="2662"/>
      <c r="K286" s="2661"/>
      <c r="L286" s="1369">
        <f>O61</f>
        <v>0</v>
      </c>
      <c r="M286" s="1370">
        <f>P61</f>
        <v>0</v>
      </c>
      <c r="N286" s="27"/>
    </row>
    <row r="287" spans="1:18" ht="2.25" customHeight="1">
      <c r="A287" s="588"/>
      <c r="B287" s="1012"/>
      <c r="C287" s="478"/>
      <c r="E287" s="120"/>
      <c r="M287" s="1371"/>
      <c r="N287" s="1364"/>
      <c r="O287" s="1011"/>
      <c r="P287" s="1011"/>
    </row>
    <row r="288" spans="1:18" ht="11.45" customHeight="1">
      <c r="A288" s="588" t="s">
        <v>749</v>
      </c>
      <c r="B288" s="1012" t="s">
        <v>4858</v>
      </c>
      <c r="C288" s="478"/>
      <c r="E288" s="120"/>
      <c r="G288" s="495" t="s">
        <v>4859</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1985</v>
      </c>
      <c r="C289" s="138" t="s">
        <v>5055</v>
      </c>
      <c r="D289" s="138"/>
      <c r="G289" s="138" t="s">
        <v>4860</v>
      </c>
      <c r="H289" s="1129"/>
      <c r="I289" s="1129"/>
      <c r="J289" s="33"/>
      <c r="K289" s="33"/>
      <c r="L289" s="33"/>
      <c r="M289" s="33"/>
      <c r="N289" s="194" t="s">
        <v>1985</v>
      </c>
      <c r="O289" s="2481"/>
      <c r="P289" s="2482"/>
    </row>
    <row r="290" spans="1:21" ht="11.45" customHeight="1">
      <c r="A290" s="588"/>
      <c r="B290" s="1012" t="s">
        <v>1987</v>
      </c>
      <c r="C290" s="138" t="s">
        <v>5056</v>
      </c>
      <c r="D290" s="138"/>
      <c r="G290" s="138" t="s">
        <v>4861</v>
      </c>
      <c r="H290" s="1129"/>
      <c r="I290" s="1129"/>
      <c r="J290" s="33"/>
      <c r="K290" s="33"/>
      <c r="L290" s="33"/>
      <c r="M290" s="33"/>
      <c r="N290" s="194" t="s">
        <v>1987</v>
      </c>
      <c r="O290" s="2483"/>
      <c r="P290" s="2484"/>
      <c r="R290" s="163" t="s">
        <v>5066</v>
      </c>
    </row>
    <row r="291" spans="1:21" ht="11.45" customHeight="1">
      <c r="A291" s="588"/>
      <c r="B291" s="1012" t="s">
        <v>2533</v>
      </c>
      <c r="C291" s="138" t="s">
        <v>5057</v>
      </c>
      <c r="D291" s="138"/>
      <c r="G291" s="138" t="s">
        <v>4862</v>
      </c>
      <c r="H291" s="1129"/>
      <c r="I291" s="1129"/>
      <c r="J291" s="33"/>
      <c r="K291" s="33"/>
      <c r="L291" s="33"/>
      <c r="M291" s="33"/>
      <c r="N291" s="194" t="s">
        <v>2533</v>
      </c>
      <c r="O291" s="2485"/>
      <c r="P291" s="2486"/>
    </row>
    <row r="292" spans="1:21" ht="2.25" customHeight="1">
      <c r="A292" s="588"/>
      <c r="B292" s="1012"/>
      <c r="C292" s="478"/>
      <c r="E292" s="120"/>
      <c r="M292" s="1371"/>
      <c r="N292" s="1364"/>
      <c r="O292" s="1011"/>
      <c r="P292" s="1011"/>
    </row>
    <row r="293" spans="1:21" ht="11.45" customHeight="1">
      <c r="A293" s="588" t="s">
        <v>2114</v>
      </c>
      <c r="B293" s="1012" t="s">
        <v>3602</v>
      </c>
      <c r="C293" s="478"/>
      <c r="E293" s="120"/>
      <c r="G293" s="2460" t="s">
        <v>3606</v>
      </c>
      <c r="H293" s="2487">
        <f>IF('Part VI-Revenues &amp; Expenses'!$O$67=0,0,'Part VI-Revenues &amp; Expenses'!$O$64/'Part VI-Revenues &amp; Expenses'!$O$67)</f>
        <v>0</v>
      </c>
      <c r="J293" s="2468" t="s">
        <v>4864</v>
      </c>
      <c r="K293" s="4073" t="str">
        <f>'Part I-Project Information'!$K$94</f>
        <v>Income Averaging</v>
      </c>
      <c r="L293" s="4074"/>
      <c r="M293" s="1371">
        <v>1</v>
      </c>
      <c r="N293" s="1364" t="s">
        <v>2114</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1865</v>
      </c>
      <c r="C295" s="42"/>
      <c r="D295" s="87"/>
      <c r="E295" s="1506"/>
      <c r="F295" s="1506"/>
      <c r="G295" s="1506"/>
      <c r="H295" s="1506"/>
      <c r="I295" s="1506"/>
      <c r="J295" s="1506"/>
      <c r="K295" s="1506"/>
      <c r="L295" s="1506"/>
      <c r="M295" s="1506"/>
      <c r="N295" s="75"/>
      <c r="O295" s="71"/>
      <c r="P295" s="1503"/>
      <c r="Q295" s="490"/>
    </row>
    <row r="296" spans="1:21" s="43" customFormat="1" ht="11.25" customHeight="1">
      <c r="A296" s="4075"/>
      <c r="B296" s="4076"/>
      <c r="C296" s="4076"/>
      <c r="D296" s="4076"/>
      <c r="E296" s="4076"/>
      <c r="F296" s="4076"/>
      <c r="G296" s="4076"/>
      <c r="H296" s="4076"/>
      <c r="I296" s="4076"/>
      <c r="J296" s="4076"/>
      <c r="K296" s="4076"/>
      <c r="L296" s="4076"/>
      <c r="M296" s="4076"/>
      <c r="N296" s="4076"/>
      <c r="O296" s="4076"/>
      <c r="P296" s="4077"/>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4043</v>
      </c>
      <c r="C298" s="94"/>
      <c r="D298" s="59"/>
      <c r="E298" s="59"/>
      <c r="H298" s="192"/>
      <c r="I298" s="496" t="s">
        <v>3799</v>
      </c>
      <c r="M298" s="1503">
        <v>10</v>
      </c>
      <c r="N298" s="7"/>
      <c r="O298" s="1329">
        <f>IF(OR(O299="Yes",O300="Yes"),$M$298,0)</f>
        <v>0</v>
      </c>
      <c r="P298" s="1329">
        <f>IF(OR(P299="Yes",P300="Yes"),$M$298,0)</f>
        <v>0</v>
      </c>
      <c r="Q298" s="112" t="s">
        <v>441</v>
      </c>
      <c r="R298" s="43"/>
    </row>
    <row r="299" spans="1:21" ht="11.25" customHeight="1">
      <c r="A299" s="1504" t="s">
        <v>1982</v>
      </c>
      <c r="B299" s="1374" t="s">
        <v>3790</v>
      </c>
      <c r="D299" s="718"/>
      <c r="E299" s="718"/>
      <c r="F299" s="718"/>
      <c r="G299" s="718"/>
      <c r="H299" s="718"/>
      <c r="I299" s="718"/>
      <c r="J299" s="718"/>
      <c r="K299" s="718"/>
      <c r="L299" s="1191"/>
      <c r="M299" s="4062" t="str">
        <f>IF(OR(SUM(T299:T300)&gt;1,SUM(U299:U300)&gt;1),"Only one category can be met by other means!","")</f>
        <v/>
      </c>
      <c r="N299" s="527" t="s">
        <v>1982</v>
      </c>
      <c r="O299" s="238"/>
      <c r="P299" s="617"/>
      <c r="U299" s="1523">
        <f>IF(L299="Yes",1,0)</f>
        <v>0</v>
      </c>
    </row>
    <row r="300" spans="1:21" ht="11.25" customHeight="1">
      <c r="A300" s="1504" t="s">
        <v>1984</v>
      </c>
      <c r="B300" s="1374" t="s">
        <v>3791</v>
      </c>
      <c r="D300" s="718"/>
      <c r="L300" s="1191"/>
      <c r="M300" s="4062"/>
      <c r="N300" s="527" t="s">
        <v>1984</v>
      </c>
      <c r="O300" s="239"/>
      <c r="P300" s="619"/>
      <c r="U300" s="1523">
        <f>IF(L300="Yes",1,0)</f>
        <v>0</v>
      </c>
    </row>
    <row r="301" spans="1:21" s="43" customFormat="1" ht="10.5" customHeight="1" thickBot="1">
      <c r="A301" s="42"/>
      <c r="B301" s="1488" t="s">
        <v>3754</v>
      </c>
      <c r="C301" s="42"/>
      <c r="D301" s="48"/>
      <c r="E301" s="48"/>
      <c r="F301" s="48"/>
      <c r="G301" s="48"/>
      <c r="H301" s="36"/>
      <c r="I301" s="36"/>
      <c r="J301" s="36"/>
      <c r="K301" s="36"/>
      <c r="M301" s="46"/>
      <c r="N301" s="62"/>
      <c r="O301" s="3"/>
      <c r="P301" s="1505"/>
    </row>
    <row r="302" spans="1:21" s="43" customFormat="1" ht="21.75" customHeight="1" thickTop="1" thickBot="1">
      <c r="A302" s="3869"/>
      <c r="B302" s="3870"/>
      <c r="C302" s="3870"/>
      <c r="D302" s="3870"/>
      <c r="E302" s="3870"/>
      <c r="F302" s="3870"/>
      <c r="G302" s="3870"/>
      <c r="H302" s="3870"/>
      <c r="I302" s="3870"/>
      <c r="J302" s="3870"/>
      <c r="K302" s="3870"/>
      <c r="L302" s="3870"/>
      <c r="M302" s="3870"/>
      <c r="N302" s="3870"/>
      <c r="O302" s="3870"/>
      <c r="P302" s="3871"/>
      <c r="Q302" s="1291" t="s">
        <v>1254</v>
      </c>
    </row>
    <row r="303" spans="1:21" s="43" customFormat="1" ht="10.5" customHeight="1" thickTop="1">
      <c r="A303" s="42"/>
      <c r="B303" s="87" t="s">
        <v>1865</v>
      </c>
      <c r="C303" s="42"/>
      <c r="D303" s="87"/>
      <c r="E303" s="1506"/>
      <c r="F303" s="1506"/>
      <c r="G303" s="1506"/>
      <c r="H303" s="1506"/>
      <c r="I303" s="1506"/>
      <c r="J303" s="1506"/>
      <c r="K303" s="1506"/>
      <c r="L303" s="1506"/>
      <c r="M303" s="1506"/>
      <c r="N303" s="75"/>
      <c r="O303" s="71"/>
      <c r="P303" s="1503"/>
      <c r="Q303" s="490"/>
    </row>
    <row r="304" spans="1:21" s="43" customFormat="1" ht="11.25" customHeight="1">
      <c r="A304" s="4075"/>
      <c r="B304" s="4076"/>
      <c r="C304" s="4076"/>
      <c r="D304" s="4076"/>
      <c r="E304" s="4076"/>
      <c r="F304" s="4076"/>
      <c r="G304" s="4076"/>
      <c r="H304" s="4076"/>
      <c r="I304" s="4076"/>
      <c r="J304" s="4076"/>
      <c r="K304" s="4076"/>
      <c r="L304" s="4076"/>
      <c r="M304" s="4076"/>
      <c r="N304" s="4076"/>
      <c r="O304" s="4076"/>
      <c r="P304" s="4077"/>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2458</v>
      </c>
      <c r="D306" s="41"/>
      <c r="E306" s="41"/>
      <c r="F306" s="41"/>
      <c r="H306" s="61" t="s">
        <v>4868</v>
      </c>
      <c r="J306" s="88" t="s">
        <v>2793</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1982</v>
      </c>
      <c r="B307" s="197" t="s">
        <v>4044</v>
      </c>
      <c r="D307" s="33"/>
      <c r="E307" s="33"/>
      <c r="F307" s="33"/>
      <c r="H307" s="88" t="s">
        <v>3683</v>
      </c>
      <c r="I307" s="495"/>
      <c r="J307" s="4082" t="str">
        <f>'Part I-Project Information'!$O$34</f>
        <v>No</v>
      </c>
      <c r="K307" s="4082"/>
      <c r="L307" s="1069">
        <f>'Part I-Project Information'!$O$35</f>
        <v>0</v>
      </c>
      <c r="M307" s="73">
        <v>3</v>
      </c>
      <c r="N307" s="527" t="s">
        <v>1982</v>
      </c>
      <c r="O307" s="682"/>
      <c r="P307" s="979"/>
      <c r="Q307" s="1179" t="str">
        <f>IF(OR($O307=$M307,$O307=0,$O307=""),"","*CHECK!*")</f>
        <v/>
      </c>
      <c r="R307" s="1327" t="s">
        <v>2705</v>
      </c>
    </row>
    <row r="308" spans="1:27" s="103" customFormat="1" ht="23.1" customHeight="1">
      <c r="B308" s="674" t="s">
        <v>1985</v>
      </c>
      <c r="C308" s="3922" t="s">
        <v>4873</v>
      </c>
      <c r="D308" s="3922"/>
      <c r="E308" s="3922"/>
      <c r="F308" s="3922"/>
      <c r="G308" s="3922"/>
      <c r="H308" s="3922"/>
      <c r="I308" s="3922"/>
      <c r="J308" s="3922"/>
      <c r="K308" s="3922"/>
      <c r="L308" s="3922"/>
      <c r="M308" s="1184"/>
      <c r="N308" s="449" t="s">
        <v>1985</v>
      </c>
      <c r="O308" s="1412"/>
      <c r="P308" s="1392"/>
      <c r="Q308" s="4068" t="s">
        <v>4193</v>
      </c>
      <c r="R308" s="3894"/>
      <c r="S308" s="3894"/>
      <c r="T308" s="1184"/>
      <c r="U308" s="1184"/>
      <c r="V308" s="1184"/>
      <c r="W308" s="1184"/>
      <c r="X308" s="1184"/>
      <c r="Y308" s="1184"/>
      <c r="Z308" s="1184"/>
      <c r="AA308" s="1184"/>
    </row>
    <row r="309" spans="1:27" s="121" customFormat="1" ht="11.25" customHeight="1">
      <c r="B309" s="1012"/>
      <c r="C309" s="138" t="s">
        <v>3805</v>
      </c>
      <c r="I309" s="446" t="s">
        <v>4869</v>
      </c>
      <c r="J309" s="2465"/>
      <c r="K309" s="497" t="s">
        <v>2300</v>
      </c>
      <c r="L309" s="4059"/>
      <c r="M309" s="4060"/>
      <c r="N309" s="4060"/>
      <c r="O309" s="4060"/>
      <c r="P309" s="4061"/>
      <c r="Q309" s="4068"/>
      <c r="R309" s="3894"/>
      <c r="S309" s="3894"/>
    </row>
    <row r="310" spans="1:27" s="121" customFormat="1" ht="11.25" customHeight="1">
      <c r="B310" s="1012"/>
      <c r="C310" s="138" t="s">
        <v>3860</v>
      </c>
      <c r="I310" s="446" t="s">
        <v>4869</v>
      </c>
      <c r="J310" s="2466"/>
      <c r="K310" s="497" t="s">
        <v>2300</v>
      </c>
      <c r="L310" s="4064"/>
      <c r="M310" s="4065"/>
      <c r="N310" s="4065"/>
      <c r="O310" s="4065"/>
      <c r="P310" s="4066"/>
      <c r="Q310" s="4068"/>
      <c r="R310" s="3894"/>
      <c r="S310" s="3894"/>
    </row>
    <row r="311" spans="1:27" s="121" customFormat="1" ht="11.25" customHeight="1">
      <c r="B311" s="1012" t="s">
        <v>1987</v>
      </c>
      <c r="C311" s="121" t="s">
        <v>963</v>
      </c>
      <c r="M311" s="7"/>
      <c r="N311" s="194" t="s">
        <v>1987</v>
      </c>
      <c r="O311" s="1174"/>
      <c r="P311" s="1084"/>
      <c r="Q311" s="4068"/>
      <c r="R311" s="3894"/>
      <c r="S311" s="3894"/>
    </row>
    <row r="312" spans="1:27" s="121" customFormat="1" ht="11.25" customHeight="1">
      <c r="B312" s="1012" t="s">
        <v>2533</v>
      </c>
      <c r="C312" s="121" t="s">
        <v>964</v>
      </c>
      <c r="M312" s="7"/>
      <c r="N312" s="194" t="s">
        <v>2533</v>
      </c>
      <c r="O312" s="422"/>
      <c r="P312" s="618"/>
      <c r="Q312" s="4068"/>
      <c r="R312" s="3894"/>
      <c r="S312" s="3894"/>
    </row>
    <row r="313" spans="1:27" s="121" customFormat="1" ht="11.25" customHeight="1">
      <c r="B313" s="1012" t="s">
        <v>1224</v>
      </c>
      <c r="C313" s="138" t="s">
        <v>4874</v>
      </c>
      <c r="M313" s="7"/>
      <c r="N313" s="194" t="s">
        <v>1224</v>
      </c>
      <c r="O313" s="422"/>
      <c r="P313" s="618"/>
      <c r="Q313" s="4068"/>
      <c r="R313" s="3894"/>
      <c r="S313" s="3894"/>
    </row>
    <row r="314" spans="1:27" s="121" customFormat="1" ht="11.25" customHeight="1">
      <c r="A314" s="581"/>
      <c r="B314" s="1012" t="s">
        <v>1225</v>
      </c>
      <c r="C314" s="121" t="s">
        <v>965</v>
      </c>
      <c r="M314" s="7"/>
      <c r="N314" s="194" t="s">
        <v>1225</v>
      </c>
      <c r="O314" s="239"/>
      <c r="P314" s="619"/>
      <c r="Q314" s="4068"/>
      <c r="R314" s="3894"/>
      <c r="S314" s="3894"/>
    </row>
    <row r="315" spans="1:27" s="33" customFormat="1" ht="11.25" customHeight="1">
      <c r="A315" s="1504" t="s">
        <v>1984</v>
      </c>
      <c r="B315" s="197" t="s">
        <v>4045</v>
      </c>
      <c r="D315" s="673"/>
      <c r="H315" s="61" t="s">
        <v>4870</v>
      </c>
    </row>
    <row r="316" spans="1:27" s="33" customFormat="1" ht="11.25" customHeight="1">
      <c r="A316" s="1504"/>
      <c r="B316" s="2488" t="s">
        <v>4875</v>
      </c>
      <c r="C316" s="2488"/>
      <c r="D316" s="2488"/>
      <c r="E316" s="2488"/>
      <c r="F316" s="2488"/>
      <c r="G316" s="2488"/>
      <c r="H316" s="2488"/>
      <c r="I316" s="2488"/>
      <c r="J316" s="2488"/>
      <c r="K316" s="2488"/>
      <c r="L316" s="2488"/>
      <c r="M316" s="669">
        <v>3</v>
      </c>
      <c r="N316" s="527" t="s">
        <v>1984</v>
      </c>
      <c r="O316" s="1018">
        <f>IF(AND(O317&gt;0,O318&gt;0),"choose",IF($L$306="Flexible", MIN($M$316, SUM(O317:O318)), 0))</f>
        <v>0</v>
      </c>
      <c r="P316" s="1018">
        <f>IF(AND(P317&gt;0,P318&gt;0),"choose",IF($L$306="Flexible", MIN($M$316, SUM(P317:P318)), 0))</f>
        <v>0</v>
      </c>
    </row>
    <row r="317" spans="1:27" s="33" customFormat="1" ht="11.25" customHeight="1">
      <c r="B317" s="1012" t="s">
        <v>1985</v>
      </c>
      <c r="C317" s="671" t="s">
        <v>4047</v>
      </c>
      <c r="L317" s="434" t="str">
        <f>IF(OR($O317=$M317,$O317=0,$O317=""),"","* * Check Score! * *")</f>
        <v/>
      </c>
      <c r="M317" s="73">
        <v>3</v>
      </c>
      <c r="N317" s="499" t="s">
        <v>1985</v>
      </c>
      <c r="O317" s="597"/>
      <c r="P317" s="611"/>
      <c r="Q317" s="1179" t="str">
        <f>IF(OR($O317=$M317,$O317=0,$O317=""),"","*CHECK!*")</f>
        <v/>
      </c>
      <c r="R317" s="1327" t="s">
        <v>2705</v>
      </c>
    </row>
    <row r="318" spans="1:27" ht="11.25" customHeight="1">
      <c r="A318" s="672"/>
      <c r="B318" s="674" t="s">
        <v>1987</v>
      </c>
      <c r="C318" s="503" t="s">
        <v>3608</v>
      </c>
      <c r="D318" s="33"/>
      <c r="E318" s="33"/>
      <c r="F318" s="33"/>
      <c r="G318" s="40"/>
      <c r="H318" s="61"/>
      <c r="I318" s="40"/>
      <c r="L318" s="434" t="str">
        <f>IF(OR($O318=$M318,$O318=0,$O318=""),"","* * Check Score! * *")</f>
        <v/>
      </c>
      <c r="M318" s="82">
        <v>2</v>
      </c>
      <c r="N318" s="1016" t="s">
        <v>1987</v>
      </c>
      <c r="O318" s="599"/>
      <c r="P318" s="613"/>
      <c r="Q318" s="1179" t="str">
        <f>IF(OR($O318=$M318,$O318=0,$O318=""),"","*CHECK!*")</f>
        <v/>
      </c>
      <c r="R318" s="1327" t="s">
        <v>2705</v>
      </c>
    </row>
    <row r="319" spans="1:27" s="33" customFormat="1" ht="11.25" customHeight="1">
      <c r="A319" s="1504" t="s">
        <v>749</v>
      </c>
      <c r="B319" s="197" t="s">
        <v>4046</v>
      </c>
      <c r="D319" s="673"/>
      <c r="H319" s="61" t="s">
        <v>4871</v>
      </c>
    </row>
    <row r="320" spans="1:27" s="33" customFormat="1" ht="11.25" customHeight="1">
      <c r="A320" s="1504"/>
      <c r="B320" s="1015" t="s">
        <v>3610</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1985</v>
      </c>
      <c r="C321" s="495" t="s">
        <v>3609</v>
      </c>
      <c r="K321" s="4063" t="str">
        <f>IF(OR(AND(O321&gt;0,O323&gt;0), AND(O322&gt;0,O323&gt;0), AND(O321&gt;0,O322&gt;0)),"Choose option 1 or 2 or 3!!!","")</f>
        <v/>
      </c>
      <c r="L321" s="4063"/>
      <c r="M321" s="73">
        <v>4</v>
      </c>
      <c r="N321" s="499" t="s">
        <v>1985</v>
      </c>
      <c r="O321" s="597"/>
      <c r="P321" s="611"/>
      <c r="Q321" s="1179" t="str">
        <f>IF(OR($O321=$M321,$O321=0,$O321=""),"","*CHECK!*")</f>
        <v/>
      </c>
      <c r="R321" s="1327" t="s">
        <v>2705</v>
      </c>
    </row>
    <row r="322" spans="1:21" ht="11.25" customHeight="1">
      <c r="A322" s="672"/>
      <c r="B322" s="674" t="s">
        <v>1987</v>
      </c>
      <c r="C322" s="671" t="s">
        <v>4048</v>
      </c>
      <c r="D322" s="33"/>
      <c r="E322" s="33"/>
      <c r="F322" s="33"/>
      <c r="G322" s="40"/>
      <c r="H322" s="1017"/>
      <c r="I322" s="40"/>
      <c r="K322" s="4063"/>
      <c r="L322" s="4063"/>
      <c r="M322" s="82">
        <v>3</v>
      </c>
      <c r="N322" s="1016" t="s">
        <v>1987</v>
      </c>
      <c r="O322" s="598"/>
      <c r="P322" s="612"/>
      <c r="Q322" s="1179" t="str">
        <f>IF(OR($O322=$M322,$O322=0,$O322=""),"","*CHECK!*")</f>
        <v/>
      </c>
      <c r="R322" s="1327" t="s">
        <v>2705</v>
      </c>
    </row>
    <row r="323" spans="1:21" ht="11.25" customHeight="1">
      <c r="A323" s="672"/>
      <c r="B323" s="674" t="s">
        <v>2533</v>
      </c>
      <c r="C323" s="503" t="s">
        <v>3611</v>
      </c>
      <c r="D323" s="33"/>
      <c r="E323" s="33"/>
      <c r="F323" s="33"/>
      <c r="G323" s="40"/>
      <c r="H323" s="61"/>
      <c r="I323" s="40"/>
      <c r="K323" s="4063"/>
      <c r="L323" s="4063"/>
      <c r="M323" s="82">
        <v>2</v>
      </c>
      <c r="N323" s="1016" t="s">
        <v>2533</v>
      </c>
      <c r="O323" s="599"/>
      <c r="P323" s="613"/>
      <c r="Q323" s="1179" t="str">
        <f>IF(OR($O323=$M323,$O323=0,$O323=""),"","*CHECK!*")</f>
        <v/>
      </c>
      <c r="R323" s="1327" t="s">
        <v>2705</v>
      </c>
    </row>
    <row r="324" spans="1:21" s="43" customFormat="1" ht="10.5" customHeight="1" thickBot="1">
      <c r="A324" s="42"/>
      <c r="B324" s="1488" t="s">
        <v>3754</v>
      </c>
      <c r="C324" s="42"/>
      <c r="D324" s="48"/>
      <c r="E324" s="48"/>
      <c r="F324" s="48"/>
      <c r="G324" s="48"/>
      <c r="H324" s="36"/>
      <c r="I324" s="36"/>
      <c r="J324" s="36"/>
      <c r="K324" s="36"/>
      <c r="M324" s="46"/>
      <c r="N324" s="62"/>
      <c r="O324" s="3"/>
      <c r="P324" s="1563"/>
    </row>
    <row r="325" spans="1:21" s="43" customFormat="1" ht="21.75" customHeight="1" thickTop="1" thickBot="1">
      <c r="A325" s="3869"/>
      <c r="B325" s="3870"/>
      <c r="C325" s="3870"/>
      <c r="D325" s="3870"/>
      <c r="E325" s="3870"/>
      <c r="F325" s="3870"/>
      <c r="G325" s="3870"/>
      <c r="H325" s="3870"/>
      <c r="I325" s="3870"/>
      <c r="J325" s="3870"/>
      <c r="K325" s="3870"/>
      <c r="L325" s="3870"/>
      <c r="M325" s="3870"/>
      <c r="N325" s="3870"/>
      <c r="O325" s="3870"/>
      <c r="P325" s="3871"/>
      <c r="Q325" s="1291" t="s">
        <v>1254</v>
      </c>
    </row>
    <row r="326" spans="1:21" s="43" customFormat="1" ht="10.5" customHeight="1" thickTop="1">
      <c r="B326" s="87" t="s">
        <v>1865</v>
      </c>
      <c r="C326" s="101"/>
      <c r="D326" s="87"/>
      <c r="E326" s="102"/>
      <c r="F326" s="1506"/>
      <c r="G326" s="1506"/>
      <c r="H326" s="1506"/>
      <c r="I326" s="1506"/>
      <c r="J326" s="1506"/>
      <c r="K326" s="1506"/>
      <c r="L326" s="1506"/>
      <c r="M326" s="1506"/>
      <c r="N326" s="75"/>
      <c r="O326" s="71"/>
      <c r="P326" s="1503"/>
      <c r="Q326" s="490"/>
    </row>
    <row r="327" spans="1:21" s="43" customFormat="1" ht="11.25" customHeight="1">
      <c r="A327" s="3602"/>
      <c r="B327" s="3603"/>
      <c r="C327" s="3603"/>
      <c r="D327" s="3603"/>
      <c r="E327" s="3603"/>
      <c r="F327" s="3603"/>
      <c r="G327" s="3603"/>
      <c r="H327" s="3603"/>
      <c r="I327" s="3603"/>
      <c r="J327" s="3603"/>
      <c r="K327" s="3603"/>
      <c r="L327" s="3603"/>
      <c r="M327" s="3603"/>
      <c r="N327" s="3603"/>
      <c r="O327" s="3603"/>
      <c r="P327" s="3604"/>
      <c r="Q327" s="509"/>
    </row>
    <row r="328" spans="1:21" ht="1.5" customHeight="1" thickBot="1">
      <c r="B328" s="120"/>
      <c r="C328" s="120"/>
      <c r="D328" s="120"/>
      <c r="E328" s="120"/>
      <c r="T328" s="1285"/>
      <c r="U328" s="1285"/>
    </row>
    <row r="329" spans="1:21" s="43" customFormat="1" ht="12" customHeight="1" thickBot="1">
      <c r="A329" s="157" t="s">
        <v>364</v>
      </c>
      <c r="B329" s="109" t="s">
        <v>2826</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1982</v>
      </c>
      <c r="B330" s="184" t="s">
        <v>2232</v>
      </c>
      <c r="D330" s="61"/>
      <c r="E330" s="61"/>
      <c r="F330" s="44"/>
      <c r="G330" s="27"/>
      <c r="L330" s="434"/>
      <c r="M330" s="7">
        <v>3</v>
      </c>
      <c r="N330" s="527" t="s">
        <v>1982</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1985</v>
      </c>
      <c r="C331" s="40" t="s">
        <v>4876</v>
      </c>
      <c r="D331" s="61"/>
      <c r="E331" s="61"/>
      <c r="F331" s="44"/>
      <c r="G331" s="27"/>
      <c r="L331" s="434"/>
      <c r="M331" s="7">
        <v>3</v>
      </c>
      <c r="N331" s="499" t="s">
        <v>1985</v>
      </c>
      <c r="O331" s="238"/>
      <c r="P331" s="617"/>
      <c r="Q331" s="1179"/>
      <c r="R331" s="1327"/>
      <c r="T331" s="1285"/>
      <c r="U331" s="1285"/>
    </row>
    <row r="332" spans="1:21" s="105" customFormat="1" ht="11.25" customHeight="1">
      <c r="A332" s="142"/>
      <c r="B332" s="674" t="s">
        <v>1987</v>
      </c>
      <c r="C332" s="40" t="s">
        <v>4877</v>
      </c>
      <c r="D332" s="61"/>
      <c r="E332" s="61"/>
      <c r="F332" s="44"/>
      <c r="G332" s="27"/>
      <c r="L332" s="434"/>
      <c r="M332" s="7">
        <v>2</v>
      </c>
      <c r="N332" s="1016" t="s">
        <v>1987</v>
      </c>
      <c r="O332" s="422"/>
      <c r="P332" s="618"/>
      <c r="Q332" s="1179"/>
      <c r="R332" s="1327"/>
      <c r="T332" s="1285"/>
      <c r="U332" s="1285"/>
    </row>
    <row r="333" spans="1:21" s="105" customFormat="1" ht="10.5" customHeight="1">
      <c r="A333" s="142"/>
      <c r="B333" s="674" t="s">
        <v>2533</v>
      </c>
      <c r="C333" s="40" t="s">
        <v>4878</v>
      </c>
      <c r="D333" s="61"/>
      <c r="E333" s="61"/>
      <c r="F333" s="44"/>
      <c r="G333" s="27"/>
      <c r="K333" s="527"/>
      <c r="M333" s="7">
        <v>1</v>
      </c>
      <c r="N333" s="1016" t="s">
        <v>2533</v>
      </c>
      <c r="O333" s="239"/>
      <c r="P333" s="619"/>
      <c r="R333" s="448"/>
      <c r="T333" s="1285"/>
      <c r="U333" s="1285"/>
    </row>
    <row r="334" spans="1:21" s="43" customFormat="1" ht="11.25" customHeight="1">
      <c r="A334" s="142" t="s">
        <v>1984</v>
      </c>
      <c r="B334" s="184" t="s">
        <v>2233</v>
      </c>
      <c r="D334" s="57"/>
      <c r="K334" s="52"/>
      <c r="L334" s="434" t="str">
        <f>IF(OR($O334=$M334,$O334=0,$O334=""),"","* * Check Score! * *")</f>
        <v/>
      </c>
      <c r="M334" s="7">
        <v>1</v>
      </c>
      <c r="N334" s="527" t="s">
        <v>1984</v>
      </c>
      <c r="O334" s="1411">
        <f>IF(O335="Yes",$M$334,0)</f>
        <v>0</v>
      </c>
      <c r="P334" s="1411">
        <f>IF(P335="Yes",$M$334,0)</f>
        <v>0</v>
      </c>
      <c r="Q334" s="1179" t="str">
        <f>IF(OR($O334=$M334,$O334=0,$O334=""),"","*CHECK!*")</f>
        <v/>
      </c>
      <c r="R334" s="1327" t="s">
        <v>2705</v>
      </c>
      <c r="T334" s="1285"/>
      <c r="U334" s="1285"/>
    </row>
    <row r="335" spans="1:21" s="43" customFormat="1" ht="21.75" customHeight="1">
      <c r="A335" s="158"/>
      <c r="B335" s="3798" t="s">
        <v>4880</v>
      </c>
      <c r="C335" s="3798"/>
      <c r="D335" s="3798"/>
      <c r="E335" s="3798"/>
      <c r="F335" s="3798"/>
      <c r="G335" s="3798"/>
      <c r="H335" s="3798"/>
      <c r="I335" s="3798"/>
      <c r="J335" s="3798"/>
      <c r="K335" s="3798"/>
      <c r="L335" s="3798"/>
      <c r="M335" s="7"/>
      <c r="N335" s="527"/>
      <c r="O335" s="1498"/>
      <c r="P335" s="1499"/>
      <c r="Q335" s="448"/>
      <c r="R335" s="434"/>
      <c r="T335" s="1285"/>
      <c r="U335" s="1285"/>
    </row>
    <row r="336" spans="1:21" s="43" customFormat="1" ht="11.25" customHeight="1">
      <c r="A336" s="142" t="s">
        <v>749</v>
      </c>
      <c r="B336" s="184" t="s">
        <v>4879</v>
      </c>
      <c r="D336" s="57"/>
      <c r="H336" s="192"/>
      <c r="K336" s="52"/>
      <c r="L336" s="434"/>
      <c r="M336" s="7">
        <v>1</v>
      </c>
      <c r="N336" s="527" t="s">
        <v>749</v>
      </c>
      <c r="O336" s="1411">
        <f>IF(O330=0,0,IF(O337="Yes",$M$336,0))</f>
        <v>0</v>
      </c>
      <c r="P336" s="1411">
        <f>IF(P330=0,0,IF(P337="Yes",$M$336,0))</f>
        <v>0</v>
      </c>
      <c r="Q336" s="1179" t="str">
        <f>IF(OR($O336=$M336,$O336=0,$O336=""),"","*CHECK!*")</f>
        <v/>
      </c>
      <c r="R336" s="1327" t="s">
        <v>2705</v>
      </c>
      <c r="T336" s="1285"/>
      <c r="U336" s="1285"/>
    </row>
    <row r="337" spans="1:21" s="43" customFormat="1" ht="33.75" customHeight="1">
      <c r="B337" s="3650" t="s">
        <v>5032</v>
      </c>
      <c r="C337" s="3650"/>
      <c r="D337" s="3650"/>
      <c r="E337" s="3650"/>
      <c r="F337" s="3650"/>
      <c r="G337" s="3650"/>
      <c r="H337" s="3650"/>
      <c r="I337" s="3650"/>
      <c r="J337" s="3650"/>
      <c r="K337" s="3650"/>
      <c r="L337" s="3650"/>
      <c r="M337" s="7"/>
      <c r="N337" s="527"/>
      <c r="O337" s="1447"/>
      <c r="P337" s="1448"/>
      <c r="Q337" s="448"/>
      <c r="R337" s="434"/>
      <c r="T337" s="1285"/>
      <c r="U337" s="1285"/>
    </row>
    <row r="338" spans="1:21" s="43" customFormat="1" ht="22.5" customHeight="1">
      <c r="B338" s="3650" t="s">
        <v>5033</v>
      </c>
      <c r="C338" s="3650"/>
      <c r="D338" s="3650"/>
      <c r="E338" s="3650"/>
      <c r="F338" s="3650"/>
      <c r="G338" s="3650"/>
      <c r="H338" s="3650"/>
      <c r="I338" s="3650"/>
      <c r="J338" s="3650"/>
      <c r="K338" s="3650"/>
      <c r="L338" s="3650"/>
      <c r="M338" s="7"/>
      <c r="N338" s="7"/>
      <c r="O338" s="7"/>
      <c r="P338" s="7"/>
      <c r="Q338" s="448"/>
      <c r="R338" s="434"/>
      <c r="T338" s="1285"/>
      <c r="U338" s="1285"/>
    </row>
    <row r="339" spans="1:21" s="43" customFormat="1" ht="10.5" customHeight="1">
      <c r="A339" s="42"/>
      <c r="B339" s="87" t="s">
        <v>1865</v>
      </c>
      <c r="C339" s="101"/>
      <c r="D339" s="87"/>
      <c r="E339" s="102"/>
      <c r="F339" s="1506"/>
      <c r="G339" s="1506"/>
      <c r="H339" s="1506"/>
      <c r="I339" s="1506"/>
      <c r="J339" s="1506"/>
      <c r="K339" s="1506"/>
      <c r="L339" s="1506"/>
      <c r="M339" s="1506"/>
      <c r="N339" s="75"/>
      <c r="O339" s="71"/>
      <c r="P339" s="1503"/>
      <c r="Q339" s="490"/>
    </row>
    <row r="340" spans="1:21" s="43" customFormat="1" ht="11.25" customHeight="1">
      <c r="A340" s="3602"/>
      <c r="B340" s="3603"/>
      <c r="C340" s="3603"/>
      <c r="D340" s="3603"/>
      <c r="E340" s="3603"/>
      <c r="F340" s="3603"/>
      <c r="G340" s="3603"/>
      <c r="H340" s="3603"/>
      <c r="I340" s="3603"/>
      <c r="J340" s="3603"/>
      <c r="K340" s="3603"/>
      <c r="L340" s="3603"/>
      <c r="M340" s="3603"/>
      <c r="N340" s="3603"/>
      <c r="O340" s="3603"/>
      <c r="P340" s="3604"/>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4051</v>
      </c>
      <c r="C342" s="89"/>
      <c r="D342" s="58"/>
      <c r="E342" s="52"/>
      <c r="G342" s="55"/>
      <c r="M342" s="1503">
        <v>2</v>
      </c>
      <c r="N342" s="6"/>
      <c r="O342" s="6"/>
      <c r="P342" s="1397">
        <f>P343+P351</f>
        <v>0</v>
      </c>
      <c r="Q342" s="112" t="s">
        <v>441</v>
      </c>
    </row>
    <row r="343" spans="1:21" s="43" customFormat="1" ht="12" customHeight="1">
      <c r="A343" s="142" t="s">
        <v>1982</v>
      </c>
      <c r="B343" s="184" t="s">
        <v>4052</v>
      </c>
      <c r="C343" s="89"/>
      <c r="D343" s="58"/>
      <c r="E343" s="52"/>
      <c r="G343" s="554">
        <f>'Part VIII-Threshold Criteria'!I361</f>
        <v>0</v>
      </c>
      <c r="J343" s="40" t="s">
        <v>2685</v>
      </c>
      <c r="L343" s="36"/>
      <c r="N343" s="527" t="s">
        <v>1982</v>
      </c>
      <c r="O343" s="526" t="str">
        <f>'Part I-Project Information'!$H$100</f>
        <v>No</v>
      </c>
      <c r="P343" s="614"/>
      <c r="Q343" s="112"/>
      <c r="R343" s="1327" t="s">
        <v>2705</v>
      </c>
    </row>
    <row r="344" spans="1:21" s="105" customFormat="1" ht="10.5" customHeight="1">
      <c r="A344" s="142"/>
      <c r="B344" s="432" t="s">
        <v>1985</v>
      </c>
      <c r="C344" s="36" t="s">
        <v>4952</v>
      </c>
      <c r="D344" s="33"/>
      <c r="N344" s="499" t="s">
        <v>4954</v>
      </c>
      <c r="O344" s="238"/>
      <c r="P344" s="617"/>
      <c r="R344" s="434"/>
    </row>
    <row r="345" spans="1:21" s="105" customFormat="1" ht="10.5" customHeight="1">
      <c r="A345" s="142"/>
      <c r="B345" s="432"/>
      <c r="C345" s="36" t="s">
        <v>4953</v>
      </c>
      <c r="D345" s="33"/>
      <c r="N345" s="499" t="s">
        <v>4955</v>
      </c>
      <c r="O345" s="422"/>
      <c r="P345" s="618"/>
      <c r="R345" s="434"/>
    </row>
    <row r="346" spans="1:21" s="105" customFormat="1" ht="10.5" customHeight="1">
      <c r="A346" s="142"/>
      <c r="B346" s="432" t="s">
        <v>1987</v>
      </c>
      <c r="C346" s="36" t="s">
        <v>4069</v>
      </c>
      <c r="D346" s="33"/>
      <c r="N346" s="1016" t="s">
        <v>1987</v>
      </c>
      <c r="O346" s="422"/>
      <c r="P346" s="618"/>
      <c r="R346" s="434"/>
    </row>
    <row r="347" spans="1:21" s="105" customFormat="1" ht="10.5" customHeight="1">
      <c r="A347" s="142"/>
      <c r="B347" s="432" t="s">
        <v>2533</v>
      </c>
      <c r="C347" s="36" t="s">
        <v>4956</v>
      </c>
      <c r="D347" s="33"/>
      <c r="N347" s="1016" t="s">
        <v>2533</v>
      </c>
      <c r="O347" s="422"/>
      <c r="P347" s="618"/>
      <c r="R347" s="434"/>
    </row>
    <row r="348" spans="1:21" s="105" customFormat="1" ht="10.5" customHeight="1">
      <c r="B348" s="432" t="s">
        <v>1224</v>
      </c>
      <c r="C348" s="36" t="s">
        <v>4881</v>
      </c>
      <c r="D348" s="33"/>
      <c r="N348" s="1016" t="s">
        <v>1224</v>
      </c>
      <c r="O348" s="422"/>
      <c r="P348" s="618"/>
      <c r="R348" s="434"/>
    </row>
    <row r="349" spans="1:21" s="105" customFormat="1" ht="10.5" customHeight="1">
      <c r="A349" s="142"/>
      <c r="B349" s="432" t="s">
        <v>1225</v>
      </c>
      <c r="C349" s="36" t="s">
        <v>4882</v>
      </c>
      <c r="D349" s="33"/>
      <c r="N349" s="1016" t="s">
        <v>1225</v>
      </c>
      <c r="O349" s="422"/>
      <c r="P349" s="618"/>
      <c r="R349" s="434"/>
    </row>
    <row r="350" spans="1:21" s="105" customFormat="1" ht="10.5" customHeight="1">
      <c r="A350" s="142"/>
      <c r="B350" s="432" t="s">
        <v>1880</v>
      </c>
      <c r="C350" s="36" t="s">
        <v>4070</v>
      </c>
      <c r="D350" s="33"/>
      <c r="N350" s="1016" t="s">
        <v>1880</v>
      </c>
      <c r="O350" s="239"/>
      <c r="P350" s="619"/>
      <c r="R350" s="434"/>
    </row>
    <row r="351" spans="1:21" s="43" customFormat="1" ht="12" customHeight="1">
      <c r="A351" s="142" t="s">
        <v>1984</v>
      </c>
      <c r="B351" s="184" t="s">
        <v>4053</v>
      </c>
      <c r="C351" s="89"/>
      <c r="D351" s="58"/>
      <c r="E351" s="52"/>
      <c r="G351" s="554">
        <f>'Part I-Project Information'!D165</f>
        <v>0</v>
      </c>
      <c r="I351" s="554"/>
      <c r="L351" s="1456"/>
      <c r="M351" s="1456"/>
      <c r="N351" s="527" t="s">
        <v>1984</v>
      </c>
      <c r="P351" s="614"/>
      <c r="Q351" s="112"/>
      <c r="R351" s="1327" t="s">
        <v>2705</v>
      </c>
    </row>
    <row r="352" spans="1:21" s="105" customFormat="1" ht="10.5" customHeight="1">
      <c r="A352" s="158"/>
      <c r="B352" s="432" t="s">
        <v>1985</v>
      </c>
      <c r="C352" s="36" t="s">
        <v>4952</v>
      </c>
      <c r="D352" s="52"/>
      <c r="E352" s="52"/>
      <c r="M352" s="1503"/>
      <c r="N352" s="499" t="s">
        <v>4954</v>
      </c>
      <c r="O352" s="238"/>
      <c r="P352" s="617"/>
      <c r="Q352" s="112"/>
    </row>
    <row r="353" spans="1:18" s="105" customFormat="1" ht="10.5" customHeight="1">
      <c r="A353" s="142"/>
      <c r="B353" s="432"/>
      <c r="C353" s="36" t="s">
        <v>4957</v>
      </c>
      <c r="D353" s="33"/>
      <c r="N353" s="499" t="s">
        <v>4955</v>
      </c>
      <c r="O353" s="422"/>
      <c r="P353" s="618"/>
      <c r="R353" s="434"/>
    </row>
    <row r="354" spans="1:18" s="105" customFormat="1" ht="10.5" customHeight="1">
      <c r="A354" s="142"/>
      <c r="B354" s="432" t="s">
        <v>1987</v>
      </c>
      <c r="C354" s="36" t="s">
        <v>4082</v>
      </c>
      <c r="D354" s="33"/>
      <c r="N354" s="1016" t="s">
        <v>1987</v>
      </c>
      <c r="O354" s="422"/>
      <c r="P354" s="618"/>
      <c r="R354" s="434"/>
    </row>
    <row r="355" spans="1:18" s="105" customFormat="1" ht="10.5" customHeight="1">
      <c r="B355" s="432" t="s">
        <v>2533</v>
      </c>
      <c r="C355" s="36" t="s">
        <v>4070</v>
      </c>
      <c r="D355" s="33"/>
      <c r="N355" s="1016" t="s">
        <v>2533</v>
      </c>
      <c r="O355" s="239"/>
      <c r="P355" s="619"/>
      <c r="R355" s="434"/>
    </row>
    <row r="356" spans="1:18" s="43" customFormat="1" ht="10.5" customHeight="1">
      <c r="B356" s="87" t="s">
        <v>1865</v>
      </c>
      <c r="C356" s="101"/>
      <c r="D356" s="87"/>
      <c r="E356" s="102"/>
      <c r="F356" s="1506"/>
      <c r="G356" s="1506"/>
      <c r="H356" s="1506"/>
      <c r="I356" s="1506"/>
      <c r="J356" s="1506"/>
      <c r="K356" s="1506"/>
      <c r="L356" s="1506"/>
      <c r="M356" s="1506"/>
      <c r="N356" s="75"/>
      <c r="O356" s="71"/>
      <c r="P356" s="1503"/>
      <c r="Q356" s="490"/>
    </row>
    <row r="357" spans="1:18" s="43" customFormat="1" ht="11.25" customHeight="1">
      <c r="A357" s="3602"/>
      <c r="B357" s="3603"/>
      <c r="C357" s="3603"/>
      <c r="D357" s="3603"/>
      <c r="E357" s="3603"/>
      <c r="F357" s="3603"/>
      <c r="G357" s="3603"/>
      <c r="H357" s="3603"/>
      <c r="I357" s="3603"/>
      <c r="J357" s="3603"/>
      <c r="K357" s="3603"/>
      <c r="L357" s="3603"/>
      <c r="M357" s="3603"/>
      <c r="N357" s="3603"/>
      <c r="O357" s="3603"/>
      <c r="P357" s="3604"/>
      <c r="Q357" s="509"/>
    </row>
    <row r="358" spans="1:18" ht="2.25" customHeight="1" thickBot="1"/>
    <row r="359" spans="1:18" s="63" customFormat="1" ht="12.6" customHeight="1" thickBot="1">
      <c r="A359" s="158" t="s">
        <v>2781</v>
      </c>
      <c r="B359" s="108" t="s">
        <v>4054</v>
      </c>
      <c r="H359" s="527" t="s">
        <v>3576</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4081" t="s">
        <v>4883</v>
      </c>
      <c r="J360" s="4081"/>
      <c r="K360" s="4081"/>
      <c r="L360" s="4081"/>
      <c r="M360" s="4081"/>
      <c r="N360" s="4081"/>
      <c r="O360" s="4081"/>
      <c r="P360" s="4081"/>
      <c r="R360" s="434"/>
    </row>
    <row r="361" spans="1:18" s="63" customFormat="1" ht="12" customHeight="1">
      <c r="A361" s="1022"/>
      <c r="B361" s="3650" t="s">
        <v>4926</v>
      </c>
      <c r="C361" s="3650"/>
      <c r="D361" s="3650"/>
      <c r="E361" s="3650"/>
      <c r="F361" s="3650"/>
      <c r="G361" s="3650"/>
      <c r="H361" s="3809"/>
      <c r="I361" s="4079">
        <v>1</v>
      </c>
      <c r="J361" s="4079"/>
      <c r="K361" s="4079"/>
      <c r="L361" s="4079">
        <v>4</v>
      </c>
      <c r="M361" s="4079"/>
      <c r="N361" s="4079"/>
      <c r="O361" s="4079"/>
      <c r="P361" s="4079"/>
      <c r="R361" s="434"/>
    </row>
    <row r="362" spans="1:18" s="63" customFormat="1" ht="12" customHeight="1">
      <c r="A362" s="1022"/>
      <c r="B362" s="3650"/>
      <c r="C362" s="3650"/>
      <c r="D362" s="3650"/>
      <c r="E362" s="3650"/>
      <c r="F362" s="3650"/>
      <c r="G362" s="3650"/>
      <c r="H362" s="3809"/>
      <c r="I362" s="4080">
        <v>2</v>
      </c>
      <c r="J362" s="4080"/>
      <c r="K362" s="4080"/>
      <c r="L362" s="4080">
        <v>5</v>
      </c>
      <c r="M362" s="4080"/>
      <c r="N362" s="4080"/>
      <c r="O362" s="4080"/>
      <c r="P362" s="4080"/>
      <c r="R362" s="434"/>
    </row>
    <row r="363" spans="1:18" s="63" customFormat="1" ht="12" customHeight="1">
      <c r="A363" s="2496"/>
      <c r="B363" s="3650"/>
      <c r="C363" s="3650"/>
      <c r="D363" s="3650"/>
      <c r="E363" s="3650"/>
      <c r="F363" s="3650"/>
      <c r="G363" s="3650"/>
      <c r="H363" s="3809"/>
      <c r="I363" s="4154">
        <v>3</v>
      </c>
      <c r="J363" s="4154"/>
      <c r="K363" s="4154"/>
      <c r="L363" s="4154">
        <v>6</v>
      </c>
      <c r="M363" s="4154"/>
      <c r="N363" s="4154"/>
      <c r="O363" s="4154"/>
      <c r="P363" s="4154"/>
      <c r="R363" s="434"/>
    </row>
    <row r="364" spans="1:18" s="105" customFormat="1" ht="10.5" customHeight="1" thickBot="1">
      <c r="A364" s="42"/>
      <c r="B364" s="1488" t="s">
        <v>3754</v>
      </c>
      <c r="C364" s="42"/>
      <c r="D364" s="48"/>
      <c r="E364" s="48"/>
      <c r="F364" s="48"/>
      <c r="G364" s="48"/>
      <c r="H364" s="36"/>
      <c r="I364" s="36"/>
      <c r="J364" s="36"/>
      <c r="K364" s="36"/>
      <c r="M364" s="46"/>
      <c r="N364" s="6"/>
      <c r="O364" s="3"/>
      <c r="P364" s="1503"/>
    </row>
    <row r="365" spans="1:18" s="43" customFormat="1" ht="21.75" customHeight="1" thickTop="1" thickBot="1">
      <c r="A365" s="3869"/>
      <c r="B365" s="3870"/>
      <c r="C365" s="3870"/>
      <c r="D365" s="3870"/>
      <c r="E365" s="3870"/>
      <c r="F365" s="3870"/>
      <c r="G365" s="3870"/>
      <c r="H365" s="3870"/>
      <c r="I365" s="3870"/>
      <c r="J365" s="3870"/>
      <c r="K365" s="3870"/>
      <c r="L365" s="3870"/>
      <c r="M365" s="3870"/>
      <c r="N365" s="3870"/>
      <c r="O365" s="3870"/>
      <c r="P365" s="3871"/>
      <c r="Q365" s="1291" t="s">
        <v>1254</v>
      </c>
    </row>
    <row r="366" spans="1:18" s="105" customFormat="1" ht="10.5" customHeight="1" thickTop="1">
      <c r="A366" s="42"/>
      <c r="B366" s="100" t="s">
        <v>1865</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2"/>
      <c r="B367" s="3603"/>
      <c r="C367" s="3603"/>
      <c r="D367" s="3603"/>
      <c r="E367" s="3603"/>
      <c r="F367" s="3603"/>
      <c r="G367" s="3603"/>
      <c r="H367" s="3603"/>
      <c r="I367" s="3603"/>
      <c r="J367" s="3603"/>
      <c r="K367" s="3603"/>
      <c r="L367" s="3603"/>
      <c r="M367" s="3603"/>
      <c r="N367" s="3603"/>
      <c r="O367" s="3603"/>
      <c r="P367" s="3604"/>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2250</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3614</v>
      </c>
      <c r="D370" s="90"/>
      <c r="E370" s="90"/>
      <c r="G370" s="52"/>
      <c r="I370" s="3467" t="s">
        <v>2521</v>
      </c>
      <c r="J370" s="3468"/>
      <c r="K370" s="3468"/>
      <c r="L370" s="3469"/>
      <c r="M370" s="494"/>
      <c r="N370" s="454"/>
      <c r="Q370" s="1179"/>
      <c r="R370" s="1327" t="s">
        <v>2705</v>
      </c>
    </row>
    <row r="371" spans="1:18" s="43" customFormat="1" ht="11.25" customHeight="1">
      <c r="A371" s="142"/>
      <c r="B371" s="432" t="s">
        <v>1985</v>
      </c>
      <c r="C371" s="55" t="s">
        <v>4899</v>
      </c>
      <c r="D371" s="90"/>
      <c r="E371" s="55" t="s">
        <v>4900</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4901</v>
      </c>
      <c r="G372" s="52"/>
      <c r="H372" s="1346"/>
      <c r="I372" s="55"/>
      <c r="J372" s="55"/>
      <c r="K372" s="55"/>
      <c r="L372" s="2514"/>
      <c r="M372" s="682"/>
      <c r="N372" s="2514"/>
      <c r="O372" s="239"/>
      <c r="P372" s="619"/>
      <c r="Q372" s="2515"/>
      <c r="R372" s="1327"/>
    </row>
    <row r="373" spans="1:18" s="43" customFormat="1" ht="11.25" customHeight="1">
      <c r="B373" s="432" t="s">
        <v>1987</v>
      </c>
      <c r="C373" s="40" t="s">
        <v>4902</v>
      </c>
      <c r="D373" s="105"/>
      <c r="E373" s="90"/>
      <c r="F373" s="52"/>
      <c r="G373" s="52"/>
      <c r="N373" s="527" t="s">
        <v>1982</v>
      </c>
      <c r="O373" s="1456" t="s">
        <v>2509</v>
      </c>
      <c r="P373" s="1456" t="s">
        <v>2509</v>
      </c>
    </row>
    <row r="374" spans="1:18" s="121" customFormat="1" ht="10.5" customHeight="1">
      <c r="B374" s="433" t="s">
        <v>2434</v>
      </c>
      <c r="C374" s="497" t="s">
        <v>4055</v>
      </c>
      <c r="H374" s="39"/>
      <c r="I374" s="39"/>
      <c r="J374" s="39"/>
      <c r="K374" s="39"/>
      <c r="N374" s="433" t="s">
        <v>2434</v>
      </c>
      <c r="O374" s="238"/>
      <c r="P374" s="617"/>
    </row>
    <row r="375" spans="1:18" s="121" customFormat="1" ht="10.5" customHeight="1">
      <c r="B375" s="447" t="s">
        <v>2435</v>
      </c>
      <c r="C375" s="497" t="s">
        <v>4056</v>
      </c>
      <c r="N375" s="447" t="s">
        <v>2435</v>
      </c>
      <c r="O375" s="422"/>
      <c r="P375" s="618"/>
    </row>
    <row r="376" spans="1:18" s="121" customFormat="1" ht="10.5" customHeight="1">
      <c r="B376" s="433" t="s">
        <v>2436</v>
      </c>
      <c r="C376" s="497" t="s">
        <v>4884</v>
      </c>
      <c r="N376" s="433" t="s">
        <v>2436</v>
      </c>
      <c r="O376" s="239"/>
      <c r="P376" s="619"/>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3754</v>
      </c>
      <c r="C379" s="42"/>
      <c r="D379" s="48"/>
      <c r="E379" s="48"/>
      <c r="F379" s="48"/>
      <c r="G379" s="48"/>
      <c r="H379" s="36"/>
      <c r="I379" s="36"/>
      <c r="J379" s="36"/>
      <c r="K379" s="36"/>
      <c r="M379" s="46"/>
      <c r="N379" s="6"/>
      <c r="O379" s="3"/>
      <c r="P379" s="1503"/>
    </row>
    <row r="380" spans="1:18" s="43" customFormat="1" ht="21.75" customHeight="1" thickTop="1" thickBot="1">
      <c r="A380" s="3869"/>
      <c r="B380" s="3870"/>
      <c r="C380" s="3870"/>
      <c r="D380" s="3870"/>
      <c r="E380" s="3870"/>
      <c r="F380" s="3870"/>
      <c r="G380" s="3870"/>
      <c r="H380" s="3870"/>
      <c r="I380" s="3870"/>
      <c r="J380" s="3870"/>
      <c r="K380" s="3870"/>
      <c r="L380" s="3870"/>
      <c r="M380" s="3870"/>
      <c r="N380" s="3870"/>
      <c r="O380" s="3870"/>
      <c r="P380" s="3871"/>
      <c r="Q380" s="1291" t="s">
        <v>1254</v>
      </c>
    </row>
    <row r="381" spans="1:18" s="105" customFormat="1" ht="10.5" customHeight="1" thickTop="1">
      <c r="A381" s="42"/>
      <c r="B381" s="100" t="s">
        <v>1865</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2"/>
      <c r="B382" s="3603"/>
      <c r="C382" s="3603"/>
      <c r="D382" s="3603"/>
      <c r="E382" s="3603"/>
      <c r="F382" s="3603"/>
      <c r="G382" s="3603"/>
      <c r="H382" s="3603"/>
      <c r="I382" s="3603"/>
      <c r="J382" s="3603"/>
      <c r="K382" s="3603"/>
      <c r="L382" s="3603"/>
      <c r="M382" s="3603"/>
      <c r="N382" s="3603"/>
      <c r="O382" s="3603"/>
      <c r="P382" s="3604"/>
      <c r="Q382" s="509"/>
    </row>
    <row r="383" spans="1:18" ht="3" customHeight="1" thickBot="1"/>
    <row r="384" spans="1:18" s="43" customFormat="1" ht="12.75" customHeight="1" thickBot="1">
      <c r="A384" s="157" t="s">
        <v>4100</v>
      </c>
      <c r="B384" s="108" t="s">
        <v>4061</v>
      </c>
      <c r="D384" s="90"/>
      <c r="E384" s="90"/>
      <c r="F384" s="52"/>
      <c r="G384" s="52"/>
      <c r="H384" s="184" t="s">
        <v>2793</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4886</v>
      </c>
      <c r="E385" s="90"/>
      <c r="F385" s="52"/>
      <c r="G385" s="52"/>
      <c r="H385" s="52"/>
      <c r="I385" s="52"/>
      <c r="J385" s="54"/>
      <c r="K385" s="60"/>
      <c r="L385" s="56"/>
      <c r="O385" s="589" t="s">
        <v>2509</v>
      </c>
      <c r="P385" s="589" t="s">
        <v>2509</v>
      </c>
    </row>
    <row r="386" spans="1:19" s="103" customFormat="1" ht="12.75" customHeight="1">
      <c r="B386" s="433" t="s">
        <v>2434</v>
      </c>
      <c r="C386" s="138" t="s">
        <v>2827</v>
      </c>
      <c r="E386" s="90"/>
      <c r="F386" s="52"/>
      <c r="G386" s="52"/>
      <c r="H386" s="52"/>
      <c r="I386" s="52"/>
      <c r="J386" s="54"/>
      <c r="K386" s="60"/>
      <c r="L386" s="4052" t="str">
        <f>IF(OR(O386="No",O386="",O387="No",O387="",O388="No",O388="",O389="No",O389=""),"Unmet criterion results in no points!","")</f>
        <v>Unmet criterion results in no points!</v>
      </c>
      <c r="M386" s="4052"/>
      <c r="N386" s="433" t="s">
        <v>2434</v>
      </c>
      <c r="O386" s="238"/>
      <c r="P386" s="617"/>
      <c r="R386" s="4069" t="str">
        <f>IF(OR(P386="No",P386="",P387="No",P387="",P388="No",P388="",P389="No",P389=""),"Unmet criterion results in no points!","")</f>
        <v>Unmet criterion results in no points!</v>
      </c>
      <c r="S386" s="4069" t="e">
        <f>IF(OR(V386="No",V386="",V387="No",V387="",V388="No",V388="",V389="No",V389="",#REF!="No",#REF!="",#REF!="No",#REF!=""),"Unmet criterion results in no points!","")</f>
        <v>#REF!</v>
      </c>
    </row>
    <row r="387" spans="1:19" s="103" customFormat="1" ht="12.75" customHeight="1">
      <c r="B387" s="433" t="s">
        <v>2435</v>
      </c>
      <c r="C387" s="138" t="s">
        <v>3808</v>
      </c>
      <c r="L387" s="4052"/>
      <c r="M387" s="4052"/>
      <c r="N387" s="433" t="s">
        <v>2435</v>
      </c>
      <c r="O387" s="422"/>
      <c r="P387" s="618"/>
      <c r="R387" s="4069"/>
      <c r="S387" s="4069"/>
    </row>
    <row r="388" spans="1:19" s="103" customFormat="1" ht="12.75" customHeight="1">
      <c r="B388" s="433" t="s">
        <v>2436</v>
      </c>
      <c r="C388" s="138" t="s">
        <v>3807</v>
      </c>
      <c r="L388" s="4052"/>
      <c r="M388" s="4052"/>
      <c r="N388" s="433" t="s">
        <v>2436</v>
      </c>
      <c r="O388" s="422"/>
      <c r="P388" s="618"/>
      <c r="R388" s="4069"/>
      <c r="S388" s="4069"/>
    </row>
    <row r="389" spans="1:19" s="103" customFormat="1" ht="33.75" customHeight="1">
      <c r="B389" s="447" t="s">
        <v>2437</v>
      </c>
      <c r="C389" s="3922" t="s">
        <v>4885</v>
      </c>
      <c r="D389" s="3922"/>
      <c r="E389" s="3922"/>
      <c r="F389" s="3922"/>
      <c r="G389" s="3922"/>
      <c r="H389" s="3922"/>
      <c r="I389" s="3922"/>
      <c r="J389" s="3922"/>
      <c r="K389" s="3922"/>
      <c r="L389" s="3922"/>
      <c r="M389" s="3922"/>
      <c r="N389" s="447" t="s">
        <v>2437</v>
      </c>
      <c r="O389" s="1447"/>
      <c r="P389" s="1448"/>
    </row>
    <row r="390" spans="1:19" ht="3" customHeight="1">
      <c r="C390" s="3922"/>
      <c r="D390" s="3922"/>
      <c r="E390" s="3922"/>
      <c r="F390" s="3922"/>
      <c r="G390" s="3922"/>
      <c r="H390" s="3922"/>
      <c r="I390" s="3922"/>
      <c r="J390" s="3922"/>
      <c r="K390" s="3922"/>
      <c r="L390" s="3922"/>
      <c r="M390" s="3922"/>
    </row>
    <row r="391" spans="1:19" ht="12.75" customHeight="1">
      <c r="A391" s="1198" t="s">
        <v>1982</v>
      </c>
      <c r="B391" s="197" t="s">
        <v>4063</v>
      </c>
      <c r="L391" s="434" t="str">
        <f>IF(OR($O391=$M391,$O391=0,$O391=""),"","* * Check Score! * *")</f>
        <v/>
      </c>
      <c r="M391" s="1372">
        <v>3</v>
      </c>
      <c r="N391" s="527" t="s">
        <v>1982</v>
      </c>
      <c r="O391" s="682"/>
      <c r="P391" s="979"/>
      <c r="Q391" s="1179" t="str">
        <f>IF(OR($O391=$M391,$O391=0,$O391=""),"","*CHECK!*")</f>
        <v/>
      </c>
      <c r="R391" s="1327" t="s">
        <v>2705</v>
      </c>
    </row>
    <row r="392" spans="1:19" ht="12.75" customHeight="1">
      <c r="A392" s="1198"/>
      <c r="B392" s="674" t="s">
        <v>1985</v>
      </c>
      <c r="C392" s="1182" t="s">
        <v>4888</v>
      </c>
      <c r="D392" s="1182"/>
      <c r="E392" s="1182"/>
      <c r="F392" s="1182"/>
      <c r="G392" s="1182"/>
      <c r="H392" s="1182"/>
      <c r="I392" s="1182"/>
      <c r="N392" s="27"/>
      <c r="O392" s="27"/>
      <c r="P392" s="27"/>
    </row>
    <row r="393" spans="1:19" ht="12.75" customHeight="1">
      <c r="A393" s="1198"/>
      <c r="B393" s="504"/>
      <c r="C393" s="1182" t="s">
        <v>4887</v>
      </c>
      <c r="D393" s="1182"/>
      <c r="E393" s="1182"/>
      <c r="F393" s="1182"/>
      <c r="G393" s="1182"/>
      <c r="H393" s="1182"/>
      <c r="I393" s="1182"/>
      <c r="J393" s="4051" t="s">
        <v>1989</v>
      </c>
      <c r="K393" s="4051"/>
      <c r="M393" s="4051" t="s">
        <v>1989</v>
      </c>
      <c r="N393" s="4051"/>
      <c r="O393" s="4051"/>
      <c r="P393" s="4051"/>
    </row>
    <row r="394" spans="1:19" s="43" customFormat="1" ht="12.75" customHeight="1">
      <c r="A394" s="195"/>
      <c r="B394" s="433" t="s">
        <v>2434</v>
      </c>
      <c r="C394" s="36" t="s">
        <v>1482</v>
      </c>
      <c r="I394" s="433" t="s">
        <v>2434</v>
      </c>
      <c r="J394" s="4163"/>
      <c r="K394" s="4164"/>
      <c r="L394" s="433" t="s">
        <v>2434</v>
      </c>
      <c r="M394" s="4046"/>
      <c r="N394" s="4047"/>
      <c r="O394" s="4047"/>
      <c r="P394" s="4048"/>
      <c r="R394" s="434"/>
    </row>
    <row r="395" spans="1:19" ht="12.75" customHeight="1">
      <c r="A395" s="196"/>
      <c r="B395" s="447" t="s">
        <v>2435</v>
      </c>
      <c r="C395" s="36" t="s">
        <v>3621</v>
      </c>
      <c r="I395" s="447" t="s">
        <v>2435</v>
      </c>
      <c r="J395" s="4049"/>
      <c r="K395" s="4050"/>
      <c r="L395" s="447" t="s">
        <v>2435</v>
      </c>
      <c r="M395" s="4043"/>
      <c r="N395" s="4044"/>
      <c r="O395" s="4044"/>
      <c r="P395" s="4045"/>
      <c r="R395" s="434"/>
    </row>
    <row r="396" spans="1:19" ht="12.75" customHeight="1">
      <c r="B396" s="433" t="s">
        <v>2436</v>
      </c>
      <c r="C396" s="36" t="s">
        <v>2625</v>
      </c>
      <c r="I396" s="433" t="s">
        <v>2436</v>
      </c>
      <c r="J396" s="4049"/>
      <c r="K396" s="4050"/>
      <c r="L396" s="433" t="s">
        <v>2436</v>
      </c>
      <c r="M396" s="4043"/>
      <c r="N396" s="4044"/>
      <c r="O396" s="4044"/>
      <c r="P396" s="4045"/>
      <c r="R396" s="434"/>
    </row>
    <row r="397" spans="1:19" ht="12.75" customHeight="1">
      <c r="A397" s="196"/>
      <c r="B397" s="433" t="s">
        <v>2437</v>
      </c>
      <c r="C397" s="36" t="s">
        <v>3460</v>
      </c>
      <c r="I397" s="433" t="s">
        <v>2437</v>
      </c>
      <c r="J397" s="4049"/>
      <c r="K397" s="4050"/>
      <c r="L397" s="433" t="s">
        <v>2437</v>
      </c>
      <c r="M397" s="4043"/>
      <c r="N397" s="4044"/>
      <c r="O397" s="4044"/>
      <c r="P397" s="4045"/>
      <c r="R397" s="434"/>
    </row>
    <row r="398" spans="1:19" s="43" customFormat="1" ht="12.75" customHeight="1">
      <c r="A398" s="195"/>
      <c r="B398" s="447" t="s">
        <v>2438</v>
      </c>
      <c r="C398" s="36" t="s">
        <v>2730</v>
      </c>
      <c r="I398" s="447" t="s">
        <v>2438</v>
      </c>
      <c r="J398" s="4049"/>
      <c r="K398" s="4050"/>
      <c r="L398" s="447" t="s">
        <v>2438</v>
      </c>
      <c r="M398" s="4043"/>
      <c r="N398" s="4044"/>
      <c r="O398" s="4044"/>
      <c r="P398" s="4045"/>
      <c r="R398" s="434"/>
    </row>
    <row r="399" spans="1:19" ht="12.75" customHeight="1">
      <c r="B399" s="433" t="s">
        <v>2454</v>
      </c>
      <c r="C399" s="36" t="s">
        <v>1481</v>
      </c>
      <c r="I399" s="433" t="s">
        <v>2454</v>
      </c>
      <c r="J399" s="4049"/>
      <c r="K399" s="4050"/>
      <c r="L399" s="433" t="s">
        <v>2454</v>
      </c>
      <c r="M399" s="4043"/>
      <c r="N399" s="4044"/>
      <c r="O399" s="4044"/>
      <c r="P399" s="4045"/>
      <c r="R399" s="434"/>
    </row>
    <row r="400" spans="1:19" ht="12.75" customHeight="1">
      <c r="A400" s="196"/>
      <c r="B400" s="433" t="s">
        <v>2455</v>
      </c>
      <c r="C400" s="36" t="s">
        <v>3619</v>
      </c>
      <c r="I400" s="433" t="s">
        <v>2455</v>
      </c>
      <c r="J400" s="4049"/>
      <c r="K400" s="4050"/>
      <c r="L400" s="433" t="s">
        <v>2455</v>
      </c>
      <c r="M400" s="4043"/>
      <c r="N400" s="4044"/>
      <c r="O400" s="4044"/>
      <c r="P400" s="4045"/>
      <c r="R400" s="434"/>
    </row>
    <row r="401" spans="1:23" ht="12.75" customHeight="1">
      <c r="B401" s="446" t="s">
        <v>2456</v>
      </c>
      <c r="C401" s="36" t="s">
        <v>4889</v>
      </c>
      <c r="I401" s="446" t="s">
        <v>2456</v>
      </c>
      <c r="J401" s="4049"/>
      <c r="K401" s="4050"/>
      <c r="L401" s="446" t="s">
        <v>2456</v>
      </c>
      <c r="M401" s="4043"/>
      <c r="N401" s="4044"/>
      <c r="O401" s="4044"/>
      <c r="P401" s="4045"/>
      <c r="R401" s="434"/>
    </row>
    <row r="402" spans="1:23" ht="12.75" customHeight="1">
      <c r="B402" s="446" t="s">
        <v>2457</v>
      </c>
      <c r="C402" s="36" t="s">
        <v>4890</v>
      </c>
      <c r="I402" s="446" t="s">
        <v>2457</v>
      </c>
      <c r="J402" s="4049"/>
      <c r="K402" s="4050"/>
      <c r="L402" s="446" t="s">
        <v>2457</v>
      </c>
      <c r="M402" s="4043"/>
      <c r="N402" s="4044"/>
      <c r="O402" s="4044"/>
      <c r="P402" s="4045"/>
      <c r="R402" s="434"/>
    </row>
    <row r="403" spans="1:23" ht="12.75" customHeight="1" thickBot="1">
      <c r="B403" s="446" t="s">
        <v>3622</v>
      </c>
      <c r="C403" s="36" t="s">
        <v>4891</v>
      </c>
      <c r="I403" s="446" t="s">
        <v>3622</v>
      </c>
      <c r="J403" s="4049"/>
      <c r="K403" s="4050"/>
      <c r="L403" s="446" t="s">
        <v>3622</v>
      </c>
      <c r="M403" s="4108"/>
      <c r="N403" s="4109"/>
      <c r="O403" s="4109"/>
      <c r="P403" s="4110"/>
      <c r="R403" s="434"/>
    </row>
    <row r="404" spans="1:23" ht="12.75" customHeight="1" thickBot="1">
      <c r="B404" s="1454" t="s">
        <v>4892</v>
      </c>
      <c r="H404" s="1487" t="s">
        <v>2627</v>
      </c>
      <c r="J404" s="4056">
        <f>SUM(J394:K403)</f>
        <v>0</v>
      </c>
      <c r="K404" s="4057"/>
      <c r="M404" s="4056">
        <f>SUM($M394:$M403)</f>
        <v>0</v>
      </c>
      <c r="N404" s="4058"/>
      <c r="O404" s="4058"/>
      <c r="P404" s="4057"/>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1987</v>
      </c>
      <c r="C406" s="588" t="s">
        <v>2626</v>
      </c>
      <c r="M406" s="573"/>
      <c r="N406" s="573"/>
      <c r="O406" s="163"/>
      <c r="P406" s="573"/>
    </row>
    <row r="407" spans="1:23" s="43" customFormat="1" ht="12" customHeight="1">
      <c r="A407" s="42"/>
      <c r="C407" s="4150" t="s">
        <v>5035</v>
      </c>
      <c r="D407" s="4150"/>
      <c r="E407" s="4150"/>
      <c r="F407" s="497" t="s">
        <v>4934</v>
      </c>
      <c r="H407" s="27"/>
      <c r="I407" s="2503"/>
      <c r="J407" s="4096">
        <f>'Part IV-A-Uses of Funds'!$G$132</f>
        <v>32698126.5</v>
      </c>
      <c r="K407" s="4097"/>
      <c r="L407" s="632"/>
      <c r="M407" s="573"/>
      <c r="N407" s="573"/>
      <c r="O407" s="1358"/>
      <c r="P407" s="573"/>
    </row>
    <row r="408" spans="1:23" ht="12.75" customHeight="1">
      <c r="C408" s="4150"/>
      <c r="D408" s="4150"/>
      <c r="E408" s="4150"/>
      <c r="F408" s="501" t="s">
        <v>4933</v>
      </c>
      <c r="I408" s="2504"/>
      <c r="J408" s="4103">
        <f>IF($J407=0,0,$J404/$J407)</f>
        <v>0</v>
      </c>
      <c r="K408" s="4104"/>
      <c r="M408" s="4105">
        <f>IF($J407=0,0,$M404/$J407)</f>
        <v>0</v>
      </c>
      <c r="N408" s="4106"/>
      <c r="O408" s="4106"/>
      <c r="P408" s="4107"/>
    </row>
    <row r="409" spans="1:23" s="43" customFormat="1" ht="12.75" customHeight="1">
      <c r="C409" s="4150"/>
      <c r="D409" s="4150"/>
      <c r="E409" s="4150"/>
      <c r="F409" s="1266" t="s">
        <v>4932</v>
      </c>
      <c r="I409" s="2505"/>
      <c r="J409" s="4100">
        <f>IF(L386="", IF($J408&gt;=0.1, 3,IF($J408&gt;=0.05, 2,IF($J408&gt;=0.02,1,0))),0)</f>
        <v>0</v>
      </c>
      <c r="K409" s="4102"/>
      <c r="L409" s="586"/>
      <c r="M409" s="4100">
        <f>IF(R386="", IF($M408&gt;=0.1, 3,IF($M408&gt;=0.05, 2,IF($M408&gt;=0.02,1,0))),0)</f>
        <v>0</v>
      </c>
      <c r="N409" s="4101"/>
      <c r="O409" s="4101"/>
      <c r="P409" s="4102"/>
    </row>
    <row r="410" spans="1:23" ht="3" customHeight="1" thickBot="1"/>
    <row r="411" spans="1:23" s="105" customFormat="1" ht="12.75" customHeight="1" thickBot="1">
      <c r="A411" s="142" t="s">
        <v>1984</v>
      </c>
      <c r="B411" s="199" t="s">
        <v>3623</v>
      </c>
      <c r="D411" s="39"/>
      <c r="E411" s="36"/>
      <c r="F411" s="1011"/>
      <c r="H411" s="36"/>
      <c r="I411" s="1011"/>
      <c r="J411" s="1021"/>
      <c r="K411" s="1021"/>
      <c r="L411" s="434" t="str">
        <f>IF(OR($O411=$M411,$O411=0,$O411=""),"","* * Check Score! * *")</f>
        <v/>
      </c>
      <c r="M411" s="678">
        <v>1</v>
      </c>
      <c r="N411" s="65" t="s">
        <v>1984</v>
      </c>
      <c r="O411" s="1399"/>
      <c r="P411" s="1367"/>
      <c r="Q411" s="112" t="s">
        <v>441</v>
      </c>
      <c r="R411" s="1327" t="s">
        <v>2705</v>
      </c>
      <c r="V411" s="1285"/>
      <c r="W411" s="1285"/>
    </row>
    <row r="412" spans="1:23" s="43" customFormat="1" ht="22.5" customHeight="1">
      <c r="A412" s="142"/>
      <c r="B412" s="1188" t="s">
        <v>2434</v>
      </c>
      <c r="C412" s="3650" t="s">
        <v>4065</v>
      </c>
      <c r="D412" s="3650"/>
      <c r="E412" s="3650"/>
      <c r="F412" s="3650"/>
      <c r="G412" s="3650"/>
      <c r="H412" s="3650"/>
      <c r="I412" s="3650"/>
      <c r="J412" s="3650"/>
      <c r="K412" s="3650"/>
      <c r="L412" s="3650"/>
      <c r="M412" s="3650"/>
      <c r="N412" s="447" t="s">
        <v>2434</v>
      </c>
      <c r="O412" s="1265"/>
      <c r="P412" s="1398"/>
      <c r="V412" s="1285"/>
      <c r="W412" s="1285"/>
    </row>
    <row r="413" spans="1:23" s="43" customFormat="1" ht="12.75" customHeight="1">
      <c r="A413" s="142"/>
      <c r="B413" s="433" t="s">
        <v>2435</v>
      </c>
      <c r="C413" s="52" t="s">
        <v>3800</v>
      </c>
      <c r="D413" s="52"/>
      <c r="E413" s="52"/>
      <c r="F413" s="52"/>
      <c r="G413" s="52"/>
      <c r="H413" s="52"/>
      <c r="I413" s="52"/>
      <c r="J413" s="52"/>
      <c r="K413" s="52"/>
      <c r="M413" s="52"/>
      <c r="N413" s="447" t="s">
        <v>2435</v>
      </c>
      <c r="O413" s="239"/>
      <c r="P413" s="619"/>
      <c r="V413" s="1285"/>
      <c r="W413" s="1285"/>
    </row>
    <row r="414" spans="1:23" ht="12.75" customHeight="1">
      <c r="B414" s="433" t="s">
        <v>2436</v>
      </c>
      <c r="C414" s="495" t="s">
        <v>4893</v>
      </c>
      <c r="N414" s="433" t="s">
        <v>2436</v>
      </c>
      <c r="O414" s="239"/>
      <c r="P414" s="619"/>
    </row>
    <row r="415" spans="1:23" ht="12" customHeight="1" thickBot="1">
      <c r="B415" s="1488" t="s">
        <v>3754</v>
      </c>
    </row>
    <row r="416" spans="1:23" s="43" customFormat="1" ht="21.75" customHeight="1" thickTop="1" thickBot="1">
      <c r="A416" s="3869"/>
      <c r="B416" s="3870"/>
      <c r="C416" s="3870"/>
      <c r="D416" s="3870"/>
      <c r="E416" s="3870"/>
      <c r="F416" s="3870"/>
      <c r="G416" s="3870"/>
      <c r="H416" s="3870"/>
      <c r="I416" s="3870"/>
      <c r="J416" s="3870"/>
      <c r="K416" s="3870"/>
      <c r="L416" s="3870"/>
      <c r="M416" s="3870"/>
      <c r="N416" s="3870"/>
      <c r="O416" s="3870"/>
      <c r="P416" s="3871"/>
      <c r="Q416" s="1291" t="s">
        <v>1254</v>
      </c>
    </row>
    <row r="417" spans="1:19" s="105" customFormat="1" ht="11.25" customHeight="1" thickTop="1">
      <c r="A417" s="42"/>
      <c r="B417" s="577" t="s">
        <v>1865</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2"/>
      <c r="B418" s="3603"/>
      <c r="C418" s="3603"/>
      <c r="D418" s="3603"/>
      <c r="E418" s="3603"/>
      <c r="F418" s="3603"/>
      <c r="G418" s="3603"/>
      <c r="H418" s="3603"/>
      <c r="I418" s="3603"/>
      <c r="J418" s="3603"/>
      <c r="K418" s="3603"/>
      <c r="L418" s="3603"/>
      <c r="M418" s="3603"/>
      <c r="N418" s="3603"/>
      <c r="O418" s="3603"/>
      <c r="P418" s="3604"/>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4101</v>
      </c>
      <c r="B420" s="108" t="s">
        <v>2720</v>
      </c>
      <c r="D420" s="40"/>
      <c r="G420" s="61" t="s">
        <v>3390</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3461</v>
      </c>
      <c r="D422" s="3467" t="s">
        <v>5024</v>
      </c>
      <c r="E422" s="3468"/>
      <c r="F422" s="3468"/>
      <c r="G422" s="3468"/>
      <c r="H422" s="3468"/>
      <c r="I422" s="3469"/>
      <c r="J422" s="450" t="s">
        <v>2831</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1982</v>
      </c>
      <c r="B424" s="88" t="s">
        <v>3675</v>
      </c>
      <c r="C424" s="450"/>
      <c r="D424" s="450"/>
      <c r="E424" s="450"/>
      <c r="F424" s="450"/>
      <c r="G424" s="450"/>
      <c r="H424" s="450"/>
      <c r="I424" s="450"/>
      <c r="M424" s="473">
        <v>2</v>
      </c>
      <c r="N424" s="166" t="s">
        <v>1982</v>
      </c>
      <c r="O424" s="682"/>
      <c r="P424" s="2272"/>
      <c r="Q424" s="1179" t="str">
        <f>IF(OR($O424=$M424,$O424=0,$O424=""),"","*CHECK!*")</f>
        <v/>
      </c>
      <c r="R424" s="1327" t="s">
        <v>2705</v>
      </c>
    </row>
    <row r="425" spans="1:19" s="472" customFormat="1" ht="12" customHeight="1">
      <c r="A425" s="471"/>
      <c r="B425" s="3664" t="s">
        <v>4895</v>
      </c>
      <c r="C425" s="3664"/>
      <c r="D425" s="3664"/>
      <c r="E425" s="3664"/>
      <c r="F425" s="3664"/>
      <c r="G425" s="3664"/>
      <c r="H425" s="3664"/>
      <c r="I425" s="3664"/>
      <c r="J425" s="3664"/>
      <c r="K425" s="3664"/>
      <c r="L425" s="3664"/>
      <c r="M425" s="4094" t="s">
        <v>5025</v>
      </c>
      <c r="N425" s="4094"/>
      <c r="Q425" s="192"/>
    </row>
    <row r="426" spans="1:19" s="472" customFormat="1" ht="12" customHeight="1">
      <c r="B426" s="3664"/>
      <c r="C426" s="3664"/>
      <c r="D426" s="3664"/>
      <c r="E426" s="3664"/>
      <c r="F426" s="3664"/>
      <c r="G426" s="3664"/>
      <c r="H426" s="3664"/>
      <c r="I426" s="3664"/>
      <c r="J426" s="3664"/>
      <c r="K426" s="3664"/>
      <c r="L426" s="3664"/>
      <c r="M426" s="4094"/>
      <c r="N426" s="4094"/>
      <c r="O426" s="4098">
        <f>'Part VI-Revenues &amp; Expenses'!$O$111</f>
        <v>0</v>
      </c>
      <c r="P426" s="4099"/>
      <c r="Q426" s="192"/>
    </row>
    <row r="427" spans="1:19" s="472" customFormat="1" ht="12" customHeight="1">
      <c r="B427" s="3664"/>
      <c r="C427" s="3664"/>
      <c r="D427" s="3664"/>
      <c r="E427" s="3664"/>
      <c r="F427" s="3664"/>
      <c r="G427" s="3664"/>
      <c r="H427" s="3664"/>
      <c r="I427" s="3664"/>
      <c r="J427" s="3664"/>
      <c r="K427" s="3664"/>
      <c r="L427" s="3664"/>
      <c r="M427" s="1185" t="s">
        <v>2829</v>
      </c>
      <c r="N427" s="473"/>
      <c r="O427" s="4092">
        <f>'Part VI-Revenues &amp; Expenses'!$O$67</f>
        <v>156</v>
      </c>
      <c r="P427" s="4093"/>
      <c r="Q427" s="192"/>
    </row>
    <row r="428" spans="1:19" s="472" customFormat="1" ht="12" customHeight="1">
      <c r="B428" s="4095"/>
      <c r="C428" s="4095"/>
      <c r="D428" s="4095"/>
      <c r="E428" s="4095"/>
      <c r="F428" s="4095"/>
      <c r="G428" s="4095"/>
      <c r="H428" s="4095"/>
      <c r="I428" s="4095"/>
      <c r="J428" s="4095"/>
      <c r="K428" s="4095"/>
      <c r="L428" s="4095"/>
      <c r="M428" s="2506" t="s">
        <v>2830</v>
      </c>
      <c r="N428" s="473"/>
      <c r="O428" s="4090">
        <f>IF(O427=0,0,O426/O427)</f>
        <v>0</v>
      </c>
      <c r="P428" s="4091"/>
      <c r="Q428" s="192"/>
    </row>
    <row r="429" spans="1:19" s="43" customFormat="1" ht="66.75" customHeight="1">
      <c r="A429" s="608"/>
      <c r="B429" s="3643" t="s">
        <v>4200</v>
      </c>
      <c r="C429" s="3644"/>
      <c r="D429" s="3644"/>
      <c r="E429" s="3644"/>
      <c r="F429" s="3644"/>
      <c r="G429" s="3644"/>
      <c r="H429" s="3644"/>
      <c r="I429" s="3644"/>
      <c r="J429" s="3644"/>
      <c r="K429" s="3644"/>
      <c r="L429" s="3644"/>
      <c r="M429" s="3644"/>
      <c r="N429" s="3644"/>
      <c r="O429" s="3644"/>
      <c r="P429" s="3645"/>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4199</v>
      </c>
      <c r="B431" s="1068" t="s">
        <v>3356</v>
      </c>
      <c r="C431" s="143"/>
      <c r="D431" s="991"/>
      <c r="H431" s="450"/>
      <c r="M431" s="473">
        <v>2</v>
      </c>
      <c r="N431" s="166" t="s">
        <v>1984</v>
      </c>
      <c r="O431" s="682"/>
      <c r="P431" s="2272"/>
      <c r="Q431" s="1179" t="str">
        <f>IF(OR($O431=$M431,$O431=0,$O431=""),"","*CHECK!*")</f>
        <v/>
      </c>
      <c r="R431" s="1327" t="s">
        <v>2705</v>
      </c>
    </row>
    <row r="432" spans="1:19" s="472" customFormat="1" ht="11.25" customHeight="1">
      <c r="A432" s="609"/>
      <c r="B432" s="3650" t="s">
        <v>4894</v>
      </c>
      <c r="C432" s="3650"/>
      <c r="D432" s="3650"/>
      <c r="E432" s="3650"/>
      <c r="F432" s="3650"/>
      <c r="G432" s="3650"/>
      <c r="H432" s="3650"/>
      <c r="I432" s="3650"/>
      <c r="J432" s="3650"/>
      <c r="K432" s="3650"/>
      <c r="L432" s="3650"/>
      <c r="M432" s="2613" t="s">
        <v>4896</v>
      </c>
      <c r="O432" s="4054">
        <f>'Part VI-Revenues &amp; Expenses'!$O$113</f>
        <v>0</v>
      </c>
      <c r="P432" s="4055"/>
      <c r="Q432" s="192"/>
    </row>
    <row r="433" spans="1:18" s="472" customFormat="1" ht="11.25" customHeight="1">
      <c r="A433" s="609"/>
      <c r="B433" s="3650"/>
      <c r="C433" s="3650"/>
      <c r="D433" s="3650"/>
      <c r="E433" s="3650"/>
      <c r="F433" s="3650"/>
      <c r="G433" s="3650"/>
      <c r="H433" s="3650"/>
      <c r="I433" s="3650"/>
      <c r="J433" s="3650"/>
      <c r="K433" s="3650"/>
      <c r="L433" s="3650"/>
      <c r="M433" s="1534" t="s">
        <v>2829</v>
      </c>
      <c r="N433" s="473"/>
      <c r="O433" s="4092">
        <f>'Part VI-Revenues &amp; Expenses'!$O$67</f>
        <v>156</v>
      </c>
      <c r="P433" s="4093"/>
      <c r="Q433" s="192"/>
    </row>
    <row r="434" spans="1:18" s="472" customFormat="1" ht="11.25" customHeight="1">
      <c r="A434" s="609"/>
      <c r="B434" s="3650"/>
      <c r="C434" s="3650"/>
      <c r="D434" s="3650"/>
      <c r="E434" s="3650"/>
      <c r="F434" s="3650"/>
      <c r="G434" s="3650"/>
      <c r="H434" s="3650"/>
      <c r="I434" s="3650"/>
      <c r="J434" s="3650"/>
      <c r="K434" s="3650"/>
      <c r="L434" s="3650"/>
      <c r="M434" s="2506" t="s">
        <v>2830</v>
      </c>
      <c r="N434" s="473"/>
      <c r="O434" s="4090">
        <f>IF(O433=0,0,L420/O433)</f>
        <v>0</v>
      </c>
      <c r="P434" s="4091"/>
      <c r="Q434" s="192"/>
    </row>
    <row r="435" spans="1:18" s="43" customFormat="1" ht="11.25" customHeight="1" thickBot="1">
      <c r="A435" s="42"/>
      <c r="B435" s="1488" t="s">
        <v>3754</v>
      </c>
      <c r="C435" s="42"/>
      <c r="D435" s="48"/>
      <c r="E435" s="48"/>
      <c r="F435" s="48"/>
      <c r="G435" s="48"/>
      <c r="H435" s="36"/>
      <c r="I435" s="36"/>
      <c r="J435" s="36"/>
      <c r="K435" s="36"/>
      <c r="M435" s="46"/>
      <c r="N435" s="62"/>
      <c r="O435" s="3"/>
      <c r="P435" s="1505"/>
    </row>
    <row r="436" spans="1:18" s="43" customFormat="1" ht="21.75" customHeight="1" thickTop="1" thickBot="1">
      <c r="A436" s="3869"/>
      <c r="B436" s="3870"/>
      <c r="C436" s="3870"/>
      <c r="D436" s="3870"/>
      <c r="E436" s="3870"/>
      <c r="F436" s="3870"/>
      <c r="G436" s="3870"/>
      <c r="H436" s="3870"/>
      <c r="I436" s="3870"/>
      <c r="J436" s="3870"/>
      <c r="K436" s="3870"/>
      <c r="L436" s="3870"/>
      <c r="M436" s="3870"/>
      <c r="N436" s="3870"/>
      <c r="O436" s="3870"/>
      <c r="P436" s="3871"/>
      <c r="Q436" s="1291" t="s">
        <v>1254</v>
      </c>
      <c r="R436" s="510"/>
    </row>
    <row r="437" spans="1:18" s="43" customFormat="1" ht="10.5" customHeight="1" thickTop="1">
      <c r="B437" s="87" t="s">
        <v>1865</v>
      </c>
      <c r="C437" s="101"/>
      <c r="D437" s="87"/>
      <c r="E437" s="102"/>
      <c r="F437" s="1506"/>
      <c r="G437" s="1506"/>
      <c r="H437" s="1506"/>
      <c r="I437" s="1506"/>
      <c r="J437" s="1506"/>
      <c r="K437" s="1506"/>
      <c r="L437" s="1506"/>
      <c r="M437" s="1506"/>
      <c r="N437" s="75"/>
      <c r="O437" s="71"/>
      <c r="P437" s="1503"/>
      <c r="Q437" s="490"/>
    </row>
    <row r="438" spans="1:18" s="43" customFormat="1" ht="11.25" customHeight="1">
      <c r="A438" s="3602"/>
      <c r="B438" s="3603"/>
      <c r="C438" s="3603"/>
      <c r="D438" s="3603"/>
      <c r="E438" s="3603"/>
      <c r="F438" s="3603"/>
      <c r="G438" s="3603"/>
      <c r="H438" s="3603"/>
      <c r="I438" s="3603"/>
      <c r="J438" s="3603"/>
      <c r="K438" s="3603"/>
      <c r="L438" s="3603"/>
      <c r="M438" s="3603"/>
      <c r="N438" s="3603"/>
      <c r="O438" s="3603"/>
      <c r="P438" s="3604"/>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4099</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3657</v>
      </c>
      <c r="D442" s="45"/>
      <c r="E442" s="45"/>
      <c r="F442" s="39"/>
      <c r="G442" s="36"/>
      <c r="I442" s="36"/>
      <c r="J442" s="36"/>
      <c r="K442" s="36"/>
      <c r="L442" s="434"/>
      <c r="M442" s="1503"/>
      <c r="N442" s="6"/>
      <c r="O442" s="1411">
        <v>10</v>
      </c>
      <c r="P442" s="1411">
        <v>10</v>
      </c>
      <c r="Q442" s="112"/>
    </row>
    <row r="443" spans="1:18" s="105" customFormat="1" ht="10.5" customHeight="1">
      <c r="A443" s="158"/>
      <c r="B443" s="88" t="s">
        <v>3658</v>
      </c>
      <c r="D443" s="45"/>
      <c r="E443" s="45"/>
      <c r="F443" s="39"/>
      <c r="G443" s="36"/>
      <c r="I443" s="36"/>
      <c r="J443" s="36"/>
      <c r="K443" s="36"/>
      <c r="L443" s="434"/>
      <c r="M443" s="1503"/>
      <c r="N443" s="6"/>
      <c r="O443" s="1410"/>
      <c r="P443" s="1403"/>
      <c r="Q443" s="112"/>
    </row>
    <row r="444" spans="1:18" s="105" customFormat="1" ht="10.5" customHeight="1">
      <c r="A444" s="158"/>
      <c r="B444" s="88" t="s">
        <v>3659</v>
      </c>
      <c r="D444" s="45"/>
      <c r="E444" s="45"/>
      <c r="F444" s="39"/>
      <c r="G444" s="36"/>
      <c r="I444" s="36"/>
      <c r="J444" s="36"/>
      <c r="K444" s="36"/>
      <c r="L444" s="434"/>
      <c r="M444" s="1503"/>
      <c r="N444" s="6"/>
      <c r="O444" s="1043"/>
      <c r="P444" s="613"/>
      <c r="Q444" s="112"/>
    </row>
    <row r="445" spans="1:18" s="105" customFormat="1" ht="10.5" customHeight="1">
      <c r="A445" s="67"/>
      <c r="B445" s="67" t="s">
        <v>1865</v>
      </c>
      <c r="C445" s="50"/>
      <c r="D445" s="67"/>
      <c r="E445" s="1509"/>
      <c r="F445" s="1509"/>
      <c r="G445" s="1509"/>
      <c r="H445" s="1509"/>
      <c r="I445" s="1509"/>
      <c r="J445" s="1509"/>
      <c r="K445" s="1509"/>
      <c r="L445" s="1509"/>
      <c r="M445" s="1509"/>
      <c r="N445" s="95"/>
      <c r="O445" s="992"/>
      <c r="P445" s="1503"/>
    </row>
    <row r="446" spans="1:18" s="43" customFormat="1" ht="11.25" customHeight="1">
      <c r="A446" s="3602"/>
      <c r="B446" s="3603"/>
      <c r="C446" s="3603"/>
      <c r="D446" s="3603"/>
      <c r="E446" s="3603"/>
      <c r="F446" s="3603"/>
      <c r="G446" s="3603"/>
      <c r="H446" s="3603"/>
      <c r="I446" s="3603"/>
      <c r="J446" s="3603"/>
      <c r="K446" s="3603"/>
      <c r="L446" s="3603"/>
      <c r="M446" s="3603"/>
      <c r="N446" s="3603"/>
      <c r="O446" s="3603"/>
      <c r="P446" s="3604"/>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4189</v>
      </c>
      <c r="J449" s="69"/>
      <c r="K449" s="69"/>
      <c r="L449" s="43"/>
      <c r="M449" s="35"/>
      <c r="N449" s="1503"/>
      <c r="O449" s="1503"/>
      <c r="P449" s="525">
        <f>P228</f>
        <v>0</v>
      </c>
    </row>
    <row r="450" spans="1:19" s="42" customFormat="1" ht="11.25" customHeight="1">
      <c r="A450" s="54"/>
      <c r="B450" s="68"/>
      <c r="C450" s="54"/>
      <c r="D450" s="35"/>
      <c r="E450" s="35"/>
      <c r="F450" s="70"/>
      <c r="G450" s="70"/>
      <c r="H450" s="184" t="s">
        <v>4190</v>
      </c>
      <c r="J450" s="69"/>
      <c r="K450" s="69"/>
      <c r="L450" s="43"/>
      <c r="M450" s="35"/>
      <c r="N450" s="1503"/>
      <c r="O450" s="525"/>
      <c r="P450" s="525">
        <f>P342</f>
        <v>0</v>
      </c>
    </row>
    <row r="451" spans="1:19" s="43" customFormat="1" ht="11.25" customHeight="1">
      <c r="A451" s="42"/>
      <c r="D451" s="39"/>
      <c r="E451" s="36"/>
      <c r="F451" s="1011"/>
      <c r="H451" s="184" t="s">
        <v>4197</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53" t="s">
        <v>3688</v>
      </c>
      <c r="B453" s="4053"/>
      <c r="C453" s="4053"/>
      <c r="D453" s="4053"/>
      <c r="E453" s="4053"/>
      <c r="F453" s="4053"/>
      <c r="G453" s="4053"/>
      <c r="H453" s="4053"/>
      <c r="I453" s="4053"/>
      <c r="J453" s="4053"/>
      <c r="K453" s="4053"/>
      <c r="L453" s="4053"/>
      <c r="M453" s="4053"/>
      <c r="N453" s="4053"/>
      <c r="O453" s="4053"/>
      <c r="P453" s="4053"/>
    </row>
    <row r="454" spans="1:19" s="43" customFormat="1" ht="84" customHeight="1">
      <c r="A454" s="3621"/>
      <c r="B454" s="3622"/>
      <c r="C454" s="3622"/>
      <c r="D454" s="3622"/>
      <c r="E454" s="3622"/>
      <c r="F454" s="3622"/>
      <c r="G454" s="3622"/>
      <c r="H454" s="3622"/>
      <c r="I454" s="3622"/>
      <c r="J454" s="3622"/>
      <c r="K454" s="3622"/>
      <c r="L454" s="3622"/>
      <c r="M454" s="3622"/>
      <c r="N454" s="3622"/>
      <c r="O454" s="3622"/>
      <c r="P454" s="3623"/>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5"/>
      <c r="P459" s="1475"/>
      <c r="Q459" s="1365"/>
    </row>
    <row r="460" spans="1:19" s="548" customFormat="1">
      <c r="C460" s="515" t="s">
        <v>2088</v>
      </c>
      <c r="D460" s="515"/>
      <c r="E460" s="515"/>
      <c r="F460" s="515"/>
      <c r="G460" s="515"/>
      <c r="H460" s="515"/>
      <c r="I460" s="515"/>
      <c r="J460" s="515" t="s">
        <v>1771</v>
      </c>
      <c r="K460" s="515"/>
      <c r="L460" s="515"/>
      <c r="M460" s="515"/>
      <c r="N460" s="516"/>
      <c r="O460" s="1475"/>
      <c r="P460" s="1475"/>
      <c r="Q460" s="1365"/>
    </row>
    <row r="461" spans="1:19" s="548" customFormat="1">
      <c r="C461" s="515" t="s">
        <v>2543</v>
      </c>
      <c r="D461" s="515"/>
      <c r="E461" s="515"/>
      <c r="F461" s="515"/>
      <c r="G461" s="515"/>
      <c r="H461" s="515"/>
      <c r="I461" s="515"/>
      <c r="J461" s="1476" t="s">
        <v>230</v>
      </c>
      <c r="K461" s="515"/>
      <c r="L461" s="515"/>
      <c r="M461" s="515"/>
      <c r="N461" s="516"/>
      <c r="O461" s="1475"/>
      <c r="P461" s="1475"/>
      <c r="Q461" s="1365"/>
    </row>
    <row r="462" spans="1:19" s="548" customFormat="1">
      <c r="C462" s="515" t="s">
        <v>2089</v>
      </c>
      <c r="D462" s="515"/>
      <c r="E462" s="515"/>
      <c r="F462" s="515"/>
      <c r="G462" s="515"/>
      <c r="H462" s="515"/>
      <c r="I462" s="515"/>
      <c r="J462" s="1476" t="s">
        <v>1651</v>
      </c>
      <c r="K462" s="515"/>
      <c r="L462" s="515"/>
      <c r="M462" s="515"/>
      <c r="N462" s="516"/>
      <c r="O462" s="1475"/>
      <c r="P462" s="1475"/>
      <c r="Q462" s="1365"/>
    </row>
    <row r="463" spans="1:19" s="548" customFormat="1">
      <c r="C463" s="515" t="s">
        <v>2090</v>
      </c>
      <c r="D463" s="515"/>
      <c r="E463" s="515"/>
      <c r="F463" s="515"/>
      <c r="G463" s="515"/>
      <c r="H463" s="515"/>
      <c r="I463" s="515"/>
      <c r="J463" s="1476" t="s">
        <v>1652</v>
      </c>
      <c r="K463" s="515"/>
      <c r="L463" s="515"/>
      <c r="M463" s="515"/>
      <c r="N463" s="516"/>
      <c r="O463" s="1475"/>
      <c r="P463" s="1475"/>
      <c r="Q463" s="1365"/>
    </row>
    <row r="464" spans="1:19" s="548" customFormat="1">
      <c r="C464" s="1477" t="s">
        <v>2091</v>
      </c>
      <c r="D464" s="515"/>
      <c r="E464" s="515"/>
      <c r="F464" s="515"/>
      <c r="G464" s="515"/>
      <c r="H464" s="515"/>
      <c r="I464" s="515"/>
      <c r="J464" s="1476" t="s">
        <v>2504</v>
      </c>
      <c r="K464" s="515"/>
      <c r="L464" s="515"/>
      <c r="M464" s="515"/>
      <c r="N464" s="516"/>
      <c r="O464" s="1475"/>
      <c r="P464" s="1475"/>
      <c r="Q464" s="1365"/>
    </row>
    <row r="465" spans="3:17" s="548" customFormat="1">
      <c r="C465" s="1477" t="s">
        <v>2092</v>
      </c>
      <c r="D465" s="515"/>
      <c r="E465" s="515"/>
      <c r="F465" s="515"/>
      <c r="G465" s="515"/>
      <c r="H465" s="515"/>
      <c r="I465" s="515"/>
      <c r="J465" s="1476" t="s">
        <v>1653</v>
      </c>
      <c r="K465" s="515"/>
      <c r="L465" s="515"/>
      <c r="M465" s="515"/>
      <c r="N465" s="516"/>
      <c r="O465" s="1475"/>
      <c r="P465" s="1475"/>
      <c r="Q465" s="1365"/>
    </row>
    <row r="466" spans="3:17" s="548" customFormat="1">
      <c r="C466" s="1477"/>
      <c r="D466" s="515"/>
      <c r="E466" s="515"/>
      <c r="F466" s="515"/>
      <c r="G466" s="515"/>
      <c r="H466" s="515"/>
      <c r="I466" s="515"/>
      <c r="J466" s="1476" t="s">
        <v>1654</v>
      </c>
      <c r="K466" s="515"/>
      <c r="L466" s="515"/>
      <c r="M466" s="515"/>
      <c r="N466" s="516"/>
      <c r="O466" s="1475"/>
      <c r="P466" s="1475"/>
      <c r="Q466" s="1365"/>
    </row>
    <row r="467" spans="3:17" s="548" customFormat="1">
      <c r="C467" s="515" t="s">
        <v>1771</v>
      </c>
      <c r="D467" s="515"/>
      <c r="E467" s="515"/>
      <c r="F467" s="515"/>
      <c r="G467" s="515"/>
      <c r="H467" s="515"/>
      <c r="I467" s="515"/>
      <c r="J467" s="1476" t="s">
        <v>1655</v>
      </c>
      <c r="K467" s="515"/>
      <c r="L467" s="515"/>
      <c r="M467" s="515"/>
      <c r="N467" s="516"/>
      <c r="O467" s="1475"/>
      <c r="P467" s="1475"/>
      <c r="Q467" s="1365"/>
    </row>
    <row r="468" spans="3:17" s="548" customFormat="1">
      <c r="C468" s="1366" t="s">
        <v>1390</v>
      </c>
      <c r="D468" s="515"/>
      <c r="E468" s="515"/>
      <c r="F468" s="515"/>
      <c r="G468" s="515"/>
      <c r="H468" s="515"/>
      <c r="I468" s="515"/>
      <c r="J468" s="1476" t="s">
        <v>1656</v>
      </c>
      <c r="K468" s="515"/>
      <c r="L468" s="515"/>
      <c r="M468" s="515"/>
      <c r="N468" s="516"/>
      <c r="O468" s="1475"/>
      <c r="P468" s="1475"/>
      <c r="Q468" s="1365"/>
    </row>
    <row r="469" spans="3:17" s="548" customFormat="1">
      <c r="C469" s="1366" t="s">
        <v>1391</v>
      </c>
      <c r="D469" s="515"/>
      <c r="E469" s="515"/>
      <c r="F469" s="515"/>
      <c r="G469" s="515"/>
      <c r="H469" s="515"/>
      <c r="I469" s="515"/>
      <c r="J469" s="1476" t="s">
        <v>1657</v>
      </c>
      <c r="K469" s="515"/>
      <c r="L469" s="515"/>
      <c r="M469" s="515"/>
      <c r="N469" s="516"/>
      <c r="O469" s="1475"/>
      <c r="P469" s="1475"/>
      <c r="Q469" s="1365"/>
    </row>
    <row r="470" spans="3:17" s="548" customFormat="1">
      <c r="C470" s="1478" t="s">
        <v>2132</v>
      </c>
      <c r="D470" s="515"/>
      <c r="E470" s="515"/>
      <c r="F470" s="515"/>
      <c r="G470" s="515"/>
      <c r="H470" s="515"/>
      <c r="I470" s="515"/>
      <c r="J470" s="1476" t="s">
        <v>1658</v>
      </c>
      <c r="K470" s="515"/>
      <c r="L470" s="515"/>
      <c r="M470" s="515"/>
      <c r="N470" s="516"/>
      <c r="O470" s="1475"/>
      <c r="P470" s="1475"/>
      <c r="Q470" s="1365"/>
    </row>
    <row r="471" spans="3:17" s="548" customFormat="1">
      <c r="C471" s="1478" t="s">
        <v>1387</v>
      </c>
      <c r="D471" s="515"/>
      <c r="E471" s="515"/>
      <c r="F471" s="515"/>
      <c r="G471" s="515"/>
      <c r="H471" s="515"/>
      <c r="I471" s="515"/>
      <c r="J471" s="1476" t="s">
        <v>591</v>
      </c>
      <c r="K471" s="515"/>
      <c r="L471" s="515"/>
      <c r="M471" s="515"/>
      <c r="N471" s="516"/>
      <c r="O471" s="1475"/>
      <c r="P471" s="1475"/>
      <c r="Q471" s="1365"/>
    </row>
    <row r="472" spans="3:17" s="548" customFormat="1">
      <c r="C472" s="1478" t="s">
        <v>1388</v>
      </c>
      <c r="D472" s="515"/>
      <c r="E472" s="515"/>
      <c r="F472" s="515"/>
      <c r="G472" s="515"/>
      <c r="H472" s="515"/>
      <c r="I472" s="515"/>
      <c r="J472" s="1476" t="s">
        <v>1659</v>
      </c>
      <c r="K472" s="515"/>
      <c r="L472" s="515"/>
      <c r="M472" s="515"/>
      <c r="N472" s="516"/>
      <c r="O472" s="1475"/>
      <c r="P472" s="1475"/>
      <c r="Q472" s="1365"/>
    </row>
    <row r="473" spans="3:17" s="548" customFormat="1">
      <c r="C473" s="1366" t="s">
        <v>2127</v>
      </c>
      <c r="D473" s="515"/>
      <c r="E473" s="515"/>
      <c r="F473" s="515"/>
      <c r="G473" s="515"/>
      <c r="H473" s="515"/>
      <c r="I473" s="515"/>
      <c r="J473" s="1476" t="s">
        <v>1660</v>
      </c>
      <c r="K473" s="515"/>
      <c r="L473" s="515"/>
      <c r="M473" s="515"/>
      <c r="N473" s="516"/>
      <c r="O473" s="1475"/>
      <c r="P473" s="1475"/>
      <c r="Q473" s="1365"/>
    </row>
    <row r="474" spans="3:17" s="548" customFormat="1">
      <c r="C474" s="1366" t="s">
        <v>2128</v>
      </c>
      <c r="D474" s="515"/>
      <c r="E474" s="515"/>
      <c r="F474" s="515"/>
      <c r="G474" s="515"/>
      <c r="H474" s="515"/>
      <c r="I474" s="515"/>
      <c r="J474" s="1476" t="s">
        <v>1661</v>
      </c>
      <c r="K474" s="515"/>
      <c r="L474" s="515"/>
      <c r="M474" s="515"/>
      <c r="N474" s="516"/>
      <c r="O474" s="1475"/>
      <c r="P474" s="1475"/>
      <c r="Q474" s="1365"/>
    </row>
    <row r="475" spans="3:17" s="548" customFormat="1">
      <c r="C475" s="1366" t="s">
        <v>2129</v>
      </c>
      <c r="D475" s="515"/>
      <c r="E475" s="515"/>
      <c r="F475" s="515"/>
      <c r="G475" s="515"/>
      <c r="H475" s="515"/>
      <c r="I475" s="515"/>
      <c r="J475" s="1476" t="s">
        <v>35</v>
      </c>
      <c r="K475" s="515"/>
      <c r="L475" s="515"/>
      <c r="M475" s="515"/>
      <c r="N475" s="516"/>
      <c r="O475" s="1475"/>
      <c r="P475" s="1475"/>
      <c r="Q475" s="1365"/>
    </row>
    <row r="476" spans="3:17" s="548" customFormat="1">
      <c r="C476" s="1366" t="s">
        <v>2130</v>
      </c>
      <c r="D476" s="515"/>
      <c r="E476" s="515"/>
      <c r="F476" s="515"/>
      <c r="G476" s="515"/>
      <c r="H476" s="515"/>
      <c r="I476" s="515"/>
      <c r="J476" s="515"/>
      <c r="K476" s="515"/>
      <c r="L476" s="515"/>
      <c r="M476" s="515"/>
      <c r="N476" s="516"/>
      <c r="O476" s="1475"/>
      <c r="P476" s="1475"/>
      <c r="Q476" s="1365"/>
    </row>
    <row r="477" spans="3:17" s="548" customFormat="1">
      <c r="C477" s="1366" t="s">
        <v>2131</v>
      </c>
      <c r="D477" s="515"/>
      <c r="E477" s="515"/>
      <c r="F477" s="515"/>
      <c r="G477" s="515"/>
      <c r="H477" s="515"/>
      <c r="I477" s="515"/>
      <c r="J477" s="1479" t="s">
        <v>3414</v>
      </c>
      <c r="K477" s="515"/>
      <c r="L477" s="515"/>
      <c r="M477" s="515"/>
      <c r="N477" s="516"/>
      <c r="O477" s="1479" t="s">
        <v>3768</v>
      </c>
      <c r="P477" s="1475"/>
      <c r="Q477" s="1365"/>
    </row>
    <row r="478" spans="3:17" s="548" customFormat="1">
      <c r="C478" s="1366" t="s">
        <v>1389</v>
      </c>
      <c r="D478" s="515"/>
      <c r="E478" s="515"/>
      <c r="F478" s="515"/>
      <c r="G478" s="515"/>
      <c r="H478" s="515"/>
      <c r="I478" s="515"/>
      <c r="J478" s="1476" t="s">
        <v>3415</v>
      </c>
      <c r="K478" s="515"/>
      <c r="L478" s="515"/>
      <c r="M478" s="515"/>
      <c r="N478" s="516"/>
      <c r="O478" s="1475"/>
      <c r="P478" s="1475"/>
      <c r="Q478" s="1365"/>
    </row>
    <row r="479" spans="3:17" s="548" customFormat="1">
      <c r="C479" s="1366" t="s">
        <v>2281</v>
      </c>
      <c r="D479" s="91"/>
      <c r="E479" s="91"/>
      <c r="F479" s="515"/>
      <c r="G479" s="515"/>
      <c r="H479" s="515"/>
      <c r="I479" s="515"/>
      <c r="J479" s="515" t="s">
        <v>3399</v>
      </c>
      <c r="K479" s="515"/>
      <c r="L479" s="91"/>
      <c r="M479" s="515"/>
      <c r="N479" s="516"/>
      <c r="O479" s="1475">
        <v>2</v>
      </c>
      <c r="P479" s="1475"/>
      <c r="Q479" s="1365"/>
    </row>
    <row r="480" spans="3:17" s="548" customFormat="1">
      <c r="C480" s="515"/>
      <c r="D480" s="91"/>
      <c r="E480" s="91"/>
      <c r="F480" s="515"/>
      <c r="G480" s="515"/>
      <c r="H480" s="515"/>
      <c r="I480" s="515"/>
      <c r="J480" s="515" t="s">
        <v>3400</v>
      </c>
      <c r="K480" s="515"/>
      <c r="L480" s="91"/>
      <c r="M480" s="515"/>
      <c r="N480" s="516"/>
      <c r="O480" s="1475">
        <v>2</v>
      </c>
      <c r="P480" s="1475"/>
      <c r="Q480" s="1365"/>
    </row>
    <row r="481" spans="1:17" s="548" customFormat="1">
      <c r="C481" s="515"/>
      <c r="D481" s="91"/>
      <c r="E481" s="91"/>
      <c r="F481" s="515"/>
      <c r="G481" s="515"/>
      <c r="H481" s="515"/>
      <c r="I481" s="515"/>
      <c r="J481" s="515" t="s">
        <v>3401</v>
      </c>
      <c r="K481" s="515"/>
      <c r="L481" s="91"/>
      <c r="M481" s="515"/>
      <c r="N481" s="516"/>
      <c r="O481" s="1475">
        <v>2</v>
      </c>
      <c r="P481" s="1475"/>
      <c r="Q481" s="1365"/>
    </row>
    <row r="482" spans="1:17" s="548" customFormat="1">
      <c r="C482" s="515" t="s">
        <v>2785</v>
      </c>
      <c r="D482" s="91"/>
      <c r="E482" s="91"/>
      <c r="F482" s="515"/>
      <c r="G482" s="1480" t="s">
        <v>1503</v>
      </c>
      <c r="H482" s="1481"/>
      <c r="I482" s="1480"/>
      <c r="J482" s="515" t="s">
        <v>3402</v>
      </c>
      <c r="K482" s="515"/>
      <c r="L482" s="683"/>
      <c r="M482" s="515"/>
      <c r="N482" s="516"/>
      <c r="O482" s="1475">
        <v>2</v>
      </c>
      <c r="P482" s="1475"/>
      <c r="Q482" s="1365"/>
    </row>
    <row r="483" spans="1:17" s="548" customFormat="1">
      <c r="C483" s="1482" t="s">
        <v>2787</v>
      </c>
      <c r="D483" s="91"/>
      <c r="E483" s="91"/>
      <c r="F483" s="515"/>
      <c r="G483" s="1483" t="s">
        <v>2521</v>
      </c>
      <c r="H483" s="1481"/>
      <c r="I483" s="1483"/>
      <c r="J483" s="515" t="s">
        <v>3766</v>
      </c>
      <c r="K483" s="515"/>
      <c r="L483" s="2513"/>
      <c r="M483" s="515"/>
      <c r="N483" s="516"/>
      <c r="O483" s="1475">
        <v>2</v>
      </c>
      <c r="P483" s="1475"/>
      <c r="Q483" s="1365"/>
    </row>
    <row r="484" spans="1:17" s="548" customFormat="1">
      <c r="C484" s="1482" t="s">
        <v>2788</v>
      </c>
      <c r="D484" s="91"/>
      <c r="E484" s="91"/>
      <c r="F484" s="515"/>
      <c r="G484" s="1483" t="s">
        <v>1782</v>
      </c>
      <c r="H484" s="1481"/>
      <c r="I484" s="1484"/>
      <c r="J484" s="1481" t="s">
        <v>3403</v>
      </c>
      <c r="K484" s="515"/>
      <c r="L484" s="2424"/>
      <c r="M484" s="515"/>
      <c r="N484" s="516"/>
      <c r="O484" s="1475">
        <v>1</v>
      </c>
      <c r="P484" s="1475"/>
      <c r="Q484" s="1365"/>
    </row>
    <row r="485" spans="1:17" s="548" customFormat="1">
      <c r="C485" s="1482" t="s">
        <v>2789</v>
      </c>
      <c r="D485" s="91"/>
      <c r="E485" s="91"/>
      <c r="F485" s="515"/>
      <c r="G485" s="1483" t="s">
        <v>1636</v>
      </c>
      <c r="H485" s="1481"/>
      <c r="I485" s="1484"/>
      <c r="J485" s="1481" t="s">
        <v>3404</v>
      </c>
      <c r="K485" s="515"/>
      <c r="L485" s="2424"/>
      <c r="M485" s="515"/>
      <c r="N485" s="516"/>
      <c r="O485" s="1475">
        <v>1</v>
      </c>
      <c r="P485" s="1475"/>
      <c r="Q485" s="1365"/>
    </row>
    <row r="486" spans="1:17" s="548" customFormat="1">
      <c r="C486" s="1482" t="s">
        <v>2790</v>
      </c>
      <c r="D486" s="91"/>
      <c r="E486" s="91"/>
      <c r="F486" s="515"/>
      <c r="G486" s="1483" t="s">
        <v>1036</v>
      </c>
      <c r="H486" s="1481"/>
      <c r="I486" s="1484"/>
      <c r="J486" s="1481" t="s">
        <v>3405</v>
      </c>
      <c r="K486" s="515"/>
      <c r="L486" s="2424"/>
      <c r="M486" s="515"/>
      <c r="N486" s="516"/>
      <c r="O486" s="1475">
        <v>1</v>
      </c>
      <c r="P486" s="1475"/>
      <c r="Q486" s="1365"/>
    </row>
    <row r="487" spans="1:17" s="548" customFormat="1">
      <c r="C487" s="1482" t="s">
        <v>2791</v>
      </c>
      <c r="D487" s="91"/>
      <c r="E487" s="91"/>
      <c r="F487" s="515"/>
      <c r="G487" s="1483" t="s">
        <v>2553</v>
      </c>
      <c r="H487" s="1481"/>
      <c r="I487" s="1484"/>
      <c r="J487" s="1481" t="s">
        <v>3767</v>
      </c>
      <c r="K487" s="515"/>
      <c r="L487" s="2424"/>
      <c r="M487" s="515"/>
      <c r="N487" s="516"/>
      <c r="O487" s="1475">
        <v>1</v>
      </c>
      <c r="P487" s="1475"/>
      <c r="Q487" s="1365"/>
    </row>
    <row r="488" spans="1:17" s="548" customFormat="1">
      <c r="C488" s="1482" t="s">
        <v>2792</v>
      </c>
      <c r="D488" s="91"/>
      <c r="E488" s="91"/>
      <c r="F488" s="515"/>
      <c r="G488" s="1483" t="s">
        <v>2070</v>
      </c>
      <c r="H488" s="1481"/>
      <c r="I488" s="1484"/>
      <c r="J488" s="1481" t="s">
        <v>3413</v>
      </c>
      <c r="K488" s="515"/>
      <c r="L488" s="2424"/>
      <c r="M488" s="515"/>
      <c r="N488" s="516"/>
      <c r="O488" s="1475">
        <v>1</v>
      </c>
      <c r="P488" s="1475"/>
      <c r="Q488" s="1365"/>
    </row>
    <row r="489" spans="1:17" s="548" customFormat="1">
      <c r="C489" s="1482"/>
      <c r="D489" s="91"/>
      <c r="E489" s="91"/>
      <c r="F489" s="515"/>
      <c r="G489" s="1483" t="s">
        <v>3806</v>
      </c>
      <c r="H489" s="1481"/>
      <c r="I489" s="1484"/>
      <c r="J489" s="1481" t="s">
        <v>3406</v>
      </c>
      <c r="K489" s="515"/>
      <c r="L489" s="2424"/>
      <c r="M489" s="515"/>
      <c r="N489" s="516"/>
      <c r="O489" s="1475">
        <v>1</v>
      </c>
      <c r="P489" s="1475"/>
      <c r="Q489" s="1365"/>
    </row>
    <row r="490" spans="1:17" s="548" customFormat="1">
      <c r="C490" s="1482"/>
      <c r="D490" s="91"/>
      <c r="E490" s="91"/>
      <c r="F490" s="515"/>
      <c r="G490" s="1483" t="s">
        <v>11</v>
      </c>
      <c r="H490" s="1481"/>
      <c r="I490" s="1484"/>
      <c r="J490" s="1481" t="s">
        <v>3407</v>
      </c>
      <c r="K490" s="515"/>
      <c r="L490" s="2424"/>
      <c r="M490" s="515"/>
      <c r="N490" s="516"/>
      <c r="O490" s="1475">
        <v>1</v>
      </c>
      <c r="P490" s="1475"/>
      <c r="Q490" s="1365"/>
    </row>
    <row r="491" spans="1:17" s="548" customFormat="1">
      <c r="C491" s="1482"/>
      <c r="D491" s="515"/>
      <c r="E491" s="515"/>
      <c r="F491" s="515"/>
      <c r="G491" s="1483" t="s">
        <v>356</v>
      </c>
      <c r="H491" s="1481"/>
      <c r="I491" s="1484"/>
      <c r="J491" s="1481" t="s">
        <v>3408</v>
      </c>
      <c r="K491" s="515"/>
      <c r="L491" s="1484"/>
      <c r="M491" s="515"/>
      <c r="N491" s="516"/>
      <c r="O491" s="1475">
        <v>1</v>
      </c>
      <c r="P491" s="1475"/>
      <c r="Q491" s="1365"/>
    </row>
    <row r="492" spans="1:17" s="548" customFormat="1">
      <c r="C492" s="515"/>
      <c r="D492" s="515"/>
      <c r="E492" s="515"/>
      <c r="F492" s="515"/>
      <c r="G492" s="1483" t="s">
        <v>1332</v>
      </c>
      <c r="H492" s="1481"/>
      <c r="I492" s="1484"/>
      <c r="J492" s="1481" t="s">
        <v>3409</v>
      </c>
      <c r="K492" s="515"/>
      <c r="L492" s="1484"/>
      <c r="M492" s="515"/>
      <c r="N492" s="516"/>
      <c r="O492" s="1475">
        <v>1</v>
      </c>
      <c r="P492" s="1475"/>
      <c r="Q492" s="1365"/>
    </row>
    <row r="493" spans="1:17" s="548" customFormat="1">
      <c r="C493" s="515"/>
      <c r="D493" s="515"/>
      <c r="E493" s="515"/>
      <c r="F493" s="515"/>
      <c r="G493" s="1483" t="s">
        <v>1504</v>
      </c>
      <c r="H493" s="1481"/>
      <c r="I493" s="1484"/>
      <c r="J493" s="1481" t="s">
        <v>3412</v>
      </c>
      <c r="K493" s="515"/>
      <c r="L493" s="1484"/>
      <c r="M493" s="515"/>
      <c r="N493" s="516"/>
      <c r="O493" s="1475">
        <v>1</v>
      </c>
      <c r="P493" s="1475"/>
      <c r="Q493" s="1365"/>
    </row>
    <row r="494" spans="1:17" s="548" customFormat="1">
      <c r="A494" s="1208" t="s">
        <v>2794</v>
      </c>
      <c r="C494" s="515"/>
      <c r="D494" s="515"/>
      <c r="E494" s="515"/>
      <c r="F494" s="515"/>
      <c r="G494" s="1483" t="s">
        <v>1022</v>
      </c>
      <c r="H494" s="1481"/>
      <c r="I494" s="1484"/>
      <c r="J494" s="1481" t="s">
        <v>3410</v>
      </c>
      <c r="K494" s="515"/>
      <c r="L494" s="1484"/>
      <c r="M494" s="515"/>
      <c r="N494" s="516"/>
      <c r="O494" s="1475">
        <v>1</v>
      </c>
      <c r="P494" s="1475"/>
      <c r="Q494" s="1365"/>
    </row>
    <row r="495" spans="1:17" s="548" customFormat="1">
      <c r="A495" s="1208" t="s">
        <v>2822</v>
      </c>
      <c r="C495" s="515"/>
      <c r="D495" s="515"/>
      <c r="E495" s="515"/>
      <c r="F495" s="515"/>
      <c r="G495" s="1483" t="s">
        <v>1758</v>
      </c>
      <c r="H495" s="1481"/>
      <c r="I495" s="1484"/>
      <c r="J495" s="1481" t="s">
        <v>3411</v>
      </c>
      <c r="K495" s="515"/>
      <c r="L495" s="1484"/>
      <c r="M495" s="515"/>
      <c r="N495" s="516"/>
      <c r="O495" s="1475">
        <v>1</v>
      </c>
      <c r="P495" s="1475"/>
      <c r="Q495" s="1365"/>
    </row>
    <row r="496" spans="1:17" s="548" customFormat="1">
      <c r="A496" s="1217" t="s">
        <v>3375</v>
      </c>
      <c r="C496" s="515"/>
      <c r="D496" s="1482"/>
      <c r="E496" s="1482">
        <v>3</v>
      </c>
      <c r="F496" s="515"/>
      <c r="G496" s="1483" t="s">
        <v>2059</v>
      </c>
      <c r="H496" s="1481"/>
      <c r="I496" s="1484"/>
      <c r="J496" s="515"/>
      <c r="K496" s="515"/>
      <c r="L496" s="2424"/>
      <c r="M496" s="515"/>
      <c r="N496" s="516"/>
      <c r="O496" s="1475"/>
      <c r="P496" s="1475"/>
      <c r="Q496" s="1365"/>
    </row>
    <row r="497" spans="1:17" s="548" customFormat="1">
      <c r="A497" s="1217" t="s">
        <v>3376</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3377</v>
      </c>
      <c r="C498" s="515"/>
      <c r="D498" s="1482"/>
      <c r="E498" s="1482">
        <v>10</v>
      </c>
      <c r="F498" s="515"/>
      <c r="G498" s="1483" t="s">
        <v>2488</v>
      </c>
      <c r="H498" s="1481"/>
      <c r="I498" s="1484"/>
      <c r="J498" s="2427" t="s">
        <v>3777</v>
      </c>
      <c r="K498" s="515"/>
      <c r="L498" s="2424"/>
      <c r="M498" s="515"/>
      <c r="N498" s="516"/>
      <c r="O498" s="1475"/>
      <c r="P498" s="1475"/>
      <c r="Q498" s="1365"/>
    </row>
    <row r="499" spans="1:17" s="548" customFormat="1">
      <c r="A499" s="1217" t="s">
        <v>2823</v>
      </c>
      <c r="C499" s="515"/>
      <c r="D499" s="1482"/>
      <c r="E499" s="1482"/>
      <c r="F499" s="515"/>
      <c r="G499" s="1483" t="s">
        <v>895</v>
      </c>
      <c r="H499" s="1481"/>
      <c r="I499" s="1484"/>
      <c r="J499" s="1481" t="s">
        <v>3979</v>
      </c>
      <c r="K499" s="515"/>
      <c r="L499" s="2424"/>
      <c r="M499" s="515"/>
      <c r="N499" s="516"/>
      <c r="O499" s="1475"/>
      <c r="P499" s="1475"/>
      <c r="Q499" s="1365"/>
    </row>
    <row r="500" spans="1:17" s="548" customFormat="1">
      <c r="C500" s="1482"/>
      <c r="D500" s="515"/>
      <c r="E500" s="515"/>
      <c r="F500" s="515"/>
      <c r="G500" s="1483" t="s">
        <v>2139</v>
      </c>
      <c r="H500" s="1481"/>
      <c r="I500" s="1484"/>
      <c r="J500" s="1481" t="s">
        <v>3974</v>
      </c>
      <c r="K500" s="515"/>
      <c r="L500" s="2424"/>
      <c r="M500" s="515"/>
      <c r="N500" s="516"/>
      <c r="O500" s="1475"/>
      <c r="P500" s="1475"/>
      <c r="Q500" s="1365"/>
    </row>
    <row r="501" spans="1:17" s="548" customFormat="1">
      <c r="C501" s="1482"/>
      <c r="D501" s="515"/>
      <c r="E501" s="515"/>
      <c r="F501" s="515"/>
      <c r="G501" s="1483" t="s">
        <v>2057</v>
      </c>
      <c r="H501" s="1481"/>
      <c r="I501" s="1484"/>
      <c r="J501" s="1481" t="s">
        <v>3770</v>
      </c>
      <c r="K501" s="1481"/>
      <c r="L501" s="2424"/>
      <c r="M501" s="515"/>
      <c r="N501" s="516"/>
      <c r="O501" s="1475"/>
      <c r="P501" s="1475"/>
      <c r="Q501" s="1365"/>
    </row>
    <row r="502" spans="1:17" s="548" customFormat="1">
      <c r="C502" s="1482"/>
      <c r="D502" s="515"/>
      <c r="E502" s="515"/>
      <c r="F502" s="515"/>
      <c r="G502" s="1483" t="s">
        <v>601</v>
      </c>
      <c r="H502" s="1484"/>
      <c r="I502" s="1481"/>
      <c r="J502" s="1481" t="s">
        <v>3968</v>
      </c>
      <c r="K502" s="515"/>
      <c r="L502" s="2424"/>
      <c r="M502" s="515"/>
      <c r="N502" s="516"/>
      <c r="O502" s="1475"/>
      <c r="P502" s="1475"/>
      <c r="Q502" s="1365"/>
    </row>
    <row r="503" spans="1:17" s="548" customFormat="1">
      <c r="C503" s="1482"/>
      <c r="D503" s="515"/>
      <c r="E503" s="515"/>
      <c r="F503" s="515"/>
      <c r="G503" s="1483" t="s">
        <v>335</v>
      </c>
      <c r="H503" s="1484"/>
      <c r="I503" s="1481"/>
      <c r="J503" s="1481" t="s">
        <v>3771</v>
      </c>
      <c r="K503" s="1481"/>
      <c r="L503" s="2424"/>
      <c r="M503" s="515"/>
      <c r="N503" s="516"/>
      <c r="O503" s="1475"/>
      <c r="P503" s="1475"/>
      <c r="Q503" s="1365"/>
    </row>
    <row r="504" spans="1:17" s="548" customFormat="1">
      <c r="C504" s="515"/>
      <c r="D504" s="515"/>
      <c r="E504" s="515"/>
      <c r="F504" s="515"/>
      <c r="G504" s="1483" t="s">
        <v>873</v>
      </c>
      <c r="H504" s="1484"/>
      <c r="I504" s="1481"/>
      <c r="J504" s="1481" t="s">
        <v>3969</v>
      </c>
      <c r="K504" s="515"/>
      <c r="L504" s="2424"/>
      <c r="M504" s="515"/>
      <c r="N504" s="516"/>
      <c r="O504" s="1475"/>
      <c r="P504" s="1475"/>
      <c r="Q504" s="1365"/>
    </row>
    <row r="505" spans="1:17" s="548" customFormat="1">
      <c r="C505" s="515"/>
      <c r="D505" s="515"/>
      <c r="E505" s="515"/>
      <c r="F505" s="515"/>
      <c r="G505" s="1483" t="s">
        <v>1923</v>
      </c>
      <c r="H505" s="1484"/>
      <c r="I505" s="1481"/>
      <c r="J505" s="1481" t="s">
        <v>3772</v>
      </c>
      <c r="K505" s="515"/>
      <c r="L505" s="2425"/>
      <c r="M505" s="515"/>
      <c r="N505" s="516"/>
      <c r="O505" s="1475"/>
      <c r="P505" s="1475"/>
      <c r="Q505" s="1365"/>
    </row>
    <row r="506" spans="1:17" s="548" customFormat="1">
      <c r="C506" s="515"/>
      <c r="D506" s="515"/>
      <c r="E506" s="515"/>
      <c r="F506" s="515"/>
      <c r="G506" s="1483" t="s">
        <v>1927</v>
      </c>
      <c r="H506" s="1484"/>
      <c r="I506" s="1481"/>
      <c r="J506" s="1481" t="s">
        <v>3970</v>
      </c>
      <c r="K506" s="515"/>
      <c r="L506" s="2424"/>
      <c r="M506" s="515"/>
      <c r="N506" s="516"/>
      <c r="O506" s="1475"/>
      <c r="P506" s="1475"/>
      <c r="Q506" s="1365"/>
    </row>
    <row r="507" spans="1:17" s="548" customFormat="1">
      <c r="C507" s="515"/>
      <c r="D507" s="515"/>
      <c r="E507" s="515"/>
      <c r="F507" s="515"/>
      <c r="G507" s="1483" t="s">
        <v>455</v>
      </c>
      <c r="H507" s="1484"/>
      <c r="I507" s="1481"/>
      <c r="J507" s="1481" t="s">
        <v>3975</v>
      </c>
      <c r="K507" s="515"/>
      <c r="L507" s="2424"/>
      <c r="M507" s="515"/>
      <c r="N507" s="516"/>
      <c r="O507" s="1475"/>
      <c r="P507" s="1475"/>
      <c r="Q507" s="1365"/>
    </row>
    <row r="508" spans="1:17" s="548" customFormat="1">
      <c r="C508" s="515"/>
      <c r="D508" s="515"/>
      <c r="E508" s="515"/>
      <c r="F508" s="515"/>
      <c r="G508" s="1483" t="s">
        <v>3618</v>
      </c>
      <c r="H508" s="1484"/>
      <c r="I508" s="1481"/>
      <c r="J508" s="1481" t="s">
        <v>3978</v>
      </c>
      <c r="K508" s="1481"/>
      <c r="L508" s="2425"/>
      <c r="M508" s="515"/>
      <c r="N508" s="516"/>
      <c r="O508" s="1475"/>
      <c r="P508" s="1475"/>
      <c r="Q508" s="1365"/>
    </row>
    <row r="509" spans="1:17" s="548" customFormat="1">
      <c r="C509" s="515"/>
      <c r="D509" s="1485"/>
      <c r="E509" s="515"/>
      <c r="F509" s="515"/>
      <c r="G509" s="1483" t="s">
        <v>420</v>
      </c>
      <c r="H509" s="1484"/>
      <c r="I509" s="1481"/>
      <c r="J509" s="1481" t="s">
        <v>3773</v>
      </c>
      <c r="K509" s="515"/>
      <c r="L509" s="2424"/>
      <c r="M509" s="515"/>
      <c r="N509" s="516"/>
      <c r="O509" s="1475"/>
      <c r="P509" s="1475"/>
      <c r="Q509" s="1365"/>
    </row>
    <row r="510" spans="1:17" s="548" customFormat="1">
      <c r="C510" s="515"/>
      <c r="D510" s="1485"/>
      <c r="E510" s="515"/>
      <c r="F510" s="515"/>
      <c r="G510" s="1483" t="s">
        <v>234</v>
      </c>
      <c r="H510" s="1484"/>
      <c r="I510" s="1481"/>
      <c r="J510" s="1481" t="s">
        <v>3774</v>
      </c>
      <c r="K510" s="515"/>
      <c r="L510" s="2424"/>
      <c r="M510" s="515"/>
      <c r="N510" s="516"/>
      <c r="O510" s="1475"/>
      <c r="P510" s="1475"/>
      <c r="Q510" s="1365"/>
    </row>
    <row r="511" spans="1:17" s="548" customFormat="1">
      <c r="C511" s="515"/>
      <c r="D511" s="1486"/>
      <c r="E511" s="515"/>
      <c r="F511" s="515"/>
      <c r="G511" s="1483" t="s">
        <v>1221</v>
      </c>
      <c r="H511" s="1484"/>
      <c r="I511" s="1481"/>
      <c r="J511" s="1481" t="s">
        <v>3973</v>
      </c>
      <c r="K511" s="515"/>
      <c r="L511" s="2424"/>
      <c r="M511" s="515"/>
      <c r="N511" s="516"/>
      <c r="O511" s="1475"/>
      <c r="P511" s="1475"/>
      <c r="Q511" s="1365"/>
    </row>
    <row r="512" spans="1:17" s="548" customFormat="1">
      <c r="C512" s="515"/>
      <c r="D512" s="1486"/>
      <c r="E512" s="1486"/>
      <c r="F512" s="515"/>
      <c r="G512" s="1483" t="s">
        <v>1223</v>
      </c>
      <c r="H512" s="1484"/>
      <c r="I512" s="1481"/>
      <c r="J512" s="1481" t="s">
        <v>3976</v>
      </c>
      <c r="K512" s="515"/>
      <c r="L512" s="2425"/>
      <c r="M512" s="515"/>
      <c r="N512" s="516"/>
      <c r="O512" s="1475"/>
      <c r="P512" s="1475"/>
      <c r="Q512" s="1365"/>
    </row>
    <row r="513" spans="3:17" s="548" customFormat="1">
      <c r="C513" s="515"/>
      <c r="D513" s="515"/>
      <c r="E513" s="515"/>
      <c r="F513" s="515"/>
      <c r="G513" s="1483" t="s">
        <v>1637</v>
      </c>
      <c r="H513" s="1484"/>
      <c r="I513" s="1481"/>
      <c r="J513" s="1481" t="s">
        <v>3977</v>
      </c>
      <c r="K513" s="515"/>
      <c r="L513" s="2424"/>
      <c r="M513" s="515"/>
      <c r="N513" s="516"/>
      <c r="O513" s="1475"/>
      <c r="P513" s="1475"/>
      <c r="Q513" s="1365"/>
    </row>
    <row r="514" spans="3:17" s="548" customFormat="1">
      <c r="C514" s="515"/>
      <c r="D514" s="515"/>
      <c r="E514" s="515"/>
      <c r="F514" s="515"/>
      <c r="G514" s="1483" t="s">
        <v>985</v>
      </c>
      <c r="H514" s="1484"/>
      <c r="I514" s="1481"/>
      <c r="J514" s="1481" t="s">
        <v>3775</v>
      </c>
      <c r="K514" s="515"/>
      <c r="L514" s="2424"/>
      <c r="M514" s="515"/>
      <c r="N514" s="516"/>
      <c r="O514" s="1475"/>
      <c r="P514" s="1475"/>
      <c r="Q514" s="1365"/>
    </row>
    <row r="515" spans="3:17" s="548" customFormat="1">
      <c r="C515" s="1485"/>
      <c r="D515" s="515"/>
      <c r="E515" s="515"/>
      <c r="F515" s="515"/>
      <c r="G515" s="1483" t="s">
        <v>574</v>
      </c>
      <c r="H515" s="1481"/>
      <c r="I515" s="1481"/>
      <c r="J515" s="1481" t="s">
        <v>3776</v>
      </c>
      <c r="K515" s="515"/>
      <c r="L515" s="2424"/>
      <c r="M515" s="515"/>
      <c r="N515" s="516"/>
      <c r="O515" s="1475"/>
      <c r="P515" s="1475"/>
      <c r="Q515" s="1365"/>
    </row>
    <row r="516" spans="3:17" s="548" customFormat="1">
      <c r="C516" s="1485"/>
      <c r="D516" s="515"/>
      <c r="E516" s="515"/>
      <c r="F516" s="515"/>
      <c r="G516" s="1483" t="s">
        <v>1638</v>
      </c>
      <c r="H516" s="1481"/>
      <c r="I516" s="1481"/>
      <c r="J516" s="1481"/>
      <c r="K516" s="515"/>
      <c r="L516" s="2424"/>
      <c r="M516" s="515"/>
      <c r="N516" s="516"/>
      <c r="O516" s="1475"/>
      <c r="P516" s="1475"/>
      <c r="Q516" s="1365"/>
    </row>
    <row r="517" spans="3:17" s="548" customFormat="1">
      <c r="C517" s="1485"/>
      <c r="D517" s="515"/>
      <c r="E517" s="515"/>
      <c r="F517" s="515"/>
      <c r="G517" s="1483" t="s">
        <v>1679</v>
      </c>
      <c r="H517" s="1481"/>
      <c r="I517" s="1481"/>
      <c r="J517" s="1481"/>
      <c r="K517" s="515"/>
      <c r="L517" s="2424"/>
      <c r="M517" s="515"/>
      <c r="N517" s="516"/>
      <c r="O517" s="1475"/>
      <c r="P517" s="1475"/>
      <c r="Q517" s="1365"/>
    </row>
    <row r="518" spans="3:17" s="548" customFormat="1">
      <c r="C518" s="1485"/>
      <c r="D518" s="515"/>
      <c r="E518" s="515"/>
      <c r="F518" s="515"/>
      <c r="G518" s="1483" t="s">
        <v>1740</v>
      </c>
      <c r="H518" s="1481"/>
      <c r="I518" s="1481"/>
      <c r="J518" s="1481"/>
      <c r="K518" s="515"/>
      <c r="L518" s="2424"/>
      <c r="M518" s="515"/>
      <c r="N518" s="516"/>
      <c r="O518" s="1475"/>
      <c r="P518" s="1475"/>
      <c r="Q518" s="1365"/>
    </row>
    <row r="519" spans="3:17" s="548" customFormat="1">
      <c r="C519" s="1485"/>
      <c r="D519" s="515"/>
      <c r="E519" s="515"/>
      <c r="F519" s="515"/>
      <c r="G519" s="1483" t="s">
        <v>3392</v>
      </c>
      <c r="H519" s="1481"/>
      <c r="I519" s="1481"/>
      <c r="J519" s="1481"/>
      <c r="K519" s="515"/>
      <c r="L519" s="2424"/>
      <c r="M519" s="515"/>
      <c r="N519" s="516"/>
      <c r="O519" s="1475"/>
      <c r="P519" s="1475"/>
      <c r="Q519" s="1365"/>
    </row>
    <row r="520" spans="3:17" s="548" customFormat="1">
      <c r="C520" s="1485"/>
      <c r="D520" s="515"/>
      <c r="E520" s="515"/>
      <c r="F520" s="515"/>
      <c r="G520" s="1483" t="s">
        <v>821</v>
      </c>
      <c r="H520" s="1481"/>
      <c r="I520" s="1481"/>
      <c r="J520" s="1481"/>
      <c r="K520" s="515"/>
      <c r="L520" s="2424"/>
      <c r="M520" s="515"/>
      <c r="N520" s="516"/>
      <c r="O520" s="1475"/>
      <c r="P520" s="1475"/>
      <c r="Q520" s="1365"/>
    </row>
    <row r="521" spans="3:17" s="548" customFormat="1">
      <c r="C521" s="1485"/>
      <c r="D521" s="515"/>
      <c r="E521" s="515"/>
      <c r="F521" s="515"/>
      <c r="G521" s="1483" t="s">
        <v>179</v>
      </c>
      <c r="H521" s="1481"/>
      <c r="I521" s="1481"/>
      <c r="J521" s="1481"/>
      <c r="K521" s="515"/>
      <c r="L521" s="2425"/>
      <c r="M521" s="515"/>
      <c r="N521" s="516"/>
      <c r="O521" s="1475"/>
      <c r="P521" s="1475"/>
      <c r="Q521" s="1365"/>
    </row>
    <row r="522" spans="3:17" s="548" customFormat="1">
      <c r="C522" s="1486"/>
      <c r="D522" s="515"/>
      <c r="E522" s="515"/>
      <c r="F522" s="515"/>
      <c r="G522" s="1483" t="s">
        <v>4060</v>
      </c>
      <c r="H522" s="1481"/>
      <c r="I522" s="1481"/>
      <c r="J522" s="1481"/>
      <c r="K522" s="515"/>
      <c r="L522" s="2425"/>
      <c r="M522" s="515"/>
      <c r="N522" s="516"/>
      <c r="O522" s="1475"/>
      <c r="P522" s="1475"/>
      <c r="Q522" s="1365"/>
    </row>
    <row r="523" spans="3:17" s="548" customFormat="1">
      <c r="C523" s="1486"/>
      <c r="D523" s="515"/>
      <c r="E523" s="515"/>
      <c r="F523" s="515"/>
      <c r="G523" s="1483" t="s">
        <v>521</v>
      </c>
      <c r="H523" s="1481"/>
      <c r="I523" s="1481"/>
      <c r="J523" s="1481"/>
      <c r="K523" s="515"/>
      <c r="L523" s="1481"/>
      <c r="M523" s="515"/>
      <c r="N523" s="516"/>
      <c r="O523" s="1475"/>
      <c r="P523" s="1475"/>
      <c r="Q523" s="1365"/>
    </row>
    <row r="524" spans="3:17" s="548" customFormat="1">
      <c r="C524" s="515"/>
      <c r="D524" s="515"/>
      <c r="E524" s="515"/>
      <c r="F524" s="515"/>
      <c r="G524" s="1483" t="s">
        <v>529</v>
      </c>
      <c r="H524" s="1481"/>
      <c r="I524" s="1481"/>
      <c r="J524" s="1481"/>
      <c r="K524" s="515"/>
      <c r="L524" s="1481"/>
      <c r="M524" s="515"/>
      <c r="N524" s="516"/>
      <c r="O524" s="1475"/>
      <c r="P524" s="1475"/>
      <c r="Q524" s="1365"/>
    </row>
    <row r="525" spans="3:17" s="548" customFormat="1">
      <c r="C525" s="515"/>
      <c r="D525" s="515"/>
      <c r="E525" s="515"/>
      <c r="F525" s="515"/>
      <c r="G525" s="1483" t="s">
        <v>542</v>
      </c>
      <c r="H525" s="1481"/>
      <c r="I525" s="1481"/>
      <c r="J525" s="1481"/>
      <c r="K525" s="1481"/>
      <c r="L525" s="515"/>
      <c r="M525" s="515"/>
      <c r="N525" s="516"/>
      <c r="O525" s="1475"/>
      <c r="P525" s="1475"/>
      <c r="Q525" s="1365"/>
    </row>
    <row r="526" spans="3:17" s="548" customFormat="1">
      <c r="C526" s="515"/>
      <c r="D526" s="515"/>
      <c r="E526" s="515"/>
      <c r="F526" s="515"/>
      <c r="G526" s="1483" t="s">
        <v>1635</v>
      </c>
      <c r="H526" s="1481"/>
      <c r="I526" s="1481"/>
      <c r="J526" s="1481"/>
      <c r="K526" s="1481"/>
      <c r="L526" s="515"/>
      <c r="M526" s="515"/>
      <c r="N526" s="516"/>
      <c r="O526" s="1475"/>
      <c r="P526" s="1475"/>
      <c r="Q526" s="1365"/>
    </row>
    <row r="527" spans="3:17" s="548" customFormat="1">
      <c r="C527" s="515"/>
      <c r="D527" s="515"/>
      <c r="E527" s="515"/>
      <c r="F527" s="515"/>
      <c r="G527" s="1483" t="s">
        <v>2094</v>
      </c>
      <c r="H527" s="1481"/>
      <c r="I527" s="1481"/>
      <c r="J527" s="1481"/>
      <c r="K527" s="1481"/>
      <c r="L527" s="515"/>
      <c r="M527" s="515"/>
      <c r="N527" s="516"/>
      <c r="O527" s="1475"/>
      <c r="P527" s="1475"/>
      <c r="Q527" s="1365"/>
    </row>
    <row r="528" spans="3:17" s="548" customFormat="1">
      <c r="C528" s="515"/>
      <c r="D528" s="515"/>
      <c r="E528" s="515"/>
      <c r="F528" s="515"/>
      <c r="G528" s="1483" t="s">
        <v>2247</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1438</v>
      </c>
      <c r="H530" s="1481"/>
      <c r="I530" s="1481"/>
      <c r="J530" s="1481"/>
      <c r="K530" s="1481"/>
      <c r="L530" s="515"/>
      <c r="M530" s="515"/>
      <c r="N530" s="516"/>
      <c r="O530" s="1475"/>
      <c r="P530" s="1475"/>
      <c r="Q530" s="1365"/>
    </row>
    <row r="531" spans="3:17" s="548" customFormat="1">
      <c r="C531" s="515"/>
      <c r="D531" s="515"/>
      <c r="E531" s="515"/>
      <c r="F531" s="515"/>
      <c r="G531" s="1483" t="s">
        <v>2121</v>
      </c>
      <c r="H531" s="1481"/>
      <c r="I531" s="1481"/>
      <c r="J531" s="1481"/>
      <c r="K531" s="1481"/>
      <c r="L531" s="515"/>
      <c r="M531" s="515"/>
      <c r="N531" s="516"/>
      <c r="O531" s="1475"/>
      <c r="P531" s="1475"/>
      <c r="Q531" s="1365"/>
    </row>
    <row r="532" spans="3:17" s="548" customFormat="1">
      <c r="C532" s="515"/>
      <c r="D532" s="515"/>
      <c r="E532" s="515"/>
      <c r="F532" s="515"/>
      <c r="G532" s="1483" t="s">
        <v>1441</v>
      </c>
      <c r="H532" s="1481"/>
      <c r="I532" s="1481"/>
      <c r="J532" s="1481"/>
      <c r="K532" s="1481"/>
      <c r="L532" s="515"/>
      <c r="M532" s="515"/>
      <c r="N532" s="516"/>
      <c r="O532" s="1475"/>
      <c r="P532" s="1475"/>
      <c r="Q532" s="1365"/>
    </row>
    <row r="533" spans="3:17" s="548" customFormat="1">
      <c r="C533" s="515"/>
      <c r="D533" s="515"/>
      <c r="E533" s="515"/>
      <c r="F533" s="515"/>
      <c r="G533" s="1483" t="s">
        <v>1556</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1043</v>
      </c>
      <c r="H536" s="515"/>
      <c r="I536" s="515"/>
      <c r="J536" s="1481"/>
      <c r="K536" s="515"/>
      <c r="L536" s="91"/>
      <c r="M536" s="91"/>
      <c r="N536" s="2436"/>
      <c r="O536" s="2536"/>
      <c r="P536" s="2536"/>
      <c r="Q536" s="1365"/>
    </row>
    <row r="537" spans="3:17" s="548" customFormat="1">
      <c r="C537" s="515"/>
      <c r="D537" s="515"/>
      <c r="E537" s="515"/>
      <c r="F537" s="515"/>
      <c r="G537" s="1483" t="s">
        <v>2267</v>
      </c>
      <c r="H537" s="515"/>
      <c r="I537" s="515"/>
      <c r="J537" s="1481"/>
      <c r="K537" s="515"/>
      <c r="L537" s="91"/>
      <c r="M537" s="91"/>
      <c r="N537" s="2436"/>
      <c r="O537" s="2536"/>
      <c r="P537" s="2536"/>
      <c r="Q537" s="1365"/>
    </row>
    <row r="538" spans="3:17" s="548" customFormat="1">
      <c r="C538" s="515"/>
      <c r="D538" s="515"/>
      <c r="E538" s="515"/>
      <c r="F538" s="515"/>
      <c r="G538" s="1476" t="s">
        <v>2163</v>
      </c>
      <c r="H538" s="515"/>
      <c r="I538" s="515"/>
      <c r="J538" s="1481"/>
      <c r="K538" s="515"/>
      <c r="L538" s="91"/>
      <c r="M538" s="91"/>
      <c r="N538" s="2436"/>
      <c r="O538" s="2536"/>
      <c r="P538" s="2536"/>
      <c r="Q538" s="1365"/>
    </row>
    <row r="539" spans="3:17" s="548" customFormat="1">
      <c r="C539" s="515"/>
      <c r="D539" s="515"/>
      <c r="E539" s="515"/>
      <c r="F539" s="515"/>
      <c r="G539" s="1476" t="s">
        <v>1639</v>
      </c>
      <c r="H539" s="515"/>
      <c r="I539" s="515"/>
      <c r="J539" s="1481"/>
      <c r="K539" s="515"/>
      <c r="L539" s="91"/>
      <c r="M539" s="91"/>
      <c r="N539" s="2436"/>
      <c r="O539" s="2536"/>
      <c r="P539" s="2536"/>
      <c r="Q539" s="1365"/>
    </row>
    <row r="540" spans="3:17" s="548" customFormat="1">
      <c r="C540" s="515"/>
      <c r="D540" s="515"/>
      <c r="E540" s="515"/>
      <c r="F540" s="515"/>
      <c r="G540" s="1476" t="s">
        <v>1887</v>
      </c>
      <c r="H540" s="515"/>
      <c r="I540" s="515"/>
      <c r="J540" s="515"/>
      <c r="K540" s="515"/>
      <c r="L540" s="91"/>
      <c r="M540" s="91"/>
      <c r="N540" s="2436"/>
      <c r="O540" s="2536"/>
      <c r="P540" s="2536"/>
      <c r="Q540" s="1365"/>
    </row>
    <row r="541" spans="3:17" s="548" customFormat="1">
      <c r="C541" s="515"/>
      <c r="D541" s="515"/>
      <c r="E541" s="515"/>
      <c r="F541" s="515"/>
      <c r="G541" s="1476" t="s">
        <v>502</v>
      </c>
      <c r="H541" s="515"/>
      <c r="I541" s="515"/>
      <c r="J541" s="515"/>
      <c r="K541" s="515"/>
      <c r="L541" s="91"/>
      <c r="M541" s="91"/>
      <c r="N541" s="2436"/>
      <c r="O541" s="2536"/>
      <c r="P541" s="2536"/>
      <c r="Q541" s="1365"/>
    </row>
    <row r="542" spans="3:17" s="548" customFormat="1">
      <c r="C542" s="515"/>
      <c r="D542" s="515"/>
      <c r="E542" s="515"/>
      <c r="F542" s="515"/>
      <c r="G542" s="1476" t="s">
        <v>2259</v>
      </c>
      <c r="H542" s="515"/>
      <c r="I542" s="515"/>
      <c r="J542" s="515"/>
      <c r="K542" s="515"/>
      <c r="L542" s="91"/>
      <c r="M542" s="91"/>
      <c r="N542" s="2436"/>
      <c r="O542" s="2536"/>
      <c r="P542" s="2536"/>
      <c r="Q542" s="1365"/>
    </row>
    <row r="543" spans="3:17" s="548" customFormat="1">
      <c r="C543" s="515"/>
      <c r="D543" s="515"/>
      <c r="E543" s="515"/>
      <c r="F543" s="515"/>
      <c r="G543" s="1476" t="s">
        <v>2126</v>
      </c>
      <c r="H543" s="515"/>
      <c r="I543" s="515"/>
      <c r="J543" s="515"/>
      <c r="K543" s="515"/>
      <c r="L543" s="91"/>
      <c r="M543" s="91"/>
      <c r="N543" s="2436"/>
      <c r="O543" s="2536"/>
      <c r="P543" s="2536"/>
      <c r="Q543" s="1365"/>
    </row>
    <row r="544" spans="3:17" s="548" customFormat="1">
      <c r="C544" s="515"/>
      <c r="D544" s="515"/>
      <c r="E544" s="515"/>
      <c r="F544" s="515"/>
      <c r="G544" s="1476" t="s">
        <v>1640</v>
      </c>
      <c r="H544" s="515"/>
      <c r="I544" s="515"/>
      <c r="J544" s="515"/>
      <c r="K544" s="515"/>
      <c r="L544" s="91"/>
      <c r="M544" s="91"/>
      <c r="N544" s="2436"/>
      <c r="O544" s="2536"/>
      <c r="P544" s="2536"/>
      <c r="Q544" s="1365"/>
    </row>
    <row r="545" spans="3:17" s="548" customFormat="1">
      <c r="C545" s="515"/>
      <c r="D545" s="515"/>
      <c r="E545" s="515"/>
      <c r="F545" s="515"/>
      <c r="G545" s="1476" t="s">
        <v>2333</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4606</v>
      </c>
      <c r="N547" s="1205"/>
      <c r="O547" s="1206"/>
      <c r="P547" s="1206"/>
    </row>
    <row r="548" spans="3:17" s="548" customFormat="1">
      <c r="G548" s="1481" t="s">
        <v>2260</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22:I422">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formula1>"&lt; Select &gt;,5%, 10%, 15%, 20%"</formula1>
    </dataValidation>
    <dataValidation type="list" allowBlank="1" showInputMessage="1" showErrorMessage="1" sqref="O283:P283">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formula1>"Yes, No, N/a"</formula1>
    </dataValidation>
    <dataValidation type="list" allowBlank="1" showInputMessage="1" showErrorMessage="1" sqref="O138:P138 K202:L202">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dataValidation type="list" allowBlank="1" showInputMessage="1" showErrorMessage="1" sqref="P188 P447 P341 O156:P156 P368 P439 P227 P237 H166:H168 P152 P154 K193:L193 P419 K195:L200">
      <formula1>"Yes, No"</formula1>
    </dataValidation>
    <dataValidation type="whole" operator="equal" allowBlank="1" showInputMessage="1" showErrorMessage="1" sqref="P87:P89 P109 P95:P97 P115 P137">
      <formula1>$M87</formula1>
    </dataValidation>
    <dataValidation type="whole" operator="lessThanOrEqual" allowBlank="1" showInputMessage="1" showErrorMessage="1" sqref="O64:P64 O206 O87 O95 P52">
      <formula1>$M52</formula1>
    </dataValidation>
    <dataValidation type="list" allowBlank="1" showInputMessage="1" showErrorMessage="1" sqref="L121:N124">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formula1>"0,1"</formula1>
    </dataValidation>
    <dataValidation type="list" allowBlank="1" showInputMessage="1" showErrorMessage="1" sqref="I370:L370">
      <formula1>$G$483:$G$558</formula1>
    </dataValidation>
    <dataValidation type="whole" operator="equal" allowBlank="1" showErrorMessage="1" errorTitle="Incorrect Point Value Entered" error="Please re-check the point value for this criterion." sqref="O52:O53">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6" t="s">
        <v>4202</v>
      </c>
    </row>
    <row r="2" spans="1:6" s="33" customFormat="1" ht="13.5" customHeight="1">
      <c r="A2" s="985" t="str">
        <f>'Part I-Project Information'!$F$34</f>
        <v>55 Milton</v>
      </c>
    </row>
    <row r="3" spans="1:6" s="33" customFormat="1" ht="13.5" customHeight="1">
      <c r="A3" s="985" t="str">
        <f>CONCATENATE('Part I-Project Information'!$F$38,", ", 'Part I-Project Information'!$J$39," County")</f>
        <v>Atlanta, Fulton County</v>
      </c>
    </row>
    <row r="4" spans="1:6" ht="6.75" customHeight="1"/>
    <row r="5" spans="1:6" ht="113.25" customHeight="1">
      <c r="A5" s="2880" t="s">
        <v>4203</v>
      </c>
      <c r="B5" s="4170" t="s">
        <v>4204</v>
      </c>
      <c r="C5" s="4170"/>
      <c r="D5" s="4170"/>
      <c r="E5" s="4170"/>
      <c r="F5" s="4170"/>
    </row>
    <row r="6" spans="1:6" ht="6.6" customHeight="1">
      <c r="A6" s="2880"/>
      <c r="B6" s="4170"/>
      <c r="C6" s="4170"/>
      <c r="D6" s="4170"/>
      <c r="E6" s="4170"/>
      <c r="F6" s="4170"/>
    </row>
    <row r="7" spans="1:6" ht="134.25" customHeight="1">
      <c r="A7" s="2880"/>
      <c r="B7" s="4170"/>
      <c r="C7" s="4170"/>
      <c r="D7" s="4170"/>
      <c r="E7" s="4170"/>
      <c r="F7" s="4170"/>
    </row>
    <row r="8" spans="1:6" ht="6.6" customHeight="1">
      <c r="A8" s="2880"/>
    </row>
    <row r="9" spans="1:6" ht="111" customHeight="1">
      <c r="A9" s="2880"/>
    </row>
    <row r="10" spans="1:6" ht="6.6" customHeight="1">
      <c r="A10" s="2880"/>
    </row>
    <row r="11" spans="1:6" ht="111" customHeight="1">
      <c r="A11" s="2880"/>
    </row>
    <row r="12" spans="1:6" ht="6.6" customHeight="1">
      <c r="A12" s="2880"/>
    </row>
    <row r="13" spans="1:6" ht="111" customHeight="1">
      <c r="A13" s="2880"/>
    </row>
    <row r="14" spans="1:6" ht="6.6" customHeight="1">
      <c r="A14" s="2880"/>
    </row>
    <row r="15" spans="1:6" ht="111" customHeight="1">
      <c r="A15" s="2880"/>
    </row>
    <row r="16" spans="1:6" ht="6.6" customHeight="1">
      <c r="A16" s="2880"/>
    </row>
    <row r="17" spans="1:1" ht="111" customHeight="1">
      <c r="A17" s="2880"/>
    </row>
    <row r="18" spans="1:1" ht="6.6" customHeight="1">
      <c r="A18" s="2880"/>
    </row>
    <row r="19" spans="1:1" ht="105.75" customHeight="1">
      <c r="A19" s="2880"/>
    </row>
    <row r="20" spans="1:1" ht="6.6" customHeight="1">
      <c r="A20" s="2880"/>
    </row>
    <row r="21" spans="1:1" ht="105.75" customHeight="1">
      <c r="A21" s="2880"/>
    </row>
    <row r="22" spans="1:1" ht="6.6" customHeight="1">
      <c r="A22" s="2880"/>
    </row>
    <row r="23" spans="1:1" ht="105.75" customHeight="1">
      <c r="A23" s="2880"/>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9" customWidth="1"/>
    <col min="2" max="11" width="10.5703125" style="1539" customWidth="1"/>
    <col min="12" max="12" width="9.85546875" style="1539" customWidth="1"/>
    <col min="13" max="21" width="10.5703125" style="1539" customWidth="1"/>
    <col min="22" max="16384" width="9.140625" style="1539"/>
  </cols>
  <sheetData>
    <row r="1" spans="1:7" ht="3" customHeight="1"/>
    <row r="2" spans="1:7">
      <c r="A2" s="1538" t="s">
        <v>4205</v>
      </c>
    </row>
    <row r="3" spans="1:7" ht="3" customHeight="1"/>
    <row r="4" spans="1:7">
      <c r="A4" s="1539" t="s">
        <v>4206</v>
      </c>
      <c r="B4" s="1540">
        <f>+'Part IV-A-Uses of Funds'!$G$132</f>
        <v>32698126.5</v>
      </c>
    </row>
    <row r="5" spans="1:7">
      <c r="A5" s="1539" t="s">
        <v>4237</v>
      </c>
      <c r="B5" s="1540">
        <f>+B18+B26+B38</f>
        <v>7085840.1879102001</v>
      </c>
    </row>
    <row r="6" spans="1:7">
      <c r="A6" s="1539" t="s">
        <v>4207</v>
      </c>
      <c r="B6" s="1541">
        <f>+B5-B4</f>
        <v>-25612286.312089801</v>
      </c>
    </row>
    <row r="7" spans="1:7">
      <c r="A7" s="1539" t="s">
        <v>4208</v>
      </c>
      <c r="B7" s="1542">
        <f>+B6/B4</f>
        <v>-0.78329522372145088</v>
      </c>
    </row>
    <row r="8" spans="1:7" ht="9" customHeight="1"/>
    <row r="9" spans="1:7">
      <c r="A9" s="1539" t="s">
        <v>4209</v>
      </c>
      <c r="B9" s="1540">
        <f>+B18+B26+B33</f>
        <v>7085840.1879102001</v>
      </c>
    </row>
    <row r="10" spans="1:7">
      <c r="A10" s="1539" t="s">
        <v>4207</v>
      </c>
      <c r="B10" s="1541">
        <f>+B9-B4</f>
        <v>-25612286.312089801</v>
      </c>
    </row>
    <row r="11" spans="1:7">
      <c r="A11" s="1539" t="s">
        <v>4208</v>
      </c>
      <c r="B11" s="1542">
        <f>+B10/B4</f>
        <v>-0.78329522372145088</v>
      </c>
    </row>
    <row r="12" spans="1:7" ht="24" customHeight="1"/>
    <row r="13" spans="1:7">
      <c r="A13" s="1538" t="s">
        <v>4210</v>
      </c>
      <c r="D13" s="1617" t="s">
        <v>4471</v>
      </c>
      <c r="E13" s="1618"/>
    </row>
    <row r="14" spans="1:7">
      <c r="A14" s="1539" t="s">
        <v>4211</v>
      </c>
      <c r="B14" s="1543">
        <f>+SUM('Part III-Sources of Funds'!L49:M50)</f>
        <v>19293934.5</v>
      </c>
      <c r="D14" s="1618"/>
      <c r="E14" s="1618"/>
    </row>
    <row r="15" spans="1:7">
      <c r="A15" s="1539" t="s">
        <v>4212</v>
      </c>
      <c r="B15" s="1544">
        <f>+'Part IV-A-Uses of Funds'!J167</f>
        <v>1957901.7999999996</v>
      </c>
      <c r="D15" s="1618" t="s">
        <v>2044</v>
      </c>
      <c r="G15" s="1619">
        <f>'Part IV-A-Uses of Funds'!J155</f>
        <v>38039357.850000001</v>
      </c>
    </row>
    <row r="16" spans="1:7" ht="12.75" customHeight="1">
      <c r="D16" s="1618" t="s">
        <v>4472</v>
      </c>
      <c r="G16" s="1623">
        <v>3.2800000000000003E-2</v>
      </c>
    </row>
    <row r="17" spans="1:7" ht="12.75" customHeight="1">
      <c r="A17" s="1539" t="s">
        <v>4213</v>
      </c>
      <c r="B17" s="1622">
        <v>1.45</v>
      </c>
      <c r="D17" s="1618" t="s">
        <v>4473</v>
      </c>
      <c r="G17" s="1624">
        <v>1.45</v>
      </c>
    </row>
    <row r="18" spans="1:7" ht="12.75" customHeight="1">
      <c r="A18" s="1539" t="s">
        <v>4214</v>
      </c>
      <c r="B18" s="1545">
        <f>+'Part IV-A-Uses of Funds'!J174*B17*10</f>
        <v>0</v>
      </c>
      <c r="D18" s="1618" t="s">
        <v>4474</v>
      </c>
      <c r="G18" s="1624">
        <v>3.28</v>
      </c>
    </row>
    <row r="19" spans="1:7" ht="12.75" customHeight="1">
      <c r="D19" s="1618" t="s">
        <v>4475</v>
      </c>
      <c r="G19" s="1620">
        <f>+G15*G16*G17*10</f>
        <v>18091518.593460001</v>
      </c>
    </row>
    <row r="20" spans="1:7">
      <c r="A20" s="1539" t="s">
        <v>4215</v>
      </c>
      <c r="B20" s="1543">
        <f>+B18-B14</f>
        <v>-19293934.5</v>
      </c>
      <c r="D20" s="1618" t="s">
        <v>4476</v>
      </c>
      <c r="G20" s="1621">
        <f>+B14-G19</f>
        <v>1202415.9065399989</v>
      </c>
    </row>
    <row r="21" spans="1:7">
      <c r="A21" s="1539" t="s">
        <v>4216</v>
      </c>
      <c r="B21" s="1542">
        <f>+B20/B14</f>
        <v>-1</v>
      </c>
      <c r="D21" s="1618" t="s">
        <v>4477</v>
      </c>
      <c r="G21" s="1618" t="str">
        <f>+IF(G20&gt;(B28+B35),"No","Yes")</f>
        <v>No</v>
      </c>
    </row>
    <row r="22" spans="1:7" ht="24" customHeight="1"/>
    <row r="23" spans="1:7">
      <c r="A23" s="1538" t="s">
        <v>4217</v>
      </c>
    </row>
    <row r="24" spans="1:7">
      <c r="A24" s="1539" t="s">
        <v>4218</v>
      </c>
      <c r="B24" s="1546">
        <f>+SUM('Part III-Sources of Funds'!I38:J41)</f>
        <v>13112870</v>
      </c>
    </row>
    <row r="25" spans="1:7">
      <c r="A25" s="1539" t="s">
        <v>4219</v>
      </c>
      <c r="B25" s="1547">
        <f>IF('Part III-Sources of Funds'!E5="Yes","N/A",MAX(B46:P46))</f>
        <v>-27071.472783271456</v>
      </c>
    </row>
    <row r="26" spans="1:7">
      <c r="A26" s="1539" t="s">
        <v>4220</v>
      </c>
      <c r="B26" s="1537">
        <f>IFERROR(PV('Part III-Sources of Funds'!K38,'Part III-Sources of Funds'!L38,B25+B45),B24)</f>
        <v>7085840.1879102001</v>
      </c>
    </row>
    <row r="27" spans="1:7" ht="9" customHeight="1">
      <c r="B27" s="1537"/>
    </row>
    <row r="28" spans="1:7">
      <c r="A28" s="1539" t="s">
        <v>4221</v>
      </c>
      <c r="B28" s="1548">
        <f>+B26-B24</f>
        <v>-6027029.8120897999</v>
      </c>
      <c r="C28" s="1549"/>
    </row>
    <row r="29" spans="1:7">
      <c r="A29" s="1539" t="s">
        <v>4216</v>
      </c>
      <c r="B29" s="1550">
        <f>+B28/B24</f>
        <v>-0.4596270543435419</v>
      </c>
    </row>
    <row r="30" spans="1:7" ht="24" customHeight="1"/>
    <row r="31" spans="1:7">
      <c r="A31" s="1538" t="s">
        <v>4083</v>
      </c>
    </row>
    <row r="32" spans="1:7">
      <c r="A32" s="1539" t="s">
        <v>4222</v>
      </c>
      <c r="B32" s="1551">
        <f>+'Part III-Sources of Funds'!I43</f>
        <v>292478</v>
      </c>
    </row>
    <row r="33" spans="1:11">
      <c r="A33" s="1539" t="s">
        <v>4223</v>
      </c>
      <c r="B33" s="1537"/>
    </row>
    <row r="34" spans="1:11" ht="9" customHeight="1">
      <c r="B34" s="1537"/>
    </row>
    <row r="35" spans="1:11">
      <c r="A35" s="1539" t="s">
        <v>4224</v>
      </c>
      <c r="B35" s="1551">
        <f>+B33-B32</f>
        <v>-292478</v>
      </c>
    </row>
    <row r="36" spans="1:11">
      <c r="A36" s="1539" t="s">
        <v>4225</v>
      </c>
      <c r="B36" s="1536">
        <f>+B35/B32</f>
        <v>-1</v>
      </c>
    </row>
    <row r="37" spans="1:11" ht="24" customHeight="1">
      <c r="B37" s="1537"/>
    </row>
    <row r="38" spans="1:11">
      <c r="A38" s="1538" t="s">
        <v>4226</v>
      </c>
      <c r="B38" s="1537">
        <f>+SUM('Part III-Sources of Funds'!I42,'Part III-Sources of Funds'!I47,'Part III-Sources of Funds'!I48,'Part III-Sources of Funds'!I51:I57)</f>
        <v>0</v>
      </c>
    </row>
    <row r="39" spans="1:11">
      <c r="B39" s="1537"/>
    </row>
    <row r="40" spans="1:11">
      <c r="B40" s="1537"/>
    </row>
    <row r="41" spans="1:11">
      <c r="B41" s="1537"/>
    </row>
    <row r="42" spans="1:11">
      <c r="A42" s="1538" t="s">
        <v>4227</v>
      </c>
      <c r="B42" s="1537"/>
    </row>
    <row r="43" spans="1:11">
      <c r="A43" s="1539" t="s">
        <v>2479</v>
      </c>
      <c r="B43" s="1625">
        <v>1</v>
      </c>
      <c r="C43" s="1625">
        <v>2</v>
      </c>
      <c r="D43" s="1625">
        <v>3</v>
      </c>
      <c r="E43" s="1625">
        <v>4</v>
      </c>
      <c r="F43" s="1625">
        <v>5</v>
      </c>
      <c r="G43" s="1625">
        <v>6</v>
      </c>
      <c r="H43" s="1625">
        <v>7</v>
      </c>
      <c r="I43" s="1625">
        <v>8</v>
      </c>
      <c r="J43" s="1625">
        <v>9</v>
      </c>
      <c r="K43" s="1625">
        <v>10</v>
      </c>
    </row>
    <row r="44" spans="1:11">
      <c r="A44" s="1539" t="s">
        <v>1203</v>
      </c>
      <c r="B44" s="1540">
        <f>+'Part VII-Pro Forma'!B24</f>
        <v>690927.75600000005</v>
      </c>
      <c r="C44" s="1540">
        <f>+'Part VII-Pro Forma'!C24</f>
        <v>695866.87111999979</v>
      </c>
      <c r="D44" s="1540">
        <f>+'Part VII-Pro Forma'!D24</f>
        <v>700637.41834239976</v>
      </c>
      <c r="E44" s="1540">
        <f>+'Part VII-Pro Forma'!E24</f>
        <v>705230.18500324781</v>
      </c>
      <c r="F44" s="1540">
        <f>+'Part VII-Pro Forma'!F24</f>
        <v>709631.55574613297</v>
      </c>
      <c r="G44" s="1540">
        <f>+'Part VII-Pro Forma'!G24</f>
        <v>713829.49791516038</v>
      </c>
      <c r="H44" s="1540">
        <f>+'Part VII-Pro Forma'!H24</f>
        <v>717812.54645919125</v>
      </c>
      <c r="I44" s="1540">
        <f>+'Part VII-Pro Forma'!I24</f>
        <v>721565.78833167418</v>
      </c>
      <c r="J44" s="1540">
        <f>+'Part VII-Pro Forma'!J24</f>
        <v>725075.84636990668</v>
      </c>
      <c r="K44" s="1540">
        <f>+'Part VII-Pro Forma'!K24</f>
        <v>728328.86263705126</v>
      </c>
    </row>
    <row r="45" spans="1:11">
      <c r="A45" s="1539" t="s">
        <v>4228</v>
      </c>
      <c r="B45" s="1540">
        <f>SUM('Part VII-Pro Forma'!B25:B28)</f>
        <v>-548701.65721672866</v>
      </c>
      <c r="C45" s="1540">
        <f>SUM('Part VII-Pro Forma'!C25:C28)</f>
        <v>-548701.65721672866</v>
      </c>
      <c r="D45" s="1540">
        <f>SUM('Part VII-Pro Forma'!D25:D28)</f>
        <v>-548701.65721672866</v>
      </c>
      <c r="E45" s="1540">
        <f>SUM('Part VII-Pro Forma'!E25:E28)</f>
        <v>-548701.65721672866</v>
      </c>
      <c r="F45" s="1540">
        <f>SUM('Part VII-Pro Forma'!F25:F28)</f>
        <v>-548701.65721672866</v>
      </c>
      <c r="G45" s="1540">
        <f>SUM('Part VII-Pro Forma'!G25:G28)</f>
        <v>-548701.65721672866</v>
      </c>
      <c r="H45" s="1540">
        <f>SUM('Part VII-Pro Forma'!H25:H28)</f>
        <v>-548701.65721672866</v>
      </c>
      <c r="I45" s="1540">
        <f>SUM('Part VII-Pro Forma'!I25:I28)</f>
        <v>-548701.65721672866</v>
      </c>
      <c r="J45" s="1540">
        <f>SUM('Part VII-Pro Forma'!J25:J28)</f>
        <v>-548701.65721672866</v>
      </c>
      <c r="K45" s="1540">
        <f>SUM('Part VII-Pro Forma'!K25:K28)</f>
        <v>-548701.65721672866</v>
      </c>
    </row>
    <row r="46" spans="1:11">
      <c r="A46" s="1539" t="s">
        <v>4229</v>
      </c>
      <c r="B46" s="1541">
        <f t="shared" ref="B46:K46" si="0">-B44/B48-B45</f>
        <v>-27071.472783271456</v>
      </c>
      <c r="C46" s="1541">
        <f t="shared" si="0"/>
        <v>-31187.402049937868</v>
      </c>
      <c r="D46" s="1541">
        <f t="shared" si="0"/>
        <v>-35162.858068604488</v>
      </c>
      <c r="E46" s="1541">
        <f t="shared" si="0"/>
        <v>-38990.163619311177</v>
      </c>
      <c r="F46" s="1541">
        <f t="shared" si="0"/>
        <v>-42657.97257171548</v>
      </c>
      <c r="G46" s="1541">
        <f t="shared" si="0"/>
        <v>-46156.257712571649</v>
      </c>
      <c r="H46" s="1541">
        <f t="shared" si="0"/>
        <v>-49475.464832597412</v>
      </c>
      <c r="I46" s="1541">
        <f t="shared" si="0"/>
        <v>-52603.166392999818</v>
      </c>
      <c r="J46" s="1541">
        <f t="shared" si="0"/>
        <v>-55528.214758193586</v>
      </c>
      <c r="K46" s="1541">
        <f t="shared" si="0"/>
        <v>-58239.061647480703</v>
      </c>
    </row>
    <row r="48" spans="1:11">
      <c r="A48" s="1539" t="s">
        <v>4230</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1164</v>
      </c>
    </row>
    <row r="51" spans="1:17">
      <c r="A51" s="1539" t="s">
        <v>1203</v>
      </c>
      <c r="B51" s="1541">
        <f>+B44</f>
        <v>690927.75600000005</v>
      </c>
      <c r="C51" s="1541">
        <f t="shared" ref="C51:K51" si="2">+C44</f>
        <v>695866.87111999979</v>
      </c>
      <c r="D51" s="1541">
        <f t="shared" si="2"/>
        <v>700637.41834239976</v>
      </c>
      <c r="E51" s="1541">
        <f t="shared" si="2"/>
        <v>705230.18500324781</v>
      </c>
      <c r="F51" s="1541">
        <f t="shared" si="2"/>
        <v>709631.55574613297</v>
      </c>
      <c r="G51" s="1541">
        <f t="shared" si="2"/>
        <v>713829.49791516038</v>
      </c>
      <c r="H51" s="1541">
        <f t="shared" si="2"/>
        <v>717812.54645919125</v>
      </c>
      <c r="I51" s="1541">
        <f t="shared" si="2"/>
        <v>721565.78833167418</v>
      </c>
      <c r="J51" s="1541">
        <f t="shared" si="2"/>
        <v>725075.84636990668</v>
      </c>
      <c r="K51" s="1541">
        <f t="shared" si="2"/>
        <v>728328.86263705126</v>
      </c>
    </row>
    <row r="52" spans="1:17">
      <c r="A52" s="1539" t="s">
        <v>4231</v>
      </c>
      <c r="B52" s="1541">
        <f>IF($B$25="N/A",B45,B45+$B$25)</f>
        <v>-575773.13000000012</v>
      </c>
      <c r="C52" s="1541">
        <f t="shared" ref="C52:K52" si="3">IF($B$25="N/A",C45,C45+$B$25)</f>
        <v>-575773.13000000012</v>
      </c>
      <c r="D52" s="1541">
        <f t="shared" si="3"/>
        <v>-575773.13000000012</v>
      </c>
      <c r="E52" s="1541">
        <f t="shared" si="3"/>
        <v>-575773.13000000012</v>
      </c>
      <c r="F52" s="1541">
        <f t="shared" si="3"/>
        <v>-575773.13000000012</v>
      </c>
      <c r="G52" s="1541">
        <f t="shared" si="3"/>
        <v>-575773.13000000012</v>
      </c>
      <c r="H52" s="1541">
        <f t="shared" si="3"/>
        <v>-575773.13000000012</v>
      </c>
      <c r="I52" s="1541">
        <f t="shared" si="3"/>
        <v>-575773.13000000012</v>
      </c>
      <c r="J52" s="1541">
        <f t="shared" si="3"/>
        <v>-575773.13000000012</v>
      </c>
      <c r="K52" s="1541">
        <f t="shared" si="3"/>
        <v>-575773.13000000012</v>
      </c>
    </row>
    <row r="53" spans="1:17">
      <c r="A53" s="1539" t="s">
        <v>4232</v>
      </c>
      <c r="B53" s="1540">
        <f>+'Part VII-Pro Forma'!B30</f>
        <v>-5000</v>
      </c>
      <c r="C53" s="1540">
        <f>+'Part VII-Pro Forma'!C30</f>
        <v>-5150</v>
      </c>
      <c r="D53" s="1540">
        <f>+'Part VII-Pro Forma'!D30</f>
        <v>-5304.5</v>
      </c>
      <c r="E53" s="1540">
        <f>+'Part VII-Pro Forma'!E30</f>
        <v>-5463.6350000000002</v>
      </c>
      <c r="F53" s="1540">
        <f>+'Part VII-Pro Forma'!F30</f>
        <v>-5627.5440500000004</v>
      </c>
      <c r="G53" s="1540">
        <f>+'Part VII-Pro Forma'!G30</f>
        <v>-5796.3703715000001</v>
      </c>
      <c r="H53" s="1540">
        <f>+'Part VII-Pro Forma'!H30</f>
        <v>-5970.2614826449999</v>
      </c>
      <c r="I53" s="1540">
        <f>+'Part VII-Pro Forma'!I30</f>
        <v>-6149.3693271243501</v>
      </c>
      <c r="J53" s="1540">
        <f>+'Part VII-Pro Forma'!J30</f>
        <v>-6333.8504069380806</v>
      </c>
      <c r="K53" s="1540">
        <f>+'Part VII-Pro Forma'!K30</f>
        <v>-6523.865919146223</v>
      </c>
    </row>
    <row r="54" spans="1:17">
      <c r="A54" s="1539" t="s">
        <v>4233</v>
      </c>
      <c r="B54" s="1541">
        <f>+SUM(B51:B53)</f>
        <v>110154.62599999993</v>
      </c>
      <c r="C54" s="1541">
        <f t="shared" ref="C54:K54" si="4">+SUM(C51:C53)</f>
        <v>114943.74111999967</v>
      </c>
      <c r="D54" s="1541">
        <f t="shared" si="4"/>
        <v>119559.78834239964</v>
      </c>
      <c r="E54" s="1541">
        <f t="shared" si="4"/>
        <v>123993.42000324769</v>
      </c>
      <c r="F54" s="1541">
        <f t="shared" si="4"/>
        <v>128230.88169613286</v>
      </c>
      <c r="G54" s="1541">
        <f t="shared" si="4"/>
        <v>132259.99754366025</v>
      </c>
      <c r="H54" s="1541">
        <f t="shared" si="4"/>
        <v>136069.15497654612</v>
      </c>
      <c r="I54" s="1541">
        <f t="shared" si="4"/>
        <v>139643.2890045497</v>
      </c>
      <c r="J54" s="1541">
        <f t="shared" si="4"/>
        <v>142968.86596296847</v>
      </c>
      <c r="K54" s="1541">
        <f t="shared" si="4"/>
        <v>146031.86671790492</v>
      </c>
    </row>
    <row r="55" spans="1:17">
      <c r="A55" s="1539" t="s">
        <v>4083</v>
      </c>
      <c r="B55" s="1541">
        <f>-B54</f>
        <v>-110154.62599999993</v>
      </c>
      <c r="C55" s="1541">
        <f t="shared" ref="C55:K55" si="5">-C54</f>
        <v>-114943.74111999967</v>
      </c>
      <c r="D55" s="1541">
        <f t="shared" si="5"/>
        <v>-119559.78834239964</v>
      </c>
      <c r="E55" s="1541">
        <f t="shared" si="5"/>
        <v>-123993.42000324769</v>
      </c>
      <c r="F55" s="1541">
        <f t="shared" si="5"/>
        <v>-128230.88169613286</v>
      </c>
      <c r="G55" s="1541">
        <f t="shared" si="5"/>
        <v>-132259.99754366025</v>
      </c>
      <c r="H55" s="1541">
        <f t="shared" si="5"/>
        <v>-136069.15497654612</v>
      </c>
      <c r="I55" s="1541">
        <f t="shared" si="5"/>
        <v>-139643.2890045497</v>
      </c>
      <c r="J55" s="1541">
        <f t="shared" si="5"/>
        <v>-142968.86596296847</v>
      </c>
      <c r="K55" s="1541">
        <f t="shared" si="5"/>
        <v>-146031.86671790492</v>
      </c>
    </row>
    <row r="56" spans="1:17">
      <c r="A56" s="1539" t="s">
        <v>4234</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4235</v>
      </c>
      <c r="B58" s="1540">
        <f>IF($B$26="","",-FV('Part III-Sources of Funds'!$K$38/12,12,B52/12,B26))</f>
        <v>6812902.0636513941</v>
      </c>
      <c r="C58" s="1540">
        <f>IF($B$26="","",-FV('Part III-Sources of Funds'!$K$38/12,12,C52/12,B58))</f>
        <v>6527851.5331089944</v>
      </c>
      <c r="D58" s="1540">
        <f>IF($B$26="","",-FV('Part III-Sources of Funds'!$K$38/12,12,D52/12,C58))</f>
        <v>6230151.0737717077</v>
      </c>
      <c r="E58" s="1540">
        <f>IF($B$26="","",-FV('Part III-Sources of Funds'!$K$38/12,12,E52/12,D58))</f>
        <v>5919239.3090365473</v>
      </c>
      <c r="F58" s="1540">
        <f>IF($B$26="","",-FV('Part III-Sources of Funds'!$K$38/12,12,F52/12,E58))</f>
        <v>5594529.9496155996</v>
      </c>
      <c r="G58" s="1540">
        <f>IF($B$26="","",-FV('Part III-Sources of Funds'!$K$38/12,12,G52/12,F58))</f>
        <v>5255410.6879647132</v>
      </c>
      <c r="H58" s="1540">
        <f>IF($B$26="","",-FV('Part III-Sources of Funds'!$K$38/12,12,H52/12,G58))</f>
        <v>4901242.0436493028</v>
      </c>
      <c r="I58" s="1540">
        <f>IF($B$26="","",-FV('Part III-Sources of Funds'!$K$38/12,12,I52/12,H58))</f>
        <v>4531356.1574699804</v>
      </c>
      <c r="J58" s="1540">
        <f>IF($B$26="","",-FV('Part III-Sources of Funds'!$K$38/12,12,J52/12,I58))</f>
        <v>4145055.5320740747</v>
      </c>
      <c r="K58" s="1540">
        <f>IF($B$26="","",-FV('Part III-Sources of Funds'!$K$38/12,12,K52/12,J58))</f>
        <v>3741611.7166782073</v>
      </c>
    </row>
    <row r="59" spans="1:17">
      <c r="A59" s="1539" t="s">
        <v>4084</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4227</v>
      </c>
    </row>
    <row r="63" spans="1:17">
      <c r="A63" s="1539" t="s">
        <v>2479</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731309.48120973131</v>
      </c>
      <c r="C64" s="1540">
        <f>+'Part VII-Pro Forma'!C56</f>
        <v>734001.83039346244</v>
      </c>
      <c r="D64" s="1540">
        <f>+'Part VII-Pro Forma'!D56</f>
        <v>736389.50434765546</v>
      </c>
      <c r="E64" s="1540">
        <f>+'Part VII-Pro Forma'!E56</f>
        <v>738457.5441013216</v>
      </c>
      <c r="F64" s="1540">
        <f>+'Part VII-Pro Forma'!F56</f>
        <v>740186.41794006189</v>
      </c>
      <c r="G64" s="1540">
        <f>+'Part VII-Pro Forma'!G56</f>
        <v>741558.00114427833</v>
      </c>
      <c r="H64" s="1540">
        <f>+'Part VII-Pro Forma'!H56</f>
        <v>742554.55505794275</v>
      </c>
      <c r="I64" s="1540">
        <f>+'Part VII-Pro Forma'!I56</f>
        <v>743156.70546660339</v>
      </c>
      <c r="J64" s="1540">
        <f>+'Part VII-Pro Forma'!J56</f>
        <v>743342.420262662</v>
      </c>
      <c r="K64" s="1540">
        <f>+'Part VII-Pro Forma'!K56</f>
        <v>743091.98637524364</v>
      </c>
    </row>
    <row r="65" spans="1:11">
      <c r="A65" s="1539" t="s">
        <v>4228</v>
      </c>
      <c r="B65" s="1540">
        <f>SUM('Part VII-Pro Forma'!B57:B60)</f>
        <v>-548701.65721672866</v>
      </c>
      <c r="C65" s="1540">
        <f>SUM('Part VII-Pro Forma'!C57:C60)</f>
        <v>-548701.65721672866</v>
      </c>
      <c r="D65" s="1540">
        <f>SUM('Part VII-Pro Forma'!D57:D60)</f>
        <v>-548701.65721672866</v>
      </c>
      <c r="E65" s="1540">
        <f>SUM('Part VII-Pro Forma'!E57:E60)</f>
        <v>-548701.65721672866</v>
      </c>
      <c r="F65" s="1540">
        <f>SUM('Part VII-Pro Forma'!F57:F60)</f>
        <v>-548701.65721672866</v>
      </c>
      <c r="G65" s="1540">
        <f>SUM('Part VII-Pro Forma'!G57:G60)</f>
        <v>-548701.65721672866</v>
      </c>
      <c r="H65" s="1540">
        <f>SUM('Part VII-Pro Forma'!H57:H60)</f>
        <v>-548701.65721672866</v>
      </c>
      <c r="I65" s="1540">
        <f>SUM('Part VII-Pro Forma'!I57:I60)</f>
        <v>-548701.65721672866</v>
      </c>
      <c r="J65" s="1540">
        <f>SUM('Part VII-Pro Forma'!J57:J60)</f>
        <v>-548701.65721672866</v>
      </c>
      <c r="K65" s="1540">
        <f>SUM('Part VII-Pro Forma'!K57:K60)</f>
        <v>-548701.65721672866</v>
      </c>
    </row>
    <row r="66" spans="1:11">
      <c r="A66" s="1539" t="s">
        <v>4229</v>
      </c>
      <c r="B66" s="1541">
        <f t="shared" ref="B66:K66" si="7">-B64/B68-B65</f>
        <v>-60722.910458047409</v>
      </c>
      <c r="C66" s="1541">
        <f t="shared" si="7"/>
        <v>-62966.53477782337</v>
      </c>
      <c r="D66" s="1541">
        <f t="shared" si="7"/>
        <v>-64956.263072984293</v>
      </c>
      <c r="E66" s="1541">
        <f t="shared" si="7"/>
        <v>-66679.629534372711</v>
      </c>
      <c r="F66" s="1541">
        <f t="shared" si="7"/>
        <v>-68120.35773332289</v>
      </c>
      <c r="G66" s="1541">
        <f t="shared" si="7"/>
        <v>-69263.343736836687</v>
      </c>
      <c r="H66" s="1541">
        <f t="shared" si="7"/>
        <v>-70093.805331556941</v>
      </c>
      <c r="I66" s="1541">
        <f t="shared" si="7"/>
        <v>-70595.597338774242</v>
      </c>
      <c r="J66" s="1541">
        <f t="shared" si="7"/>
        <v>-70750.359668823075</v>
      </c>
      <c r="K66" s="1541">
        <f t="shared" si="7"/>
        <v>-70541.66476264107</v>
      </c>
    </row>
    <row r="68" spans="1:11">
      <c r="A68" s="1539" t="s">
        <v>4230</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1164</v>
      </c>
    </row>
    <row r="71" spans="1:11">
      <c r="A71" s="1539" t="s">
        <v>1203</v>
      </c>
      <c r="B71" s="1541">
        <f t="shared" ref="B71:G71" si="9">+B64</f>
        <v>731309.48120973131</v>
      </c>
      <c r="C71" s="1541">
        <f t="shared" si="9"/>
        <v>734001.83039346244</v>
      </c>
      <c r="D71" s="1541">
        <f t="shared" si="9"/>
        <v>736389.50434765546</v>
      </c>
      <c r="E71" s="1541">
        <f t="shared" si="9"/>
        <v>738457.5441013216</v>
      </c>
      <c r="F71" s="1541">
        <f t="shared" si="9"/>
        <v>740186.41794006189</v>
      </c>
      <c r="G71" s="1541">
        <f t="shared" si="9"/>
        <v>741558.00114427833</v>
      </c>
      <c r="H71" s="1541">
        <f>+H64</f>
        <v>742554.55505794275</v>
      </c>
      <c r="I71" s="1541">
        <f>+I64</f>
        <v>743156.70546660339</v>
      </c>
      <c r="J71" s="1541">
        <f>+J64</f>
        <v>743342.420262662</v>
      </c>
      <c r="K71" s="1541">
        <f>+K64</f>
        <v>743091.98637524364</v>
      </c>
    </row>
    <row r="72" spans="1:11">
      <c r="A72" s="1539" t="s">
        <v>4231</v>
      </c>
      <c r="B72" s="1541">
        <f t="shared" ref="B72:G72" si="10">IF($B$25="N/A",B65,B65+$B$25)</f>
        <v>-575773.13000000012</v>
      </c>
      <c r="C72" s="1541">
        <f t="shared" si="10"/>
        <v>-575773.13000000012</v>
      </c>
      <c r="D72" s="1541">
        <f t="shared" si="10"/>
        <v>-575773.13000000012</v>
      </c>
      <c r="E72" s="1541">
        <f t="shared" si="10"/>
        <v>-575773.13000000012</v>
      </c>
      <c r="F72" s="1541">
        <f t="shared" si="10"/>
        <v>-575773.13000000012</v>
      </c>
      <c r="G72" s="1541">
        <f t="shared" si="10"/>
        <v>-575773.13000000012</v>
      </c>
      <c r="H72" s="1541">
        <f>IF($B$25="N/A",H65,H65+$B$25)</f>
        <v>-575773.13000000012</v>
      </c>
      <c r="I72" s="1541">
        <f>IF($B$25="N/A",I65,I65+$B$25)</f>
        <v>-575773.13000000012</v>
      </c>
      <c r="J72" s="1541">
        <f>IF($B$25="N/A",J65,J65+$B$25)</f>
        <v>-575773.13000000012</v>
      </c>
      <c r="K72" s="1541">
        <f>IF($B$25="N/A",K65,K65+$B$25)</f>
        <v>-575773.13000000012</v>
      </c>
    </row>
    <row r="73" spans="1:11">
      <c r="A73" s="1539" t="s">
        <v>4232</v>
      </c>
      <c r="B73" s="1540">
        <f>+'Part VII-Pro Forma'!B62</f>
        <v>-6719.5818967206096</v>
      </c>
      <c r="C73" s="1540">
        <f>+'Part VII-Pro Forma'!C62</f>
        <v>-6921.1693536222283</v>
      </c>
      <c r="D73" s="1540">
        <f>+'Part VII-Pro Forma'!D62</f>
        <v>-7128.8044342308949</v>
      </c>
      <c r="E73" s="1540">
        <f>+'Part VII-Pro Forma'!E62</f>
        <v>-7342.6685672578224</v>
      </c>
      <c r="F73" s="1540">
        <f>+'Part VII-Pro Forma'!F62</f>
        <v>-7562.9486242755574</v>
      </c>
      <c r="G73" s="1540">
        <f>+'Part VII-Pro Forma'!G62</f>
        <v>0</v>
      </c>
      <c r="H73" s="1540">
        <f>+'Part VII-Pro Forma'!H62</f>
        <v>0</v>
      </c>
      <c r="I73" s="1540">
        <f>+'Part VII-Pro Forma'!I62</f>
        <v>0</v>
      </c>
      <c r="J73" s="1540">
        <f>+'Part VII-Pro Forma'!J62</f>
        <v>0</v>
      </c>
      <c r="K73" s="1540">
        <f>+'Part VII-Pro Forma'!K62</f>
        <v>0</v>
      </c>
    </row>
    <row r="74" spans="1:11">
      <c r="A74" s="1539" t="s">
        <v>4233</v>
      </c>
      <c r="B74" s="1541">
        <f t="shared" ref="B74:G74" si="11">+SUM(B71:B73)</f>
        <v>148816.76931301059</v>
      </c>
      <c r="C74" s="1541">
        <f t="shared" si="11"/>
        <v>151307.53103984011</v>
      </c>
      <c r="D74" s="1541">
        <f t="shared" si="11"/>
        <v>153487.56991342444</v>
      </c>
      <c r="E74" s="1541">
        <f t="shared" si="11"/>
        <v>155341.74553406367</v>
      </c>
      <c r="F74" s="1541">
        <f t="shared" si="11"/>
        <v>156850.3393157862</v>
      </c>
      <c r="G74" s="1541">
        <f t="shared" si="11"/>
        <v>165784.87114427821</v>
      </c>
      <c r="H74" s="1541">
        <f>+SUM(H71:H73)</f>
        <v>166781.42505794263</v>
      </c>
      <c r="I74" s="1541">
        <f>+SUM(I71:I73)</f>
        <v>167383.57546660327</v>
      </c>
      <c r="J74" s="1541">
        <f>+SUM(J71:J73)</f>
        <v>167569.29026266187</v>
      </c>
      <c r="K74" s="1541">
        <f>+SUM(K71:K73)</f>
        <v>167318.85637524351</v>
      </c>
    </row>
    <row r="75" spans="1:11">
      <c r="A75" s="1539" t="s">
        <v>4083</v>
      </c>
      <c r="B75" s="1541">
        <f t="shared" ref="B75:G75" si="12">-B74</f>
        <v>-148816.76931301059</v>
      </c>
      <c r="C75" s="1541">
        <f t="shared" si="12"/>
        <v>-151307.53103984011</v>
      </c>
      <c r="D75" s="1541">
        <f t="shared" si="12"/>
        <v>-153487.56991342444</v>
      </c>
      <c r="E75" s="1541">
        <f t="shared" si="12"/>
        <v>-155341.74553406367</v>
      </c>
      <c r="F75" s="1541">
        <f t="shared" si="12"/>
        <v>-156850.3393157862</v>
      </c>
      <c r="G75" s="1541">
        <f t="shared" si="12"/>
        <v>-165784.87114427821</v>
      </c>
      <c r="H75" s="1541">
        <f>-H74</f>
        <v>-166781.42505794263</v>
      </c>
      <c r="I75" s="1541">
        <f>-I74</f>
        <v>-167383.57546660327</v>
      </c>
      <c r="J75" s="1541">
        <f>-J74</f>
        <v>-167569.29026266187</v>
      </c>
      <c r="K75" s="1541">
        <f>-K74</f>
        <v>-167318.85637524351</v>
      </c>
    </row>
    <row r="76" spans="1:11">
      <c r="A76" s="1539" t="s">
        <v>4234</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4235</v>
      </c>
      <c r="B78" s="1540">
        <f>IF($B$26="","",-FV('Part III-Sources of Funds'!$K$38/12,12,B72/12,K58))</f>
        <v>3320263.9334216802</v>
      </c>
      <c r="C78" s="1540">
        <f>IF($B$26="","",-FV('Part III-Sources of Funds'!$K$38/12,12,C72/12,B78))</f>
        <v>2880217.6427603913</v>
      </c>
      <c r="D78" s="1540">
        <f>IF($B$26="","",-FV('Part III-Sources of Funds'!$K$38/12,12,D72/12,C78))</f>
        <v>2420643.0451960168</v>
      </c>
      <c r="E78" s="1540">
        <f>IF($B$26="","",-FV('Part III-Sources of Funds'!$K$38/12,12,E72/12,D78))</f>
        <v>1940673.5165151637</v>
      </c>
      <c r="F78" s="1540">
        <f>IF($B$26="","",-FV('Part III-Sources of Funds'!$K$38/12,12,F72/12,E78))</f>
        <v>1439403.9735878012</v>
      </c>
      <c r="G78" s="1540">
        <f>IF($B$26="","",-FV('Part III-Sources of Funds'!$K$38/12,12,G72/12,F78))</f>
        <v>915889.16764334962</v>
      </c>
      <c r="H78" s="1540">
        <f>IF($B$26="","",-FV('Part III-Sources of Funds'!$K$38/12,12,H72/12,G78))</f>
        <v>369141.90180603298</v>
      </c>
      <c r="I78" s="1540">
        <f>IF($B$26="","",-FV('Part III-Sources of Funds'!$K$38/12,12,I72/12,H78))</f>
        <v>-201868.83047170914</v>
      </c>
      <c r="J78" s="1540">
        <f>IF($B$26="","",-FV('Part III-Sources of Funds'!$K$38/12,12,J72/12,I78))</f>
        <v>-798219.78958812775</v>
      </c>
      <c r="K78" s="1540">
        <f>IF($B$26="","",-FV('Part III-Sources of Funds'!$K$38/12,12,K72/12,J78))</f>
        <v>-1421035.5202495442</v>
      </c>
    </row>
    <row r="79" spans="1:11">
      <c r="A79" s="1539" t="s">
        <v>4084</v>
      </c>
    </row>
    <row r="82" spans="1:2">
      <c r="A82" s="1539" t="s">
        <v>4236</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4" customWidth="1"/>
    <col min="4" max="4" width="15.42578125" style="744" customWidth="1"/>
    <col min="5" max="5" width="4.85546875" style="744" customWidth="1"/>
    <col min="6" max="9" width="12.85546875" style="744" customWidth="1"/>
    <col min="10" max="10" width="5.140625" style="744" customWidth="1"/>
    <col min="11" max="16384" width="9.140625" style="744"/>
  </cols>
  <sheetData>
    <row r="1" spans="1:16" ht="15.75">
      <c r="A1" s="4171" t="s">
        <v>2913</v>
      </c>
      <c r="B1" s="4171"/>
      <c r="C1" s="4171"/>
      <c r="D1" s="4171"/>
      <c r="E1" s="4171"/>
      <c r="F1" s="4171"/>
      <c r="G1" s="4171"/>
      <c r="H1" s="4171"/>
      <c r="I1" s="4171"/>
      <c r="J1" s="4171"/>
    </row>
    <row r="2" spans="1:16" ht="15.75">
      <c r="A2" s="4171" t="str">
        <f>Overview!C8</f>
        <v>55 Milton</v>
      </c>
      <c r="B2" s="4171"/>
      <c r="C2" s="4171"/>
      <c r="D2" s="4171"/>
      <c r="E2" s="4171"/>
      <c r="F2" s="4171"/>
      <c r="G2" s="4171"/>
      <c r="H2" s="4171"/>
      <c r="I2" s="4171"/>
      <c r="J2" s="4171"/>
    </row>
    <row r="3" spans="1:16" ht="15.75">
      <c r="A3" s="4171" t="str">
        <f>'Subsidy Layering Memo'!F14</f>
        <v>Atlanta, Fulton</v>
      </c>
      <c r="B3" s="4171"/>
      <c r="C3" s="4171"/>
      <c r="D3" s="4171"/>
      <c r="E3" s="4171"/>
      <c r="F3" s="4171"/>
      <c r="G3" s="4171"/>
      <c r="H3" s="4171"/>
      <c r="I3" s="4171"/>
      <c r="J3" s="4171"/>
    </row>
    <row r="4" spans="1:16" ht="15.75">
      <c r="A4" s="4172" t="s">
        <v>2914</v>
      </c>
      <c r="B4" s="4171"/>
      <c r="C4" s="4171"/>
      <c r="D4" s="4171"/>
      <c r="E4" s="4171"/>
      <c r="F4" s="4171"/>
      <c r="G4" s="4171"/>
      <c r="H4" s="4171"/>
      <c r="I4" s="4171"/>
      <c r="J4" s="4171"/>
    </row>
    <row r="5" spans="1:16" ht="5.25" customHeight="1"/>
    <row r="6" spans="1:16" ht="5.25" customHeight="1"/>
    <row r="7" spans="1:16" ht="15.75">
      <c r="A7" s="4173" t="s">
        <v>2915</v>
      </c>
      <c r="B7" s="4173"/>
      <c r="C7" s="4174"/>
      <c r="M7" s="4175"/>
      <c r="N7" s="4175"/>
      <c r="O7" s="4175"/>
      <c r="P7" s="4175"/>
    </row>
    <row r="8" spans="1:16" ht="57" customHeight="1">
      <c r="A8" s="4176" t="s">
        <v>5063</v>
      </c>
      <c r="B8" s="4176"/>
      <c r="C8" s="4176"/>
      <c r="D8" s="4176"/>
      <c r="E8" s="4176"/>
      <c r="F8" s="4176"/>
      <c r="G8" s="4176"/>
      <c r="H8" s="4176"/>
      <c r="I8" s="4176"/>
      <c r="J8" s="4176"/>
      <c r="K8" s="745"/>
    </row>
    <row r="9" spans="1:16" ht="45.75" customHeight="1">
      <c r="A9" s="4176" t="e">
        <f ca="1">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#NAME?</v>
      </c>
      <c r="B9" s="4176"/>
      <c r="C9" s="4176"/>
      <c r="D9" s="4176"/>
      <c r="E9" s="4176"/>
      <c r="F9" s="4176"/>
      <c r="G9" s="4176"/>
      <c r="H9" s="4176"/>
      <c r="I9" s="4176"/>
      <c r="J9" s="4176"/>
      <c r="K9" s="745"/>
    </row>
    <row r="10" spans="1:16" ht="15.75">
      <c r="A10" s="746" t="s">
        <v>2916</v>
      </c>
    </row>
    <row r="11" spans="1:16" ht="16.5" customHeight="1">
      <c r="A11" s="4176" t="str">
        <f>'Subsidy Layering Memo'!A44</f>
        <v xml:space="preserve">Ownership entity:  (NAME) LP, a Georgia Limited Partnership, will be the ownership entity for the proposed project. </v>
      </c>
      <c r="B11" s="4178"/>
      <c r="C11" s="4178"/>
      <c r="D11" s="4178"/>
      <c r="E11" s="4178"/>
      <c r="F11" s="4178"/>
      <c r="G11" s="4178"/>
      <c r="H11" s="4178"/>
      <c r="I11" s="4178"/>
      <c r="J11" s="4176"/>
    </row>
    <row r="12" spans="1:16" ht="63.75" customHeight="1">
      <c r="A12" s="4176" t="s">
        <v>2946</v>
      </c>
      <c r="B12" s="4176"/>
      <c r="C12" s="4176"/>
      <c r="D12" s="4176"/>
      <c r="E12" s="4176"/>
      <c r="F12" s="4176"/>
      <c r="G12" s="4176"/>
      <c r="H12" s="4176"/>
      <c r="I12" s="4176"/>
      <c r="J12" s="4176"/>
    </row>
    <row r="13" spans="1:16" ht="48.75" customHeight="1">
      <c r="A13" s="4176" t="s">
        <v>2947</v>
      </c>
      <c r="B13" s="4176"/>
      <c r="C13" s="4176"/>
      <c r="D13" s="4176"/>
      <c r="E13" s="4176"/>
      <c r="F13" s="4176"/>
      <c r="G13" s="4176"/>
      <c r="H13" s="4176"/>
      <c r="I13" s="4176"/>
      <c r="J13" s="4176"/>
    </row>
    <row r="14" spans="1:16" ht="15.75">
      <c r="A14" s="746" t="s">
        <v>2917</v>
      </c>
      <c r="B14" s="747"/>
    </row>
    <row r="15" spans="1:16">
      <c r="A15" s="744" t="s">
        <v>2918</v>
      </c>
      <c r="D15" s="2665" t="s">
        <v>2919</v>
      </c>
    </row>
    <row r="16" spans="1:16">
      <c r="A16" s="744" t="s">
        <v>2920</v>
      </c>
      <c r="D16" s="2663">
        <f>Overview!C25</f>
        <v>10392870</v>
      </c>
    </row>
    <row r="17" spans="1:11">
      <c r="A17" s="748" t="s">
        <v>2921</v>
      </c>
      <c r="D17" s="2664">
        <f>Overview!C13</f>
        <v>156</v>
      </c>
    </row>
    <row r="18" spans="1:11" ht="14.25" customHeight="1"/>
    <row r="19" spans="1:11" ht="15.75">
      <c r="A19" s="746" t="s">
        <v>2922</v>
      </c>
      <c r="B19" s="747"/>
      <c r="C19" s="747"/>
    </row>
    <row r="20" spans="1:11" ht="48.75" customHeight="1">
      <c r="A20" s="4179" t="s">
        <v>2949</v>
      </c>
      <c r="B20" s="4179"/>
      <c r="C20" s="4179"/>
      <c r="D20" s="4179"/>
      <c r="E20" s="4179"/>
      <c r="F20" s="4179"/>
      <c r="G20" s="4179"/>
      <c r="H20" s="4179"/>
      <c r="I20" s="4179"/>
      <c r="J20" s="4179"/>
    </row>
    <row r="21" spans="1:11" ht="72.75" customHeight="1">
      <c r="A21" s="4176" t="s">
        <v>5062</v>
      </c>
      <c r="B21" s="4176"/>
      <c r="C21" s="4176"/>
      <c r="D21" s="4176"/>
      <c r="E21" s="4176"/>
      <c r="F21" s="4176"/>
      <c r="G21" s="4176"/>
      <c r="H21" s="4176"/>
      <c r="I21" s="4176"/>
      <c r="J21" s="4176"/>
    </row>
    <row r="22" spans="1:11" ht="15.75">
      <c r="A22" s="746" t="s">
        <v>2923</v>
      </c>
      <c r="B22" s="747"/>
      <c r="C22" s="747"/>
      <c r="D22" s="747"/>
      <c r="E22" s="747"/>
      <c r="F22" s="747"/>
    </row>
    <row r="23" spans="1:11" ht="102.75" customHeight="1">
      <c r="A23" s="4180" t="s">
        <v>2942</v>
      </c>
      <c r="B23" s="4180"/>
      <c r="C23" s="4180"/>
      <c r="D23" s="4180"/>
      <c r="E23" s="4180"/>
      <c r="F23" s="4180"/>
      <c r="G23" s="4180"/>
      <c r="H23" s="4180"/>
      <c r="I23" s="4180"/>
      <c r="J23" s="4180"/>
      <c r="K23" s="2179"/>
    </row>
    <row r="24" spans="1:11" ht="15" customHeight="1">
      <c r="A24" s="4177"/>
      <c r="B24" s="4177"/>
      <c r="C24" s="4177"/>
      <c r="D24" s="4177"/>
      <c r="E24" s="4177"/>
      <c r="F24" s="4177"/>
      <c r="G24" s="4177"/>
      <c r="H24" s="4177"/>
      <c r="I24" s="4177"/>
      <c r="J24" s="4177"/>
      <c r="K24" s="744" t="s">
        <v>243</v>
      </c>
    </row>
    <row r="25" spans="1:11" ht="15" customHeight="1">
      <c r="B25" s="2178"/>
      <c r="C25" s="2178"/>
      <c r="D25" s="2178"/>
      <c r="E25" s="2178"/>
      <c r="F25" s="2178"/>
      <c r="G25" s="2178"/>
      <c r="H25" s="2178"/>
      <c r="I25" s="2178" t="s">
        <v>243</v>
      </c>
      <c r="J25" s="2178"/>
    </row>
    <row r="26" spans="1:11" ht="15.75">
      <c r="A26" s="747" t="s">
        <v>2924</v>
      </c>
    </row>
    <row r="28" spans="1:11" ht="15.75" thickBot="1">
      <c r="A28" s="749"/>
      <c r="B28" s="749"/>
      <c r="C28" s="749"/>
      <c r="D28" s="749"/>
      <c r="F28" s="749"/>
      <c r="G28" s="749"/>
      <c r="H28" s="749"/>
      <c r="I28" s="749"/>
    </row>
    <row r="29" spans="1:11">
      <c r="A29" s="744" t="s">
        <v>2925</v>
      </c>
      <c r="D29" s="744" t="s">
        <v>925</v>
      </c>
      <c r="F29" s="744" t="s">
        <v>2926</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2" t="s">
        <v>2985</v>
      </c>
      <c r="B1" s="807"/>
      <c r="C1" s="807"/>
      <c r="D1" s="807"/>
      <c r="E1" s="807"/>
      <c r="F1" s="807"/>
      <c r="G1" s="807"/>
      <c r="H1" s="807"/>
      <c r="I1" s="807"/>
      <c r="J1" s="807"/>
      <c r="K1" s="807"/>
      <c r="L1" s="747"/>
      <c r="M1" s="747"/>
    </row>
    <row r="2" spans="1:14" s="273" customFormat="1" ht="18">
      <c r="A2" s="1552" t="str">
        <f>+"Financial Analysis for:  "&amp;E8&amp;"  "&amp;C8</f>
        <v>Financial Analysis for:  2019-5  55 Milton</v>
      </c>
      <c r="B2" s="807"/>
      <c r="C2" s="807"/>
      <c r="D2" s="807"/>
      <c r="E2" s="807"/>
      <c r="F2" s="807"/>
      <c r="G2" s="807"/>
      <c r="H2" s="807"/>
      <c r="I2" s="807"/>
      <c r="J2" s="807"/>
      <c r="K2" s="807"/>
      <c r="L2" s="747"/>
      <c r="M2" s="747"/>
    </row>
    <row r="5" spans="1:14" ht="15.75">
      <c r="A5" s="778"/>
      <c r="B5" s="779"/>
      <c r="C5" s="780"/>
      <c r="D5" s="779"/>
      <c r="E5" s="779"/>
      <c r="F5" s="778"/>
      <c r="G5" s="779"/>
      <c r="H5" s="780"/>
      <c r="I5" s="779"/>
      <c r="J5" s="779"/>
      <c r="K5" s="779"/>
      <c r="L5" s="779"/>
      <c r="M5" s="744"/>
    </row>
    <row r="7" spans="1:14" ht="15.75">
      <c r="A7" s="747" t="s">
        <v>2986</v>
      </c>
      <c r="B7" s="744"/>
      <c r="C7" s="781"/>
      <c r="D7" s="782"/>
      <c r="E7" s="782"/>
      <c r="F7" s="747" t="s">
        <v>3315</v>
      </c>
      <c r="G7" s="744"/>
      <c r="H7" s="418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81"/>
      <c r="J7" s="4181"/>
      <c r="K7" s="4181"/>
      <c r="L7" s="744"/>
      <c r="M7" s="744"/>
    </row>
    <row r="8" spans="1:14" ht="15.75">
      <c r="A8" s="747" t="s">
        <v>2987</v>
      </c>
      <c r="B8" s="747"/>
      <c r="C8" s="4181" t="str">
        <f>'Part I-Project Information'!F34</f>
        <v>55 Milton</v>
      </c>
      <c r="D8" s="4181"/>
      <c r="E8" s="2180" t="str">
        <f>'Part I-Project Information'!O6</f>
        <v>2019-5</v>
      </c>
      <c r="F8" s="783" t="s">
        <v>2988</v>
      </c>
      <c r="G8" s="782"/>
      <c r="H8" s="4181" t="str">
        <f>CONCATENATE('Part I-Project Information'!F38,", ",'Part I-Project Information'!J39)</f>
        <v>Atlanta, Fulton</v>
      </c>
      <c r="I8" s="4181"/>
      <c r="J8" s="4181"/>
      <c r="K8" s="4181"/>
      <c r="L8" s="744"/>
      <c r="M8" s="784"/>
    </row>
    <row r="9" spans="1:14" ht="15.75">
      <c r="A9" s="747" t="s">
        <v>2990</v>
      </c>
      <c r="B9" s="747"/>
      <c r="C9" s="4181" t="s">
        <v>1771</v>
      </c>
      <c r="D9" s="4181"/>
      <c r="E9" s="782"/>
      <c r="F9" s="783" t="s">
        <v>2991</v>
      </c>
      <c r="G9" s="782"/>
      <c r="H9" s="4181" t="str">
        <f>'Part II-Development Team'!H5</f>
        <v>Milton Family I, LP</v>
      </c>
      <c r="I9" s="4181"/>
      <c r="J9" s="4181"/>
      <c r="K9" s="4181"/>
      <c r="L9" s="4181"/>
      <c r="M9" s="784"/>
    </row>
    <row r="10" spans="1:14" ht="15.75">
      <c r="A10" s="747" t="s">
        <v>2993</v>
      </c>
      <c r="B10" s="744"/>
      <c r="C10" s="2180" t="str">
        <f>'Part II-Development Team'!H14</f>
        <v>Milton Family I GP, LLC</v>
      </c>
      <c r="D10" s="782"/>
      <c r="E10" s="782"/>
      <c r="F10" s="783" t="s">
        <v>3560</v>
      </c>
      <c r="G10" s="782"/>
      <c r="H10" s="4181" t="str">
        <f>'Part II-Development Team'!H33</f>
        <v>SunTrust Community Capital</v>
      </c>
      <c r="I10" s="4181"/>
      <c r="J10" s="4181"/>
      <c r="K10" s="4181" t="str">
        <f>'Part II-Development Team'!H39</f>
        <v>SunTrust Community Capital</v>
      </c>
      <c r="L10" s="4181"/>
    </row>
    <row r="11" spans="1:14" ht="15.75">
      <c r="A11" s="747" t="s">
        <v>2994</v>
      </c>
      <c r="B11" s="744"/>
      <c r="C11" s="2180" t="str">
        <f>IF('Part II-Development Team'!H20="","",'Part II-Development Team'!H20)</f>
        <v/>
      </c>
      <c r="D11" s="782"/>
      <c r="E11" s="1556" t="str">
        <f>IF('Part II-Development Team'!H26="","",'Part II-Development Team'!H26)</f>
        <v/>
      </c>
      <c r="F11" s="783" t="s">
        <v>652</v>
      </c>
      <c r="G11" s="782"/>
      <c r="H11" s="4181" t="str">
        <f>'Part II-Development Team'!H54</f>
        <v>Prestwick Development Company, LLC</v>
      </c>
      <c r="I11" s="4181"/>
      <c r="J11" s="4181"/>
      <c r="K11" s="4181">
        <f>'Part II-Development Team'!H60</f>
        <v>0</v>
      </c>
      <c r="L11" s="4181"/>
      <c r="M11" s="4181">
        <f>'Part II-Development Team'!H66</f>
        <v>0</v>
      </c>
      <c r="N11" s="4181"/>
    </row>
    <row r="12" spans="1:14" ht="15.75">
      <c r="A12" s="747" t="s">
        <v>2995</v>
      </c>
      <c r="B12" s="744"/>
      <c r="C12" s="2180" t="str">
        <f>'Part II-Development Team'!H86</f>
        <v>Prestwick Construction Company, LLC</v>
      </c>
      <c r="D12" s="782"/>
      <c r="E12" s="782"/>
      <c r="F12" s="783" t="s">
        <v>2996</v>
      </c>
      <c r="G12" s="782"/>
      <c r="H12" s="4181" t="str">
        <f>'Part II-Development Team'!H92</f>
        <v>Elmington Property Management</v>
      </c>
      <c r="I12" s="4181"/>
      <c r="J12" s="4181"/>
      <c r="K12" s="4181"/>
      <c r="L12" s="744"/>
      <c r="M12" s="744"/>
    </row>
    <row r="13" spans="1:14" ht="15.75">
      <c r="A13" s="747" t="s">
        <v>2997</v>
      </c>
      <c r="B13" s="783"/>
      <c r="C13" s="743">
        <f>'Part VI-Revenues &amp; Expenses'!$O$67</f>
        <v>156</v>
      </c>
      <c r="E13" s="1557">
        <f>'Part VI-Revenues &amp; Expenses'!$O$63</f>
        <v>156</v>
      </c>
      <c r="F13" s="783" t="s">
        <v>4243</v>
      </c>
      <c r="G13" s="782"/>
      <c r="H13" s="2181">
        <f>'Part I-Project Information'!H76</f>
        <v>1</v>
      </c>
      <c r="I13" s="1558"/>
      <c r="J13" s="1558"/>
      <c r="K13" s="2181">
        <f>'Part I-Project Information'!P75</f>
        <v>141422</v>
      </c>
      <c r="L13" s="744"/>
      <c r="M13" s="744"/>
    </row>
    <row r="14" spans="1:14" ht="15.75">
      <c r="A14" s="747" t="s">
        <v>3305</v>
      </c>
      <c r="B14" s="744"/>
      <c r="C14" s="2181" t="str">
        <f>'Part I-Project Information'!H82</f>
        <v>Family</v>
      </c>
      <c r="D14" s="4181" t="str">
        <f>IF('Part I-Project Information'!N74=0,"",'Part I-Project Information'!N74)</f>
        <v/>
      </c>
      <c r="E14" s="4181"/>
      <c r="F14" s="783" t="s">
        <v>2998</v>
      </c>
      <c r="G14" s="782"/>
      <c r="H14" s="4182" t="s">
        <v>3499</v>
      </c>
      <c r="I14" s="4182"/>
      <c r="J14" s="4182"/>
      <c r="K14" s="4182" t="s">
        <v>3499</v>
      </c>
      <c r="L14" s="4182"/>
      <c r="M14" s="744"/>
    </row>
    <row r="15" spans="1:14" ht="15.75">
      <c r="A15" s="747" t="s">
        <v>2999</v>
      </c>
      <c r="B15" s="744"/>
      <c r="C15" s="785" t="s">
        <v>1771</v>
      </c>
      <c r="D15" s="782"/>
      <c r="E15" s="782"/>
      <c r="F15" s="783" t="s">
        <v>3306</v>
      </c>
      <c r="G15" s="782"/>
      <c r="H15" s="2180" t="str">
        <f>'Part I-Project Information'!K40</f>
        <v>Urban</v>
      </c>
      <c r="I15" s="782"/>
      <c r="J15" s="782"/>
      <c r="K15" s="782"/>
      <c r="L15" s="744"/>
      <c r="M15" s="744"/>
    </row>
    <row r="16" spans="1:14" ht="15.75">
      <c r="A16" s="747" t="s">
        <v>3533</v>
      </c>
      <c r="B16" s="744"/>
      <c r="C16" s="2180" t="str">
        <f>'Part I-Project Information'!H100</f>
        <v>No</v>
      </c>
      <c r="D16" s="786" t="s">
        <v>2678</v>
      </c>
      <c r="E16" s="2180" t="str">
        <f>'Part I-Project Information'!H103</f>
        <v>No</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75">
      <c r="A18" s="747" t="s">
        <v>3308</v>
      </c>
      <c r="B18" s="744"/>
      <c r="C18" s="2183">
        <f>'Part IV-A-Uses of Funds'!G132</f>
        <v>32698126.5</v>
      </c>
      <c r="D18" s="1609">
        <f>IF(C18=0,"",$C$29/C18)</f>
        <v>0.31784298100381991</v>
      </c>
      <c r="E18" s="782" t="s">
        <v>3309</v>
      </c>
      <c r="F18" s="783" t="s">
        <v>3310</v>
      </c>
      <c r="G18" s="782"/>
      <c r="H18" s="4183">
        <f>'Part IV-A-Uses of Funds'!B44</f>
        <v>22735735.5</v>
      </c>
      <c r="I18" s="4183"/>
      <c r="J18" s="1608">
        <f>IF(H18=0,"",$C$29/H18)</f>
        <v>0.45711606734693055</v>
      </c>
      <c r="K18" s="4181" t="s">
        <v>3311</v>
      </c>
      <c r="L18" s="4181"/>
      <c r="M18" s="744"/>
    </row>
    <row r="19" spans="1:13" ht="15.75">
      <c r="A19" s="747" t="s">
        <v>3000</v>
      </c>
      <c r="B19" s="744"/>
      <c r="C19" s="2182">
        <f>C18/C13</f>
        <v>209603.375</v>
      </c>
      <c r="D19" s="782"/>
      <c r="E19" s="744"/>
      <c r="F19" s="747" t="s">
        <v>3000</v>
      </c>
      <c r="G19" s="744"/>
      <c r="H19" s="4184">
        <f>H18/C13</f>
        <v>145741.89423076922</v>
      </c>
      <c r="I19" s="4184"/>
      <c r="J19" s="744"/>
      <c r="K19" s="744"/>
      <c r="L19" s="744"/>
      <c r="M19" s="744"/>
    </row>
    <row r="20" spans="1:13" ht="15.75">
      <c r="A20" s="747" t="s">
        <v>3001</v>
      </c>
      <c r="B20" s="744"/>
      <c r="C20" s="2184">
        <f>C18/K13</f>
        <v>231.20961731555204</v>
      </c>
      <c r="D20" s="787"/>
      <c r="E20" s="788"/>
      <c r="F20" s="747" t="s">
        <v>3001</v>
      </c>
      <c r="G20" s="744"/>
      <c r="H20" s="4185">
        <f>H18/K13</f>
        <v>160.76519565555571</v>
      </c>
      <c r="I20" s="4184"/>
      <c r="J20" s="744"/>
      <c r="K20" s="744"/>
      <c r="L20" s="744"/>
      <c r="M20" s="744"/>
    </row>
    <row r="21" spans="1:13" ht="15.7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75">
      <c r="A23" s="790" t="s">
        <v>3002</v>
      </c>
      <c r="B23" s="791"/>
      <c r="C23" s="791"/>
      <c r="D23" s="791"/>
      <c r="E23" s="782"/>
      <c r="F23" s="782"/>
      <c r="G23" s="782"/>
      <c r="H23" s="782"/>
      <c r="I23" s="782"/>
      <c r="J23" s="782"/>
      <c r="K23" s="782"/>
      <c r="L23" s="744"/>
      <c r="M23" s="784"/>
    </row>
    <row r="24" spans="1:13" ht="27" customHeight="1">
      <c r="A24" s="744"/>
      <c r="B24" s="744"/>
      <c r="C24" s="744"/>
      <c r="D24" s="792" t="s">
        <v>3003</v>
      </c>
      <c r="E24" s="744"/>
      <c r="F24" s="744"/>
      <c r="G24" s="744"/>
      <c r="H24" s="744"/>
      <c r="I24" s="744"/>
      <c r="J24" s="744"/>
      <c r="K24" s="744"/>
      <c r="L24" s="744"/>
      <c r="M24" s="784"/>
    </row>
    <row r="25" spans="1:13" ht="15.75">
      <c r="A25" s="747" t="s">
        <v>3004</v>
      </c>
      <c r="B25" s="793" t="str">
        <f>'Part III-Sources of Funds'!E38</f>
        <v>ORIX Real Estate Capital Private Plcmnt Bond</v>
      </c>
      <c r="C25" s="794">
        <f>'Part III-Sources of Funds'!I38</f>
        <v>10392870</v>
      </c>
      <c r="D25" s="795" t="s">
        <v>3005</v>
      </c>
      <c r="E25" s="744"/>
      <c r="F25" s="782"/>
      <c r="G25" s="744" t="s">
        <v>3006</v>
      </c>
      <c r="H25" s="744"/>
      <c r="I25" s="744"/>
      <c r="K25" s="794"/>
      <c r="L25" s="782"/>
      <c r="M25" s="784"/>
    </row>
    <row r="26" spans="1:13" ht="15">
      <c r="A26" s="744"/>
      <c r="B26" s="793"/>
      <c r="C26" s="794"/>
      <c r="D26" s="795"/>
      <c r="E26" s="744"/>
      <c r="F26" s="782"/>
      <c r="G26" s="744" t="s">
        <v>3007</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3008</v>
      </c>
      <c r="H28" s="744"/>
      <c r="I28" s="744"/>
      <c r="K28" s="794"/>
      <c r="L28" s="782"/>
      <c r="M28" s="744"/>
    </row>
    <row r="29" spans="1:13" ht="16.5" thickBot="1">
      <c r="A29" s="744"/>
      <c r="B29" s="797" t="s">
        <v>3009</v>
      </c>
      <c r="C29" s="798">
        <f>SUM(C25:C27)</f>
        <v>10392870</v>
      </c>
      <c r="D29" s="744"/>
      <c r="E29" s="744"/>
      <c r="F29" s="782"/>
      <c r="G29" s="744" t="s">
        <v>3010</v>
      </c>
      <c r="H29" s="744"/>
      <c r="I29" s="744"/>
      <c r="K29" s="796" t="e">
        <f>C29/K28</f>
        <v>#DIV/0!</v>
      </c>
      <c r="L29" s="782"/>
      <c r="M29" s="744"/>
    </row>
    <row r="30" spans="1:13" ht="16.5" thickTop="1">
      <c r="A30" s="747" t="s">
        <v>3011</v>
      </c>
      <c r="B30" s="797"/>
      <c r="C30" s="799">
        <f>'Part III-Sources of Funds'!$I$49+'Part III-Sources of Funds'!$I$50</f>
        <v>19292778.093334343</v>
      </c>
      <c r="D30" s="744"/>
      <c r="E30" s="744"/>
      <c r="F30" s="782"/>
      <c r="G30" s="744"/>
      <c r="H30" s="744"/>
      <c r="I30" s="744"/>
      <c r="K30" s="800"/>
      <c r="L30" s="782"/>
      <c r="M30" s="744"/>
    </row>
    <row r="31" spans="1:13" ht="15">
      <c r="A31" s="801" t="s">
        <v>3012</v>
      </c>
      <c r="B31" s="793" t="str">
        <f>'Part III-Sources of Funds'!E39</f>
        <v>BeltLine TAD Cash Flow Loan</v>
      </c>
      <c r="C31" s="794">
        <f>'Part III-Sources of Funds'!I39</f>
        <v>2000000</v>
      </c>
      <c r="D31" s="795"/>
      <c r="E31" s="744"/>
      <c r="F31" s="782"/>
      <c r="G31" s="744"/>
      <c r="H31" s="744"/>
      <c r="I31" s="744"/>
      <c r="K31" s="744"/>
      <c r="L31" s="782"/>
      <c r="M31" s="744"/>
    </row>
    <row r="32" spans="1:13" ht="15">
      <c r="A32" s="801" t="s">
        <v>3012</v>
      </c>
      <c r="B32" s="793" t="str">
        <f>'Part III-Sources of Funds'!E40</f>
        <v>HomeFirst Cash Flow Loan</v>
      </c>
      <c r="C32" s="794">
        <f>'Part III-Sources of Funds'!I40</f>
        <v>720000</v>
      </c>
      <c r="D32" s="795"/>
      <c r="E32" s="744" t="s">
        <v>243</v>
      </c>
      <c r="F32" s="782"/>
      <c r="G32" s="744" t="s">
        <v>3013</v>
      </c>
      <c r="H32" s="744"/>
      <c r="I32" s="744"/>
      <c r="K32" s="794"/>
      <c r="L32" s="782"/>
      <c r="M32" s="782"/>
    </row>
    <row r="33" spans="1:13" ht="15">
      <c r="A33" s="744"/>
      <c r="B33" s="782"/>
      <c r="C33" s="802"/>
      <c r="D33" s="744"/>
      <c r="E33" s="744"/>
      <c r="F33" s="782"/>
      <c r="G33" s="1561" t="s">
        <v>3014</v>
      </c>
      <c r="H33" s="1561"/>
      <c r="I33" s="1561"/>
      <c r="K33" s="796" t="e">
        <f>$C$29/K32</f>
        <v>#DIV/0!</v>
      </c>
      <c r="L33" s="782"/>
      <c r="M33" s="803"/>
    </row>
    <row r="34" spans="1:13" ht="15.75">
      <c r="A34" s="744"/>
      <c r="B34" s="797" t="s">
        <v>3015</v>
      </c>
      <c r="C34" s="802">
        <f>SUM(C31:C32)</f>
        <v>2720000</v>
      </c>
      <c r="D34" s="744"/>
      <c r="E34" s="744"/>
      <c r="F34" s="744"/>
      <c r="G34" s="744"/>
      <c r="H34" s="744"/>
      <c r="I34" s="744"/>
      <c r="K34" s="782"/>
      <c r="L34" s="744"/>
      <c r="M34" s="803"/>
    </row>
    <row r="35" spans="1:13" ht="15.75">
      <c r="A35" s="744"/>
      <c r="B35" s="797"/>
      <c r="C35" s="744"/>
      <c r="D35" s="744"/>
      <c r="E35" s="744"/>
      <c r="F35" s="744"/>
      <c r="G35" s="1561" t="s">
        <v>3016</v>
      </c>
      <c r="H35" s="1561"/>
      <c r="I35" s="1561"/>
      <c r="K35" s="804" t="e">
        <f>(C36)/K25</f>
        <v>#DIV/0!</v>
      </c>
      <c r="L35" s="744"/>
      <c r="M35" s="782"/>
    </row>
    <row r="36" spans="1:13" ht="15.75">
      <c r="A36" s="744"/>
      <c r="B36" s="797" t="s">
        <v>3017</v>
      </c>
      <c r="C36" s="802">
        <f>C29+C34</f>
        <v>13112870</v>
      </c>
      <c r="D36" s="744"/>
      <c r="E36" s="744"/>
      <c r="F36" s="744"/>
      <c r="G36" s="744"/>
      <c r="H36" s="744"/>
      <c r="I36" s="744"/>
      <c r="K36" s="782"/>
      <c r="L36" s="744"/>
      <c r="M36" s="782"/>
    </row>
    <row r="37" spans="1:13" ht="15.75">
      <c r="A37" s="744"/>
      <c r="B37" s="797"/>
      <c r="C37" s="805"/>
      <c r="D37" s="744"/>
      <c r="E37" s="744"/>
      <c r="F37" s="744"/>
      <c r="G37" s="1561" t="s">
        <v>3018</v>
      </c>
      <c r="H37" s="1561"/>
      <c r="I37" s="1561"/>
      <c r="K37" s="1562" t="e">
        <f>+(C36)/K32</f>
        <v>#DIV/0!</v>
      </c>
      <c r="L37" s="744"/>
      <c r="M37" s="803"/>
    </row>
    <row r="38" spans="1:13" ht="15.75">
      <c r="A38" s="744"/>
      <c r="B38" s="797" t="s">
        <v>3019</v>
      </c>
      <c r="C38" s="806">
        <f>C36/C18</f>
        <v>0.40102817511578226</v>
      </c>
      <c r="D38" s="744"/>
      <c r="E38" s="744"/>
      <c r="F38" s="744"/>
      <c r="G38" s="744"/>
      <c r="H38" s="744"/>
      <c r="I38" s="744"/>
      <c r="K38" s="782"/>
      <c r="L38" s="744"/>
      <c r="M38" s="803"/>
    </row>
    <row r="39" spans="1:13" ht="15.75">
      <c r="A39" s="744"/>
      <c r="B39" s="797"/>
      <c r="C39" s="805"/>
      <c r="D39" s="744"/>
      <c r="E39" s="744"/>
      <c r="F39" s="744"/>
      <c r="G39" s="744"/>
      <c r="H39" s="744"/>
      <c r="I39" s="744"/>
      <c r="K39" s="782"/>
      <c r="L39" s="744"/>
      <c r="M39" s="744"/>
    </row>
    <row r="40" spans="1:13" ht="15.75">
      <c r="A40" s="744"/>
      <c r="B40" s="797" t="s">
        <v>3020</v>
      </c>
      <c r="C40" s="806">
        <f>C36/H18</f>
        <v>0.57675151965063987</v>
      </c>
      <c r="D40" s="744"/>
      <c r="E40" s="744"/>
      <c r="F40" s="747"/>
      <c r="G40" s="747" t="s">
        <v>3021</v>
      </c>
      <c r="H40" s="744"/>
      <c r="I40" s="744"/>
      <c r="K40" s="796">
        <f>C30/C18</f>
        <v>0.59002701862243834</v>
      </c>
      <c r="L40" s="744"/>
      <c r="M40" s="744"/>
    </row>
    <row r="46" spans="1:13" ht="15.75">
      <c r="A46" s="807" t="s">
        <v>3022</v>
      </c>
      <c r="B46" s="777"/>
      <c r="C46" s="777"/>
      <c r="D46" s="777"/>
      <c r="E46" s="777"/>
      <c r="F46" s="777"/>
      <c r="G46" s="777"/>
      <c r="H46" s="777"/>
      <c r="I46" s="777"/>
      <c r="J46" s="777"/>
      <c r="K46" s="777"/>
      <c r="L46" s="777"/>
      <c r="M46" s="744"/>
    </row>
    <row r="47" spans="1:13" ht="15.75">
      <c r="A47" s="807" t="str">
        <f>C8</f>
        <v>55 Milton</v>
      </c>
      <c r="B47" s="777"/>
      <c r="C47" s="777"/>
      <c r="D47" s="777"/>
      <c r="E47" s="777"/>
      <c r="F47" s="777"/>
      <c r="G47" s="777"/>
      <c r="H47" s="777"/>
      <c r="I47" s="777"/>
      <c r="J47" s="777"/>
      <c r="K47" s="777"/>
      <c r="L47" s="777"/>
      <c r="M47" s="744"/>
    </row>
    <row r="50" spans="1:14" s="744" customFormat="1" ht="15.75">
      <c r="A50" s="747" t="s">
        <v>3023</v>
      </c>
      <c r="C50" s="808" t="s">
        <v>3024</v>
      </c>
      <c r="E50" s="809" t="s">
        <v>3500</v>
      </c>
      <c r="F50" s="810">
        <v>0.1</v>
      </c>
      <c r="G50" s="809" t="s">
        <v>3501</v>
      </c>
      <c r="H50" s="810">
        <v>0.05</v>
      </c>
      <c r="I50" s="809" t="s">
        <v>3502</v>
      </c>
      <c r="J50" s="810">
        <v>0.03</v>
      </c>
      <c r="K50" s="4186" t="s">
        <v>3025</v>
      </c>
      <c r="L50" s="4187"/>
      <c r="M50" s="27"/>
      <c r="N50" s="27"/>
    </row>
    <row r="51" spans="1:14" s="744" customFormat="1" ht="15.75">
      <c r="A51" s="747"/>
      <c r="C51" s="808"/>
      <c r="E51" s="808"/>
      <c r="F51" s="811"/>
      <c r="G51" s="808"/>
      <c r="H51" s="811"/>
      <c r="I51" s="808"/>
      <c r="J51" s="811"/>
      <c r="K51" s="808"/>
      <c r="M51" s="27"/>
      <c r="N51" s="27"/>
    </row>
    <row r="52" spans="1:14" s="744" customFormat="1" ht="18.75" customHeight="1">
      <c r="B52" s="812" t="s">
        <v>3026</v>
      </c>
      <c r="C52" s="813">
        <f>'Part VII-Pro Forma'!B14</f>
        <v>1664460</v>
      </c>
      <c r="D52" s="813"/>
      <c r="E52" s="813">
        <f>$C$52</f>
        <v>1664460</v>
      </c>
      <c r="F52" s="813"/>
      <c r="G52" s="813">
        <f>$C$52</f>
        <v>1664460</v>
      </c>
      <c r="H52" s="813"/>
      <c r="I52" s="813">
        <f>$C$52</f>
        <v>1664460</v>
      </c>
      <c r="J52" s="813"/>
      <c r="K52" s="813">
        <f>$C$52</f>
        <v>1664460</v>
      </c>
      <c r="L52" s="814"/>
      <c r="M52" s="27"/>
      <c r="N52" s="27"/>
    </row>
    <row r="53" spans="1:14" s="744" customFormat="1" ht="18.75" customHeight="1">
      <c r="B53" s="812" t="s">
        <v>3029</v>
      </c>
      <c r="C53" s="813">
        <f>'Part VII-Pro Forma'!B15</f>
        <v>33289.199999999997</v>
      </c>
      <c r="D53" s="813"/>
      <c r="E53" s="813">
        <f>$C$53</f>
        <v>33289.199999999997</v>
      </c>
      <c r="F53" s="813"/>
      <c r="G53" s="813">
        <f>$C$53</f>
        <v>33289.199999999997</v>
      </c>
      <c r="H53" s="813"/>
      <c r="I53" s="813">
        <f>$C$53</f>
        <v>33289.199999999997</v>
      </c>
      <c r="J53" s="813"/>
      <c r="K53" s="813">
        <f>$C$53</f>
        <v>33289.199999999997</v>
      </c>
      <c r="L53" s="814"/>
      <c r="M53" s="27"/>
      <c r="N53" s="27"/>
    </row>
    <row r="54" spans="1:14" s="744" customFormat="1" ht="18.75" customHeight="1">
      <c r="B54" s="812" t="s">
        <v>3027</v>
      </c>
      <c r="C54" s="813">
        <f>'Part VII-Pro Forma'!B16</f>
        <v>-118842.444</v>
      </c>
      <c r="D54" s="813"/>
      <c r="E54" s="813">
        <f>-($C$52+E53)*F50</f>
        <v>-169774.92</v>
      </c>
      <c r="F54" s="815"/>
      <c r="G54" s="813">
        <f>-($C$52+G53)*0.07</f>
        <v>-118842.444</v>
      </c>
      <c r="H54" s="813"/>
      <c r="I54" s="813">
        <f>-($C$52+I53)*0.07</f>
        <v>-118842.444</v>
      </c>
      <c r="J54" s="813"/>
      <c r="K54" s="813">
        <f>-($C$52+K53)*L54</f>
        <v>-169774.92</v>
      </c>
      <c r="L54" s="816">
        <v>0.1</v>
      </c>
      <c r="M54" s="27"/>
      <c r="N54" s="27"/>
    </row>
    <row r="55" spans="1:14" s="744" customFormat="1" ht="18.75" customHeight="1">
      <c r="B55" s="812" t="s">
        <v>3028</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3030</v>
      </c>
      <c r="C56" s="819">
        <f>SUM(C52:C55)</f>
        <v>1578906.7560000001</v>
      </c>
      <c r="D56" s="813"/>
      <c r="E56" s="819">
        <f>SUM(E52:E55)</f>
        <v>1527974.28</v>
      </c>
      <c r="F56" s="813"/>
      <c r="G56" s="819">
        <f>SUM(G52:G55)</f>
        <v>1578906.7560000001</v>
      </c>
      <c r="H56" s="813"/>
      <c r="I56" s="819">
        <f>SUM(I52:I55)</f>
        <v>1578906.7560000001</v>
      </c>
      <c r="J56" s="813"/>
      <c r="K56" s="819">
        <f>SUM(K52:K55)</f>
        <v>1527974.28</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3031</v>
      </c>
      <c r="C58" s="813">
        <f>+'Part VI-Revenues &amp; Expenses'!F219+'Part VI-Revenues &amp; Expenses'!F228+'Part VI-Revenues &amp; Expenses'!K217+'Part VI-Revenues &amp; Expenses'!K226</f>
        <v>277920</v>
      </c>
      <c r="D58" s="813"/>
      <c r="E58" s="813">
        <f>$C$58</f>
        <v>277920</v>
      </c>
      <c r="F58" s="813"/>
      <c r="G58" s="813">
        <f>$C$58</f>
        <v>277920</v>
      </c>
      <c r="H58" s="813"/>
      <c r="I58" s="813">
        <f>$C$58</f>
        <v>277920</v>
      </c>
      <c r="J58" s="813"/>
      <c r="K58" s="813">
        <f>$C$58</f>
        <v>277920</v>
      </c>
      <c r="L58" s="814"/>
      <c r="M58" s="27"/>
      <c r="N58" s="27"/>
    </row>
    <row r="59" spans="1:14" s="744" customFormat="1" ht="18.75" customHeight="1">
      <c r="B59" s="812" t="s">
        <v>3032</v>
      </c>
      <c r="C59" s="813">
        <f>+'Part VI-Revenues &amp; Expenses'!F239</f>
        <v>47300</v>
      </c>
      <c r="D59" s="813"/>
      <c r="E59" s="813">
        <f>$C$59</f>
        <v>47300</v>
      </c>
      <c r="F59" s="813"/>
      <c r="G59" s="813">
        <f>$C$59</f>
        <v>47300</v>
      </c>
      <c r="H59" s="813"/>
      <c r="I59" s="813">
        <f>$C$59</f>
        <v>47300</v>
      </c>
      <c r="J59" s="813"/>
      <c r="K59" s="813">
        <f>$C$59*(1+$L$59)</f>
        <v>49192</v>
      </c>
      <c r="L59" s="821">
        <v>0.04</v>
      </c>
      <c r="M59" s="27"/>
      <c r="N59" s="27"/>
    </row>
    <row r="60" spans="1:14" s="744" customFormat="1" ht="18.75" customHeight="1">
      <c r="B60" s="812" t="s">
        <v>1375</v>
      </c>
      <c r="C60" s="813">
        <f>+'Part VI-Revenues &amp; Expenses'!K236</f>
        <v>216330</v>
      </c>
      <c r="D60" s="813"/>
      <c r="E60" s="813">
        <f>$C$60</f>
        <v>216330</v>
      </c>
      <c r="F60" s="813"/>
      <c r="G60" s="813">
        <f>$C$60</f>
        <v>216330</v>
      </c>
      <c r="H60" s="813"/>
      <c r="I60" s="813">
        <f>$C$60*(1+$J$50)</f>
        <v>222819.9</v>
      </c>
      <c r="J60" s="815"/>
      <c r="K60" s="813">
        <f>$C$60*(1+$J$50)</f>
        <v>222819.9</v>
      </c>
      <c r="L60" s="816">
        <v>0.03</v>
      </c>
      <c r="M60" s="27"/>
      <c r="N60" s="27"/>
    </row>
    <row r="61" spans="1:14" s="744" customFormat="1" ht="18.75" customHeight="1">
      <c r="B61" s="812" t="s">
        <v>1376</v>
      </c>
      <c r="C61" s="813">
        <f>+'Part VI-Revenues &amp; Expenses'!P218</f>
        <v>220684</v>
      </c>
      <c r="D61" s="813"/>
      <c r="E61" s="813">
        <f>$C$61</f>
        <v>220684</v>
      </c>
      <c r="F61" s="813"/>
      <c r="G61" s="813">
        <f>$C$61*(1+H50)</f>
        <v>231718.2</v>
      </c>
      <c r="H61" s="815"/>
      <c r="I61" s="813">
        <f>$C$61</f>
        <v>220684</v>
      </c>
      <c r="J61" s="813"/>
      <c r="K61" s="813">
        <f>$C$61*(1+$L$61)</f>
        <v>231718.2</v>
      </c>
      <c r="L61" s="816">
        <v>0.05</v>
      </c>
      <c r="M61" s="27"/>
      <c r="N61" s="27"/>
    </row>
    <row r="62" spans="1:14" s="744" customFormat="1" ht="18.75" customHeight="1">
      <c r="B62" s="818" t="s">
        <v>3033</v>
      </c>
      <c r="C62" s="819">
        <f>SUM(C58:C61)</f>
        <v>762234</v>
      </c>
      <c r="D62" s="813"/>
      <c r="E62" s="819">
        <f>SUM(E58:E61)</f>
        <v>762234</v>
      </c>
      <c r="F62" s="813"/>
      <c r="G62" s="819">
        <f>SUM(G58:G61)</f>
        <v>773268.2</v>
      </c>
      <c r="H62" s="813"/>
      <c r="I62" s="819">
        <f>SUM(I58:I61)</f>
        <v>768723.9</v>
      </c>
      <c r="J62" s="813"/>
      <c r="K62" s="819">
        <f>SUM(K58:K61)</f>
        <v>781650.10000000009</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75">
      <c r="A64" s="27"/>
      <c r="B64" s="824" t="s">
        <v>3034</v>
      </c>
      <c r="C64" s="825">
        <f>C56-C62</f>
        <v>816672.75600000005</v>
      </c>
      <c r="D64" s="825"/>
      <c r="E64" s="825">
        <f>E56-E62</f>
        <v>765740.28</v>
      </c>
      <c r="F64" s="825"/>
      <c r="G64" s="825">
        <f>G56-G62</f>
        <v>805638.5560000001</v>
      </c>
      <c r="H64" s="825"/>
      <c r="I64" s="825">
        <f>I56-I62</f>
        <v>810182.85600000003</v>
      </c>
      <c r="J64" s="825"/>
      <c r="K64" s="825">
        <f>K56-K62</f>
        <v>746324.17999999993</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3035</v>
      </c>
      <c r="C66" s="820">
        <f>'Part VI-Revenues &amp; Expenses'!P230</f>
        <v>46800</v>
      </c>
      <c r="D66" s="820"/>
      <c r="E66" s="820">
        <f>$C$66</f>
        <v>46800</v>
      </c>
      <c r="F66" s="820"/>
      <c r="G66" s="820">
        <f>$C$66</f>
        <v>46800</v>
      </c>
      <c r="H66" s="820"/>
      <c r="I66" s="820">
        <f>$C$66</f>
        <v>46800</v>
      </c>
      <c r="J66" s="820"/>
      <c r="K66" s="820">
        <f>$C$66</f>
        <v>46800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3036</v>
      </c>
      <c r="C68" s="820">
        <f>'Part VI-Revenues &amp; Expenses'!P221</f>
        <v>78945</v>
      </c>
      <c r="D68" s="820"/>
      <c r="E68" s="820">
        <f>$C$68</f>
        <v>78945</v>
      </c>
      <c r="F68" s="820"/>
      <c r="G68" s="820">
        <f>$C$68</f>
        <v>78945</v>
      </c>
      <c r="H68" s="820"/>
      <c r="I68" s="820">
        <f>$C$68</f>
        <v>78945</v>
      </c>
      <c r="J68" s="820"/>
      <c r="K68" s="820">
        <f>$C$68</f>
        <v>78945</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75">
      <c r="A70" s="27"/>
      <c r="B70" s="827" t="s">
        <v>3037</v>
      </c>
      <c r="C70" s="828">
        <f>C64-C66-C68</f>
        <v>690927.75600000005</v>
      </c>
      <c r="D70" s="829"/>
      <c r="E70" s="828">
        <f>E64-E66-E68</f>
        <v>639995.28</v>
      </c>
      <c r="F70" s="829"/>
      <c r="G70" s="828">
        <f>G64-G66-G68</f>
        <v>679893.5560000001</v>
      </c>
      <c r="H70" s="829"/>
      <c r="I70" s="828">
        <f>I64-I66-I68</f>
        <v>684437.85600000003</v>
      </c>
      <c r="J70" s="829"/>
      <c r="K70" s="828">
        <f>K64-K66-K68</f>
        <v>620579.17999999993</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3038</v>
      </c>
      <c r="C72" s="1610">
        <f>-C70/C75</f>
        <v>1.2592047917345623</v>
      </c>
      <c r="D72" s="831"/>
      <c r="E72" s="1610">
        <f>-E70/E75</f>
        <v>1.1663811683134973</v>
      </c>
      <c r="F72" s="831"/>
      <c r="G72" s="1610">
        <f>-G70/G75</f>
        <v>1.2390951386018005</v>
      </c>
      <c r="H72" s="831"/>
      <c r="I72" s="1610">
        <f>-I70/I75</f>
        <v>1.2473770527171155</v>
      </c>
      <c r="J72" s="831"/>
      <c r="K72" s="1610">
        <f>-K70/K75</f>
        <v>1.1309956364044309</v>
      </c>
      <c r="L72" s="832"/>
      <c r="M72" s="273"/>
      <c r="N72" s="273"/>
    </row>
    <row r="73" spans="1:14" s="744" customFormat="1" ht="18.75" customHeight="1">
      <c r="A73" s="27"/>
      <c r="B73" s="812" t="s">
        <v>3039</v>
      </c>
      <c r="C73" s="1611">
        <f>C76/C62</f>
        <v>0.18659112396360092</v>
      </c>
      <c r="D73" s="833"/>
      <c r="E73" s="1611">
        <f>E76/E62</f>
        <v>0.11977112380616892</v>
      </c>
      <c r="F73" s="833"/>
      <c r="G73" s="1611">
        <f>G76/G62</f>
        <v>0.16965898608435137</v>
      </c>
      <c r="H73" s="833"/>
      <c r="I73" s="1611">
        <f>I76/I62</f>
        <v>0.17657340793394269</v>
      </c>
      <c r="J73" s="833"/>
      <c r="K73" s="1611">
        <f>K76/K62</f>
        <v>9.1956135850646298E-2</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3040</v>
      </c>
      <c r="C75" s="813">
        <f>+SUM('Part VII-Pro Forma'!B25:B28)</f>
        <v>-548701.65721672866</v>
      </c>
      <c r="D75" s="813"/>
      <c r="E75" s="813">
        <f>$C$75</f>
        <v>-548701.65721672866</v>
      </c>
      <c r="F75" s="813"/>
      <c r="G75" s="813">
        <f>$C$75</f>
        <v>-548701.65721672866</v>
      </c>
      <c r="H75" s="813"/>
      <c r="I75" s="813">
        <f>$C$75</f>
        <v>-548701.65721672866</v>
      </c>
      <c r="J75" s="813"/>
      <c r="K75" s="813">
        <f>$C$75</f>
        <v>-548701.65721672866</v>
      </c>
      <c r="L75" s="33"/>
      <c r="M75" s="27"/>
      <c r="N75" s="27"/>
    </row>
    <row r="76" spans="1:14" s="744" customFormat="1" ht="18.75" customHeight="1">
      <c r="A76" s="27"/>
      <c r="B76" s="812" t="s">
        <v>1164</v>
      </c>
      <c r="C76" s="813">
        <f>C70+C75</f>
        <v>142226.09878327139</v>
      </c>
      <c r="D76" s="813"/>
      <c r="E76" s="813">
        <f>E70+E75</f>
        <v>91293.622783271363</v>
      </c>
      <c r="F76" s="813"/>
      <c r="G76" s="813">
        <f>G70+G75</f>
        <v>131191.89878327143</v>
      </c>
      <c r="H76" s="813"/>
      <c r="I76" s="813">
        <f>I70+I75</f>
        <v>135736.19878327136</v>
      </c>
      <c r="J76" s="813"/>
      <c r="K76" s="813">
        <f>K70+K75</f>
        <v>71877.52278327127</v>
      </c>
      <c r="L76" s="33"/>
      <c r="M76" s="27"/>
      <c r="N76" s="27"/>
    </row>
    <row r="77" spans="1:14" s="744" customFormat="1" ht="15" hidden="1">
      <c r="A77" s="27"/>
      <c r="B77" s="812" t="s">
        <v>3041</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c r="A78" s="27"/>
      <c r="B78" s="835" t="s">
        <v>3042</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75" hidden="1" thickBot="1">
      <c r="A80" s="27"/>
      <c r="B80" s="822" t="s">
        <v>3043</v>
      </c>
      <c r="C80" s="836" t="e">
        <f>MIN(C77,E77,G77,I77,K77)</f>
        <v>#NAME?</v>
      </c>
      <c r="D80" s="822"/>
      <c r="E80" s="822" t="s">
        <v>3044</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3"/>
    <col min="2" max="2" width="7.85546875" style="753" customWidth="1"/>
    <col min="3" max="3" width="14.85546875" style="753" customWidth="1"/>
    <col min="4" max="4" width="20.140625" style="753" customWidth="1"/>
    <col min="5" max="5" width="8" style="753" customWidth="1"/>
    <col min="6" max="6" width="5.140625" style="753" customWidth="1"/>
    <col min="7" max="7" width="5.42578125" style="753" customWidth="1"/>
    <col min="8" max="8" width="8.5703125" style="753" customWidth="1"/>
    <col min="9" max="9" width="28.5703125" style="753" customWidth="1"/>
    <col min="10" max="10" width="4.140625" style="753" hidden="1" customWidth="1"/>
    <col min="11" max="11" width="9.140625" style="753"/>
    <col min="12" max="12" width="16.140625" style="753" customWidth="1"/>
    <col min="13" max="13" width="11.140625" style="753" customWidth="1"/>
    <col min="14" max="14" width="10.85546875" style="753" bestFit="1" customWidth="1"/>
    <col min="15" max="15" width="28.5703125" style="753" customWidth="1"/>
    <col min="16" max="16384" width="9.140625" style="753"/>
  </cols>
  <sheetData>
    <row r="2" spans="1:10" ht="15">
      <c r="A2" s="750" t="s">
        <v>2927</v>
      </c>
      <c r="B2" s="751"/>
      <c r="C2" s="751"/>
      <c r="D2" s="751"/>
      <c r="E2" s="752"/>
      <c r="F2" s="751"/>
      <c r="G2" s="751"/>
      <c r="H2" s="751"/>
      <c r="I2" s="751"/>
      <c r="J2" s="751"/>
    </row>
    <row r="3" spans="1:10" ht="15">
      <c r="A3" s="754"/>
    </row>
    <row r="4" spans="1:10" ht="15">
      <c r="A4" s="754" t="s">
        <v>2928</v>
      </c>
      <c r="D4" s="753" t="s">
        <v>2929</v>
      </c>
    </row>
    <row r="5" spans="1:10" ht="15">
      <c r="A5" s="754"/>
    </row>
    <row r="6" spans="1:10" ht="15">
      <c r="A6" s="754" t="s">
        <v>2930</v>
      </c>
      <c r="D6" s="753" t="s">
        <v>2931</v>
      </c>
    </row>
    <row r="7" spans="1:10" ht="15">
      <c r="A7" s="754"/>
    </row>
    <row r="8" spans="1:10" ht="15">
      <c r="A8" s="754" t="s">
        <v>2932</v>
      </c>
      <c r="D8" s="755" t="s">
        <v>2933</v>
      </c>
    </row>
    <row r="9" spans="1:10" ht="15">
      <c r="A9" s="754"/>
    </row>
    <row r="10" spans="1:10" ht="15">
      <c r="A10" s="754" t="s">
        <v>2934</v>
      </c>
      <c r="D10" s="755" t="s">
        <v>2935</v>
      </c>
    </row>
    <row r="11" spans="1:10" ht="15">
      <c r="A11" s="754"/>
      <c r="D11" s="2660"/>
    </row>
    <row r="12" spans="1:10" ht="15">
      <c r="A12" s="754" t="s">
        <v>2936</v>
      </c>
      <c r="D12" s="753" t="s">
        <v>617</v>
      </c>
      <c r="F12" s="2660" t="str">
        <f>Overview!$C$8</f>
        <v>55 Milton</v>
      </c>
    </row>
    <row r="13" spans="1:10" ht="15">
      <c r="A13" s="754"/>
      <c r="D13" s="753" t="s">
        <v>2937</v>
      </c>
      <c r="F13" s="2660" t="str">
        <f>Overview!E8</f>
        <v>2019-5</v>
      </c>
    </row>
    <row r="14" spans="1:10" ht="15">
      <c r="A14" s="754"/>
      <c r="D14" s="753" t="s">
        <v>2938</v>
      </c>
      <c r="F14" s="2660" t="str">
        <f>Overview!H8</f>
        <v>Atlanta, Fulton</v>
      </c>
    </row>
    <row r="15" spans="1:10" ht="15">
      <c r="A15" s="754"/>
      <c r="D15" s="753" t="s">
        <v>3302</v>
      </c>
      <c r="F15" s="4200">
        <f>Overview!$C$25</f>
        <v>10392870</v>
      </c>
      <c r="G15" s="4200"/>
      <c r="H15" s="4200"/>
    </row>
    <row r="16" spans="1:10" ht="15">
      <c r="A16" s="754"/>
      <c r="D16" s="756" t="s">
        <v>2939</v>
      </c>
      <c r="F16" s="757">
        <f>Overview!C13</f>
        <v>156</v>
      </c>
      <c r="G16" s="758" t="s">
        <v>3303</v>
      </c>
      <c r="H16" s="1559">
        <f>Overview!E13</f>
        <v>156</v>
      </c>
    </row>
    <row r="17" spans="1:18" ht="15">
      <c r="A17" s="754"/>
      <c r="D17" s="756" t="s">
        <v>2903</v>
      </c>
      <c r="F17" s="757" t="str">
        <f>Overview!C14</f>
        <v>Family</v>
      </c>
    </row>
    <row r="18" spans="1:18" ht="15">
      <c r="A18" s="754"/>
      <c r="D18" s="756" t="s">
        <v>3307</v>
      </c>
      <c r="F18" s="2660" t="str">
        <f>Overview!H15</f>
        <v>Urban</v>
      </c>
    </row>
    <row r="19" spans="1:18" ht="15">
      <c r="A19" s="754"/>
      <c r="D19" s="756" t="s">
        <v>3304</v>
      </c>
      <c r="F19" s="2660" t="str">
        <f>Overview!E16</f>
        <v>No</v>
      </c>
    </row>
    <row r="20" spans="1:18" ht="15">
      <c r="A20" s="754"/>
      <c r="D20" s="756"/>
    </row>
    <row r="21" spans="1:18" ht="15">
      <c r="A21" s="759" t="s">
        <v>2940</v>
      </c>
    </row>
    <row r="22" spans="1:18" ht="111.75" customHeight="1">
      <c r="A22" s="4189" t="s">
        <v>3498</v>
      </c>
      <c r="B22" s="4189"/>
      <c r="C22" s="4189"/>
      <c r="D22" s="4189"/>
      <c r="E22" s="4189"/>
      <c r="F22" s="4189"/>
      <c r="G22" s="4189"/>
      <c r="H22" s="4189"/>
      <c r="I22" s="4189"/>
      <c r="J22" s="4189"/>
      <c r="K22" s="4188" t="s">
        <v>5064</v>
      </c>
      <c r="L22" s="4188"/>
      <c r="M22" s="4188"/>
      <c r="N22" s="4188"/>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190"/>
      <c r="B24" s="4190"/>
      <c r="C24" s="4190"/>
      <c r="D24" s="4190"/>
      <c r="E24" s="4190"/>
      <c r="F24" s="4190"/>
      <c r="G24" s="4190"/>
      <c r="H24" s="4190"/>
      <c r="I24" s="4190"/>
      <c r="J24" s="4190"/>
    </row>
    <row r="25" spans="1:18" ht="10.5" hidden="1" customHeight="1">
      <c r="A25" s="4191"/>
      <c r="B25" s="4191"/>
      <c r="C25" s="4191"/>
      <c r="D25" s="4191"/>
      <c r="E25" s="4191"/>
      <c r="F25" s="4191"/>
      <c r="G25" s="4191"/>
      <c r="H25" s="4191"/>
      <c r="I25" s="4191"/>
      <c r="J25" s="4191"/>
    </row>
    <row r="26" spans="1:18" ht="15">
      <c r="A26" s="759" t="s">
        <v>2941</v>
      </c>
    </row>
    <row r="27" spans="1:18" ht="14.25" customHeight="1">
      <c r="A27" s="4192" t="s">
        <v>2942</v>
      </c>
      <c r="B27" s="4192"/>
      <c r="C27" s="4192"/>
      <c r="D27" s="4192"/>
      <c r="E27" s="4192"/>
      <c r="F27" s="4192"/>
      <c r="G27" s="4192"/>
      <c r="H27" s="4192"/>
      <c r="I27" s="4192"/>
      <c r="J27" s="4192"/>
    </row>
    <row r="28" spans="1:18" ht="14.25" customHeight="1">
      <c r="A28" s="4192"/>
      <c r="B28" s="4192"/>
      <c r="C28" s="4192"/>
      <c r="D28" s="4192"/>
      <c r="E28" s="4192"/>
      <c r="F28" s="4192"/>
      <c r="G28" s="4192"/>
      <c r="H28" s="4192"/>
      <c r="I28" s="4192"/>
      <c r="J28" s="4192"/>
    </row>
    <row r="29" spans="1:18" ht="6.75" customHeight="1">
      <c r="A29" s="4192"/>
      <c r="B29" s="4192"/>
      <c r="C29" s="4192"/>
      <c r="D29" s="4192"/>
      <c r="E29" s="4192"/>
      <c r="F29" s="4192"/>
      <c r="G29" s="4192"/>
      <c r="H29" s="4192"/>
      <c r="I29" s="4192"/>
      <c r="J29" s="4192"/>
    </row>
    <row r="30" spans="1:18" ht="14.25" customHeight="1">
      <c r="A30" s="4192"/>
      <c r="B30" s="4192"/>
      <c r="C30" s="4192"/>
      <c r="D30" s="4192"/>
      <c r="E30" s="4192"/>
      <c r="F30" s="4192"/>
      <c r="G30" s="4192"/>
      <c r="H30" s="4192"/>
      <c r="I30" s="4192"/>
      <c r="J30" s="4192"/>
    </row>
    <row r="31" spans="1:18" ht="14.25" customHeight="1">
      <c r="A31" s="4192"/>
      <c r="B31" s="4192"/>
      <c r="C31" s="4192"/>
      <c r="D31" s="4192"/>
      <c r="E31" s="4192"/>
      <c r="F31" s="4192"/>
      <c r="G31" s="4192"/>
      <c r="H31" s="4192"/>
      <c r="I31" s="4192"/>
      <c r="J31" s="4192"/>
    </row>
    <row r="32" spans="1:18" ht="54.75" customHeight="1">
      <c r="A32" s="4192"/>
      <c r="B32" s="4192"/>
      <c r="C32" s="4192"/>
      <c r="D32" s="4192"/>
      <c r="E32" s="4192"/>
      <c r="F32" s="4192"/>
      <c r="G32" s="4192"/>
      <c r="H32" s="4192"/>
      <c r="I32" s="4192"/>
      <c r="J32" s="4192"/>
    </row>
    <row r="33" spans="1:10" ht="0.75" hidden="1" customHeight="1">
      <c r="A33" s="4192"/>
      <c r="B33" s="4192"/>
      <c r="C33" s="4192"/>
      <c r="D33" s="4192"/>
      <c r="E33" s="4192"/>
      <c r="F33" s="4192"/>
      <c r="G33" s="4192"/>
      <c r="H33" s="4192"/>
      <c r="I33" s="4192"/>
      <c r="J33" s="4192"/>
    </row>
    <row r="34" spans="1:10" ht="3.75" hidden="1" customHeight="1">
      <c r="A34" s="4192"/>
      <c r="B34" s="4192"/>
      <c r="C34" s="4192"/>
      <c r="D34" s="4192"/>
      <c r="E34" s="4192"/>
      <c r="F34" s="4192"/>
      <c r="G34" s="4192"/>
      <c r="H34" s="4192"/>
      <c r="I34" s="4192"/>
      <c r="J34" s="4192"/>
    </row>
    <row r="35" spans="1:10" ht="5.25" customHeight="1">
      <c r="A35" s="2656"/>
      <c r="B35" s="2656"/>
      <c r="C35" s="2656"/>
      <c r="D35" s="2656"/>
      <c r="E35" s="2656"/>
      <c r="F35" s="2656"/>
      <c r="G35" s="2656"/>
      <c r="H35" s="2656"/>
      <c r="I35" s="2656"/>
      <c r="J35" s="2656"/>
    </row>
    <row r="36" spans="1:10" ht="19.5" customHeight="1">
      <c r="A36" s="4190" t="s">
        <v>2943</v>
      </c>
      <c r="B36" s="4190"/>
      <c r="C36" s="4190"/>
      <c r="D36" s="2654"/>
      <c r="E36" s="2654"/>
      <c r="F36" s="2654"/>
      <c r="G36" s="2654"/>
      <c r="H36" s="2654"/>
      <c r="I36" s="2654"/>
      <c r="J36" s="2654"/>
    </row>
    <row r="37" spans="1:10" ht="15" customHeight="1">
      <c r="A37" s="4176"/>
      <c r="B37" s="4176"/>
      <c r="C37" s="4176"/>
      <c r="D37" s="4176"/>
      <c r="E37" s="4176"/>
      <c r="F37" s="4176"/>
      <c r="G37" s="4176"/>
      <c r="H37" s="4176"/>
      <c r="I37" s="4176"/>
      <c r="J37" s="4176"/>
    </row>
    <row r="38" spans="1:10" ht="33.75" customHeight="1">
      <c r="A38" s="4176"/>
      <c r="B38" s="4176"/>
      <c r="C38" s="4176"/>
      <c r="D38" s="4176"/>
      <c r="E38" s="4176"/>
      <c r="F38" s="4176"/>
      <c r="G38" s="4176"/>
      <c r="H38" s="4176"/>
      <c r="I38" s="4176"/>
      <c r="J38" s="4176"/>
    </row>
    <row r="39" spans="1:10" ht="2.25" customHeight="1">
      <c r="A39" s="2654"/>
      <c r="B39" s="2654"/>
      <c r="C39" s="2654"/>
      <c r="D39" s="2654"/>
      <c r="E39" s="2654"/>
      <c r="F39" s="2654"/>
      <c r="G39" s="2654"/>
      <c r="H39" s="2654"/>
      <c r="I39" s="2654"/>
      <c r="J39" s="2654"/>
    </row>
    <row r="40" spans="1:10" ht="15">
      <c r="A40" s="759" t="s">
        <v>2944</v>
      </c>
    </row>
    <row r="41" spans="1:10" ht="135" customHeight="1">
      <c r="A41" s="4191" t="s">
        <v>5061</v>
      </c>
      <c r="B41" s="4191"/>
      <c r="C41" s="4191"/>
      <c r="D41" s="4191"/>
      <c r="E41" s="4191"/>
      <c r="F41" s="4191"/>
      <c r="G41" s="4191"/>
      <c r="H41" s="4191"/>
      <c r="I41" s="4191"/>
      <c r="J41" s="4191"/>
    </row>
    <row r="42" spans="1:10" ht="6" customHeight="1">
      <c r="A42" s="2655"/>
      <c r="B42" s="2655"/>
      <c r="C42" s="2655"/>
      <c r="D42" s="2655"/>
      <c r="E42" s="2655"/>
      <c r="F42" s="2655"/>
      <c r="G42" s="2655"/>
      <c r="H42" s="2655"/>
      <c r="I42" s="2655"/>
      <c r="J42" s="2655"/>
    </row>
    <row r="43" spans="1:10" ht="15">
      <c r="A43" s="759" t="s">
        <v>2945</v>
      </c>
    </row>
    <row r="44" spans="1:10" ht="33" customHeight="1">
      <c r="A44" s="4176" t="s">
        <v>4244</v>
      </c>
      <c r="B44" s="4178"/>
      <c r="C44" s="4178"/>
      <c r="D44" s="4178"/>
      <c r="E44" s="4178"/>
      <c r="F44" s="4178"/>
      <c r="G44" s="4178"/>
      <c r="H44" s="4178"/>
      <c r="I44" s="4178"/>
      <c r="J44" s="4176"/>
    </row>
    <row r="45" spans="1:10" ht="3" customHeight="1"/>
    <row r="46" spans="1:10" ht="72.75" customHeight="1">
      <c r="A46" s="4176" t="s">
        <v>4245</v>
      </c>
      <c r="B46" s="4176"/>
      <c r="C46" s="4176"/>
      <c r="D46" s="4176"/>
      <c r="E46" s="4176"/>
      <c r="F46" s="4176"/>
      <c r="G46" s="4176"/>
      <c r="H46" s="4176"/>
      <c r="I46" s="4176"/>
      <c r="J46" s="4176"/>
    </row>
    <row r="47" spans="1:10" ht="3" customHeight="1">
      <c r="A47" s="2654"/>
      <c r="B47" s="2654"/>
      <c r="C47" s="2654"/>
      <c r="D47" s="2654"/>
      <c r="E47" s="2654"/>
      <c r="F47" s="2654"/>
      <c r="G47" s="2654"/>
      <c r="H47" s="2654"/>
      <c r="I47" s="2654"/>
      <c r="J47" s="2654"/>
    </row>
    <row r="48" spans="1:10" ht="56.25" customHeight="1">
      <c r="A48" s="4176" t="s">
        <v>4246</v>
      </c>
      <c r="B48" s="4176"/>
      <c r="C48" s="4176"/>
      <c r="D48" s="4176"/>
      <c r="E48" s="4176"/>
      <c r="F48" s="4176"/>
      <c r="G48" s="4176"/>
      <c r="H48" s="4176"/>
      <c r="I48" s="4176"/>
      <c r="J48" s="4176"/>
    </row>
    <row r="49" spans="1:17" ht="3" customHeight="1">
      <c r="A49" s="2654"/>
      <c r="B49" s="2654"/>
      <c r="C49" s="2654"/>
      <c r="D49" s="2654"/>
      <c r="E49" s="2654"/>
      <c r="F49" s="2654"/>
      <c r="G49" s="2654"/>
      <c r="H49" s="2654"/>
      <c r="I49" s="2654"/>
      <c r="J49" s="2654"/>
    </row>
    <row r="50" spans="1:17" ht="49.5" customHeight="1">
      <c r="A50" s="4176" t="s">
        <v>4247</v>
      </c>
      <c r="B50" s="4176"/>
      <c r="C50" s="4176"/>
      <c r="D50" s="4176"/>
      <c r="E50" s="4176"/>
      <c r="F50" s="4176"/>
      <c r="G50" s="4176"/>
      <c r="H50" s="4176"/>
      <c r="I50" s="4176"/>
      <c r="J50" s="2654"/>
    </row>
    <row r="51" spans="1:17" ht="3" customHeight="1">
      <c r="A51" s="2654"/>
      <c r="B51" s="2654"/>
      <c r="C51" s="2654"/>
      <c r="D51" s="2654"/>
      <c r="E51" s="2654"/>
      <c r="F51" s="2654"/>
      <c r="G51" s="2654"/>
      <c r="H51" s="2654"/>
      <c r="I51" s="2654"/>
      <c r="J51" s="2654"/>
    </row>
    <row r="52" spans="1:17" ht="54.75" customHeight="1">
      <c r="A52" s="4205" t="s">
        <v>3312</v>
      </c>
      <c r="B52" s="4195"/>
      <c r="C52" s="4195"/>
      <c r="D52" s="4195"/>
      <c r="E52" s="4195"/>
      <c r="F52" s="4195"/>
      <c r="G52" s="4195"/>
      <c r="H52" s="4195"/>
      <c r="I52" s="4195"/>
      <c r="J52" s="2654"/>
    </row>
    <row r="53" spans="1:17" ht="3" customHeight="1">
      <c r="A53" s="2654"/>
      <c r="B53" s="2654"/>
      <c r="C53" s="2654"/>
      <c r="D53" s="2654"/>
      <c r="E53" s="2654"/>
      <c r="F53" s="2654"/>
      <c r="G53" s="2654"/>
      <c r="H53" s="2654"/>
      <c r="I53" s="2654"/>
      <c r="J53" s="2654"/>
    </row>
    <row r="54" spans="1:17" ht="62.25" customHeight="1">
      <c r="A54" s="4195" t="s">
        <v>4248</v>
      </c>
      <c r="B54" s="4195"/>
      <c r="C54" s="4195"/>
      <c r="D54" s="4195"/>
      <c r="E54" s="4195"/>
      <c r="F54" s="4195"/>
      <c r="G54" s="4195"/>
      <c r="H54" s="4195"/>
      <c r="I54" s="4195"/>
      <c r="J54" s="4195"/>
    </row>
    <row r="55" spans="1:17" ht="3" customHeight="1"/>
    <row r="56" spans="1:17" ht="73.5" customHeight="1">
      <c r="A56" s="4176" t="s">
        <v>4249</v>
      </c>
      <c r="B56" s="4176"/>
      <c r="C56" s="4176"/>
      <c r="D56" s="4176"/>
      <c r="E56" s="4176"/>
      <c r="F56" s="4176"/>
      <c r="G56" s="4176"/>
      <c r="H56" s="4176"/>
      <c r="I56" s="4176"/>
      <c r="J56" s="4176"/>
    </row>
    <row r="57" spans="1:17" ht="6" customHeight="1">
      <c r="A57" s="2654" t="s">
        <v>243</v>
      </c>
      <c r="B57" s="2654"/>
      <c r="C57" s="2654"/>
      <c r="D57" s="2654"/>
      <c r="E57" s="2654"/>
      <c r="F57" s="2654"/>
      <c r="G57" s="2654"/>
      <c r="H57" s="2654"/>
      <c r="I57" s="2654"/>
      <c r="J57" s="2654"/>
    </row>
    <row r="58" spans="1:17" ht="15">
      <c r="A58" s="759" t="s">
        <v>2948</v>
      </c>
      <c r="L58" s="760" t="s">
        <v>3490</v>
      </c>
    </row>
    <row r="59" spans="1:17" ht="73.5" customHeight="1">
      <c r="A59" s="4189" t="s">
        <v>2949</v>
      </c>
      <c r="B59" s="4189"/>
      <c r="C59" s="4189"/>
      <c r="D59" s="4189"/>
      <c r="E59" s="4189"/>
      <c r="F59" s="4189"/>
      <c r="G59" s="4189"/>
      <c r="H59" s="4189"/>
      <c r="I59" s="4189"/>
      <c r="J59" s="4189"/>
      <c r="L59" s="761">
        <f>'Closing term sheet'!C133</f>
        <v>1430181</v>
      </c>
      <c r="M59" s="762"/>
      <c r="N59" s="762"/>
      <c r="O59" s="762"/>
    </row>
    <row r="60" spans="1:17" ht="7.5" customHeight="1">
      <c r="A60" s="2654"/>
      <c r="B60" s="2654"/>
      <c r="C60" s="2654"/>
      <c r="D60" s="2654"/>
      <c r="E60" s="2654"/>
      <c r="F60" s="2654"/>
      <c r="G60" s="2654"/>
      <c r="H60" s="2654"/>
      <c r="I60" s="2654"/>
      <c r="J60" s="2654"/>
      <c r="L60" s="763" t="s">
        <v>3491</v>
      </c>
      <c r="M60" s="764" t="s">
        <v>3496</v>
      </c>
      <c r="N60" s="765" t="s">
        <v>3493</v>
      </c>
      <c r="O60" s="763" t="s">
        <v>3492</v>
      </c>
      <c r="P60" s="764" t="s">
        <v>3495</v>
      </c>
      <c r="Q60" s="765" t="s">
        <v>3494</v>
      </c>
    </row>
    <row r="61" spans="1:17" ht="78.75" customHeight="1">
      <c r="A61" s="4195" t="s">
        <v>3389</v>
      </c>
      <c r="B61" s="4195"/>
      <c r="C61" s="4195"/>
      <c r="D61" s="4195"/>
      <c r="E61" s="4195"/>
      <c r="F61" s="4195"/>
      <c r="G61" s="4195"/>
      <c r="H61" s="4195"/>
      <c r="I61" s="4195"/>
      <c r="J61" s="766"/>
      <c r="L61" s="767">
        <f>'Part III-Sources of Funds'!I49</f>
        <v>11648008.221190719</v>
      </c>
      <c r="M61" s="768">
        <f>'Part IV-A-Uses of Funds'!$J$175</f>
        <v>1213455</v>
      </c>
      <c r="N61" s="769">
        <f>'Part IV-A-Uses of Funds'!N168</f>
        <v>0.96</v>
      </c>
      <c r="O61" s="767">
        <f>'Part III-Sources of Funds'!I50</f>
        <v>7644769.8721436234</v>
      </c>
      <c r="P61" s="768">
        <f>M61</f>
        <v>1213455</v>
      </c>
      <c r="Q61" s="769">
        <f>'Part IV-A-Uses of Funds'!Q168</f>
        <v>0.63</v>
      </c>
    </row>
    <row r="62" spans="1:17" ht="18.75" customHeight="1">
      <c r="A62" s="770" t="s">
        <v>2950</v>
      </c>
    </row>
    <row r="63" spans="1:17" ht="159.75" customHeight="1">
      <c r="A63" s="4195" t="s">
        <v>4250</v>
      </c>
      <c r="B63" s="4195"/>
      <c r="C63" s="4195"/>
      <c r="D63" s="4195"/>
      <c r="E63" s="4195"/>
      <c r="F63" s="4195"/>
      <c r="G63" s="4195"/>
      <c r="H63" s="4195"/>
      <c r="I63" s="4195"/>
      <c r="J63" s="4195"/>
      <c r="L63" s="771">
        <f>'Part VII-Pro Forma'!K71</f>
        <v>7320927.4902975103</v>
      </c>
      <c r="M63" s="4193" t="s">
        <v>3497</v>
      </c>
      <c r="N63" s="4194"/>
    </row>
    <row r="64" spans="1:17" ht="6" customHeight="1">
      <c r="A64" s="759"/>
    </row>
    <row r="65" spans="1:10" ht="15">
      <c r="A65" s="759" t="s">
        <v>2951</v>
      </c>
    </row>
    <row r="66" spans="1:10" ht="66.75" customHeight="1">
      <c r="A66" s="4195" t="s">
        <v>2952</v>
      </c>
      <c r="B66" s="4195"/>
      <c r="C66" s="4195"/>
      <c r="D66" s="4195"/>
      <c r="E66" s="4195"/>
      <c r="F66" s="4195"/>
      <c r="G66" s="4195"/>
      <c r="H66" s="4195"/>
      <c r="I66" s="4195"/>
      <c r="J66" s="4195"/>
    </row>
    <row r="67" spans="1:10" ht="36" customHeight="1">
      <c r="A67" s="4195" t="s">
        <v>2953</v>
      </c>
      <c r="B67" s="4195"/>
      <c r="C67" s="4195"/>
      <c r="D67" s="4195"/>
      <c r="E67" s="4195"/>
      <c r="F67" s="4195"/>
      <c r="G67" s="4195"/>
      <c r="H67" s="4195"/>
      <c r="I67" s="4195"/>
      <c r="J67" s="4195"/>
    </row>
    <row r="68" spans="1:10" ht="6" customHeight="1">
      <c r="A68" s="759"/>
    </row>
    <row r="69" spans="1:10" ht="15">
      <c r="A69" s="759" t="s">
        <v>2954</v>
      </c>
    </row>
    <row r="70" spans="1:10" ht="105.75" customHeight="1">
      <c r="A70" s="4176" t="s">
        <v>2955</v>
      </c>
      <c r="B70" s="4176"/>
      <c r="C70" s="4176"/>
      <c r="D70" s="4176"/>
      <c r="E70" s="4176"/>
      <c r="F70" s="4176"/>
      <c r="G70" s="4176"/>
      <c r="H70" s="4176"/>
      <c r="I70" s="4176"/>
      <c r="J70" s="4176"/>
    </row>
    <row r="71" spans="1:10" ht="6" customHeight="1">
      <c r="A71" s="759"/>
    </row>
    <row r="72" spans="1:10" ht="15">
      <c r="A72" s="759" t="s">
        <v>2956</v>
      </c>
    </row>
    <row r="73" spans="1:10" ht="66" customHeight="1">
      <c r="A73" s="4176" t="s">
        <v>2957</v>
      </c>
      <c r="B73" s="4176"/>
      <c r="C73" s="4176"/>
      <c r="D73" s="4176"/>
      <c r="E73" s="4176"/>
      <c r="F73" s="4176"/>
      <c r="G73" s="4176"/>
      <c r="H73" s="4176"/>
      <c r="I73" s="4176"/>
      <c r="J73" s="4176"/>
    </row>
    <row r="74" spans="1:10" s="2656" customFormat="1" ht="6" customHeight="1">
      <c r="A74" s="4176"/>
      <c r="B74" s="4176"/>
      <c r="C74" s="4176"/>
      <c r="D74" s="4176"/>
      <c r="E74" s="4176"/>
      <c r="F74" s="4176"/>
      <c r="G74" s="4176"/>
      <c r="H74" s="4176"/>
      <c r="I74" s="4176"/>
      <c r="J74" s="4176"/>
    </row>
    <row r="75" spans="1:10" ht="16.5" customHeight="1">
      <c r="A75" s="2658" t="s">
        <v>2958</v>
      </c>
      <c r="B75" s="758"/>
      <c r="C75" s="758"/>
      <c r="D75" s="2660"/>
      <c r="E75" s="758"/>
      <c r="F75" s="758"/>
      <c r="G75" s="758"/>
      <c r="H75" s="758"/>
      <c r="I75" s="758"/>
      <c r="J75" s="772"/>
    </row>
    <row r="76" spans="1:10" s="2656" customFormat="1" ht="63" customHeight="1">
      <c r="A76" s="4176" t="s">
        <v>4461</v>
      </c>
      <c r="B76" s="4176"/>
      <c r="C76" s="4176"/>
      <c r="D76" s="4176"/>
      <c r="E76" s="4176"/>
      <c r="F76" s="4176"/>
      <c r="G76" s="4176"/>
      <c r="H76" s="4176"/>
      <c r="I76" s="4176"/>
      <c r="J76" s="4176"/>
    </row>
    <row r="77" spans="1:10" s="2656" customFormat="1" ht="6" customHeight="1">
      <c r="A77" s="2654"/>
      <c r="B77" s="2654"/>
      <c r="C77" s="2654"/>
      <c r="D77" s="2654"/>
      <c r="E77" s="2654"/>
      <c r="F77" s="2654"/>
      <c r="G77" s="2654"/>
      <c r="H77" s="2654"/>
      <c r="I77" s="2654"/>
      <c r="J77" s="2654"/>
    </row>
    <row r="78" spans="1:10" ht="16.5" customHeight="1">
      <c r="A78" s="4197" t="s">
        <v>2959</v>
      </c>
      <c r="B78" s="4198"/>
      <c r="C78" s="4198"/>
      <c r="D78" s="758"/>
      <c r="E78" s="758"/>
      <c r="F78" s="758"/>
      <c r="G78" s="758"/>
      <c r="H78" s="758"/>
      <c r="I78" s="758"/>
      <c r="J78" s="772"/>
    </row>
    <row r="79" spans="1:10" ht="41.25" customHeight="1">
      <c r="A79" s="4195" t="s">
        <v>4251</v>
      </c>
      <c r="B79" s="4199"/>
      <c r="C79" s="4199"/>
      <c r="D79" s="4199"/>
      <c r="E79" s="4199"/>
      <c r="F79" s="4199"/>
      <c r="G79" s="4199"/>
      <c r="H79" s="4199"/>
      <c r="I79" s="4199"/>
      <c r="J79" s="4199"/>
    </row>
    <row r="80" spans="1:10" ht="6" customHeight="1">
      <c r="A80" s="773"/>
      <c r="B80" s="758"/>
      <c r="C80" s="758"/>
      <c r="D80" s="758"/>
      <c r="E80" s="758"/>
      <c r="F80" s="758"/>
      <c r="G80" s="758"/>
      <c r="H80" s="758"/>
      <c r="I80" s="758"/>
      <c r="J80" s="772"/>
    </row>
    <row r="81" spans="1:15" ht="15">
      <c r="A81" s="759" t="s">
        <v>2960</v>
      </c>
    </row>
    <row r="82" spans="1:15" ht="139.5" customHeight="1">
      <c r="A82" s="4195" t="s">
        <v>2961</v>
      </c>
      <c r="B82" s="4195"/>
      <c r="C82" s="4195"/>
      <c r="D82" s="4195"/>
      <c r="E82" s="4195"/>
      <c r="F82" s="4195"/>
      <c r="G82" s="4195"/>
      <c r="H82" s="4195"/>
      <c r="I82" s="4195"/>
      <c r="J82" s="4195"/>
      <c r="L82" s="4188" t="s">
        <v>2962</v>
      </c>
      <c r="M82" s="4188"/>
      <c r="N82" s="4188"/>
    </row>
    <row r="83" spans="1:15" ht="6" customHeight="1">
      <c r="A83" s="2657"/>
      <c r="B83" s="2657"/>
      <c r="C83" s="2657"/>
      <c r="D83" s="2657"/>
      <c r="E83" s="2657"/>
      <c r="F83" s="2657"/>
      <c r="G83" s="2657"/>
      <c r="H83" s="2657"/>
      <c r="I83" s="2657"/>
      <c r="J83" s="2657"/>
      <c r="L83" s="2659"/>
      <c r="M83" s="2659"/>
      <c r="N83" s="2659"/>
    </row>
    <row r="84" spans="1:15" ht="17.25" customHeight="1">
      <c r="A84" s="759" t="s">
        <v>2963</v>
      </c>
    </row>
    <row r="85" spans="1:15" ht="111" customHeight="1">
      <c r="A85" s="4195" t="s">
        <v>2964</v>
      </c>
      <c r="B85" s="4195"/>
      <c r="C85" s="4195"/>
      <c r="D85" s="4195"/>
      <c r="E85" s="4195"/>
      <c r="F85" s="4195"/>
      <c r="G85" s="4195"/>
      <c r="H85" s="4195"/>
      <c r="I85" s="4195"/>
      <c r="J85" s="4195"/>
      <c r="L85" s="4188" t="s">
        <v>2965</v>
      </c>
      <c r="M85" s="4188"/>
      <c r="N85" s="774">
        <f>'After-Tax Analysis'!G66</f>
        <v>7.2239316461308656E-2</v>
      </c>
      <c r="O85" s="775" t="s">
        <v>2966</v>
      </c>
    </row>
    <row r="86" spans="1:15" ht="6" customHeight="1">
      <c r="A86" s="759"/>
    </row>
    <row r="87" spans="1:15" ht="15">
      <c r="A87" s="759" t="s">
        <v>2967</v>
      </c>
    </row>
    <row r="88" spans="1:15" ht="118.5" customHeight="1">
      <c r="A88" s="4176" t="s">
        <v>2968</v>
      </c>
      <c r="B88" s="4176"/>
      <c r="C88" s="4176"/>
      <c r="D88" s="4176"/>
      <c r="E88" s="4176"/>
      <c r="F88" s="4176"/>
      <c r="G88" s="4176"/>
      <c r="H88" s="4176"/>
      <c r="I88" s="4176"/>
      <c r="J88" s="4176"/>
    </row>
    <row r="89" spans="1:15" ht="20.25" customHeight="1">
      <c r="A89" s="4178" t="s">
        <v>2969</v>
      </c>
      <c r="B89" s="4178"/>
      <c r="C89" s="4178"/>
      <c r="D89" s="4176"/>
      <c r="E89" s="2654"/>
      <c r="F89" s="2654"/>
      <c r="G89" s="2654"/>
      <c r="H89" s="2654"/>
      <c r="I89" s="2654"/>
      <c r="J89" s="2654"/>
    </row>
    <row r="90" spans="1:15" ht="109.5" customHeight="1">
      <c r="A90" s="4202" t="s">
        <v>2970</v>
      </c>
      <c r="B90" s="4203"/>
      <c r="C90" s="4203"/>
      <c r="D90" s="4203"/>
      <c r="E90" s="4203"/>
      <c r="F90" s="4203"/>
      <c r="G90" s="4203"/>
      <c r="H90" s="4203"/>
      <c r="I90" s="4203"/>
      <c r="J90" s="4203"/>
    </row>
    <row r="91" spans="1:15" ht="11.25" customHeight="1">
      <c r="A91" s="759"/>
    </row>
    <row r="92" spans="1:15" ht="15">
      <c r="A92" s="759" t="s">
        <v>2971</v>
      </c>
    </row>
    <row r="93" spans="1:15" ht="122.25" customHeight="1">
      <c r="A93" s="4189" t="s">
        <v>2972</v>
      </c>
      <c r="B93" s="4189"/>
      <c r="C93" s="4189"/>
      <c r="D93" s="4189"/>
      <c r="E93" s="4189"/>
      <c r="F93" s="4189"/>
      <c r="G93" s="4189"/>
      <c r="H93" s="4189"/>
      <c r="I93" s="4189"/>
      <c r="J93" s="4189"/>
      <c r="L93" s="1564">
        <f>'Part VII-Pro Forma'!K71</f>
        <v>7320927.4902975103</v>
      </c>
      <c r="M93" s="4196" t="s">
        <v>2973</v>
      </c>
      <c r="N93" s="4196"/>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78" t="s">
        <v>2974</v>
      </c>
      <c r="B97" s="4178"/>
      <c r="C97" s="4178"/>
      <c r="D97" s="2654"/>
      <c r="E97" s="2654"/>
      <c r="F97" s="2654"/>
      <c r="G97" s="2654"/>
      <c r="H97" s="2654"/>
      <c r="I97" s="2654"/>
      <c r="J97" s="772"/>
    </row>
    <row r="98" spans="1:10" ht="37.5" customHeight="1">
      <c r="A98" s="4195" t="s">
        <v>2975</v>
      </c>
      <c r="B98" s="4195"/>
      <c r="C98" s="4195"/>
      <c r="D98" s="4195"/>
      <c r="E98" s="4195"/>
      <c r="F98" s="4195"/>
      <c r="G98" s="4195"/>
      <c r="H98" s="4195"/>
      <c r="I98" s="4195"/>
      <c r="J98" s="4195"/>
    </row>
    <row r="99" spans="1:10" ht="6" customHeight="1">
      <c r="A99" s="759"/>
    </row>
    <row r="100" spans="1:10" ht="15">
      <c r="A100" s="759" t="s">
        <v>2976</v>
      </c>
    </row>
    <row r="101" spans="1:10" ht="43.5" customHeight="1">
      <c r="A101" s="4176" t="s">
        <v>2977</v>
      </c>
      <c r="B101" s="4176"/>
      <c r="C101" s="4176"/>
      <c r="D101" s="4176"/>
      <c r="E101" s="4176"/>
      <c r="F101" s="4176"/>
      <c r="G101" s="4176"/>
      <c r="H101" s="4176"/>
      <c r="I101" s="4176"/>
      <c r="J101" s="4176"/>
    </row>
    <row r="102" spans="1:10" ht="6" customHeight="1">
      <c r="A102" s="2654"/>
      <c r="B102" s="2654"/>
      <c r="C102" s="2654"/>
      <c r="D102" s="2654"/>
      <c r="E102" s="2654"/>
      <c r="F102" s="2654"/>
      <c r="G102" s="2654"/>
      <c r="H102" s="2654"/>
      <c r="I102" s="2654"/>
      <c r="J102" s="2654"/>
    </row>
    <row r="103" spans="1:10" ht="15">
      <c r="A103" s="759" t="s">
        <v>2978</v>
      </c>
    </row>
    <row r="105" spans="1:10">
      <c r="A105" s="4204" t="s">
        <v>2979</v>
      </c>
      <c r="B105" s="4204"/>
      <c r="C105" s="4204"/>
      <c r="D105" s="4204"/>
      <c r="E105" s="4204"/>
      <c r="F105" s="4204"/>
      <c r="G105" s="4204"/>
      <c r="H105" s="4204"/>
      <c r="I105" s="4204"/>
      <c r="J105" s="4204"/>
    </row>
    <row r="107" spans="1:10" ht="15" thickBot="1">
      <c r="A107" s="776"/>
      <c r="B107" s="753" t="s">
        <v>2980</v>
      </c>
    </row>
    <row r="110" spans="1:10" ht="15" thickBot="1">
      <c r="A110" s="776"/>
      <c r="B110" s="753" t="s">
        <v>2981</v>
      </c>
    </row>
    <row r="112" spans="1:10">
      <c r="A112" s="753" t="s">
        <v>2982</v>
      </c>
    </row>
    <row r="115" spans="1:10" ht="15" thickBot="1">
      <c r="A115" s="776"/>
      <c r="B115" s="776"/>
      <c r="C115" s="776"/>
      <c r="D115" s="776"/>
      <c r="E115" s="776"/>
      <c r="H115" s="776"/>
      <c r="I115" s="776"/>
      <c r="J115" s="776"/>
    </row>
    <row r="116" spans="1:10">
      <c r="A116" s="4201" t="s">
        <v>5065</v>
      </c>
      <c r="B116" s="4201"/>
      <c r="C116" s="4201"/>
      <c r="D116" s="4201"/>
      <c r="E116" s="4201"/>
      <c r="H116" s="4201" t="s">
        <v>2983</v>
      </c>
      <c r="I116" s="4201"/>
      <c r="J116" s="4201"/>
    </row>
    <row r="118" spans="1:10" ht="15" thickBot="1">
      <c r="A118" s="753" t="s">
        <v>2984</v>
      </c>
      <c r="B118" s="776"/>
      <c r="C118" s="776"/>
      <c r="H118" s="753" t="s">
        <v>2984</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3" customWidth="1"/>
    <col min="2" max="2" width="1.85546875" style="753" customWidth="1"/>
    <col min="3" max="3" width="13" style="753" customWidth="1"/>
    <col min="4" max="4" width="11.140625" style="753" customWidth="1"/>
    <col min="5" max="5" width="14.85546875" style="753" customWidth="1"/>
    <col min="6" max="6" width="15.140625" style="753" customWidth="1"/>
    <col min="7" max="7" width="11.85546875" style="753" customWidth="1"/>
    <col min="8" max="8" width="11.42578125" style="753" customWidth="1"/>
    <col min="9" max="9" width="10.5703125" style="753" customWidth="1"/>
    <col min="10" max="10" width="6" style="753" customWidth="1"/>
    <col min="11" max="11" width="12.85546875" style="753" customWidth="1"/>
    <col min="12" max="12" width="10.85546875" style="753" customWidth="1"/>
    <col min="13" max="13" width="26.140625" style="753" customWidth="1"/>
    <col min="14" max="14" width="9.140625" style="753"/>
    <col min="15" max="15" width="12.42578125" style="753" customWidth="1"/>
    <col min="16" max="16" width="9.140625" style="753"/>
    <col min="17" max="17" width="11.85546875" style="753" bestFit="1" customWidth="1"/>
    <col min="18" max="16384" width="9.140625" style="753"/>
  </cols>
  <sheetData>
    <row r="1" spans="1:15" ht="13.5" customHeight="1">
      <c r="A1" s="754" t="s">
        <v>3045</v>
      </c>
      <c r="B1" s="838"/>
      <c r="C1" s="753" t="str">
        <f>Overview!C8</f>
        <v>55 Milton</v>
      </c>
    </row>
    <row r="2" spans="1:15" ht="13.5" customHeight="1"/>
    <row r="3" spans="1:15" ht="13.5" customHeight="1">
      <c r="A3" s="754" t="s">
        <v>3046</v>
      </c>
      <c r="C3" s="753" t="s">
        <v>3047</v>
      </c>
      <c r="E3" s="839">
        <f>SUM('Part IV-A-Uses of Funds'!J149,'Part IV-A-Uses of Funds'!M149,'Part IV-A-Uses of Funds'!P149)</f>
        <v>29261044.5</v>
      </c>
      <c r="F3" s="2185" t="s">
        <v>3048</v>
      </c>
      <c r="H3" s="1612">
        <v>27.5</v>
      </c>
      <c r="I3" s="753" t="s">
        <v>2468</v>
      </c>
      <c r="K3" s="758" t="s">
        <v>3069</v>
      </c>
      <c r="M3" s="2185"/>
      <c r="O3" s="840"/>
    </row>
    <row r="4" spans="1:15" ht="13.5" customHeight="1">
      <c r="C4" s="753" t="s">
        <v>3555</v>
      </c>
      <c r="E4" s="839">
        <f>SUM('Part IV-A-Uses of Funds'!G85:H89)</f>
        <v>551136</v>
      </c>
      <c r="F4" s="2185" t="s">
        <v>4463</v>
      </c>
      <c r="H4" s="754">
        <f>'Part III-Sources of Funds'!M38</f>
        <v>40</v>
      </c>
      <c r="I4" s="753" t="s">
        <v>2468</v>
      </c>
      <c r="K4" s="841" t="s">
        <v>3313</v>
      </c>
      <c r="M4" s="2185"/>
    </row>
    <row r="5" spans="1:15" ht="13.5" customHeight="1">
      <c r="C5" s="753" t="s">
        <v>3556</v>
      </c>
      <c r="E5" s="839">
        <f>SUM('Part IV-A-Uses of Funds'!G96:H102)</f>
        <v>266577</v>
      </c>
      <c r="F5" s="2185" t="s">
        <v>4462</v>
      </c>
      <c r="H5" s="1612">
        <v>15</v>
      </c>
      <c r="I5" s="753" t="s">
        <v>2468</v>
      </c>
      <c r="K5" s="840">
        <f>-E6</f>
        <v>-19292778.093334343</v>
      </c>
    </row>
    <row r="6" spans="1:15" ht="13.5" customHeight="1">
      <c r="C6" s="753" t="s">
        <v>3049</v>
      </c>
      <c r="E6" s="842">
        <f>'Part III-Sources of Funds'!$I$49+'Part III-Sources of Funds'!$I$50</f>
        <v>19292778.093334343</v>
      </c>
      <c r="F6" s="2185" t="s">
        <v>3050</v>
      </c>
      <c r="H6" s="843">
        <v>0.35</v>
      </c>
      <c r="K6" s="840">
        <f>C24</f>
        <v>2847310.6542116087</v>
      </c>
      <c r="M6" s="753" t="s">
        <v>3051</v>
      </c>
      <c r="O6" s="844">
        <f>Overview!K32</f>
        <v>0</v>
      </c>
    </row>
    <row r="7" spans="1:15" ht="13.5" customHeight="1">
      <c r="K7" s="840">
        <f>D24</f>
        <v>2844047.0021085348</v>
      </c>
      <c r="O7" s="845"/>
    </row>
    <row r="8" spans="1:15" ht="13.5" customHeight="1">
      <c r="A8" s="754" t="s">
        <v>2479</v>
      </c>
      <c r="C8" s="846">
        <v>1</v>
      </c>
      <c r="D8" s="846">
        <v>2</v>
      </c>
      <c r="E8" s="846">
        <v>3</v>
      </c>
      <c r="F8" s="846">
        <v>4</v>
      </c>
      <c r="G8" s="846">
        <v>5</v>
      </c>
      <c r="H8" s="846">
        <v>6</v>
      </c>
      <c r="I8" s="846">
        <v>7</v>
      </c>
      <c r="K8" s="840">
        <f>E24</f>
        <v>2892601.6814548317</v>
      </c>
      <c r="M8" s="753" t="s">
        <v>3052</v>
      </c>
      <c r="O8" s="1570">
        <f>'Part VII-Pro Forma'!$K$71+'Part VII-Pro Forma'!$K$72+'Part VII-Pro Forma'!$K$73</f>
        <v>10483529.560985945</v>
      </c>
    </row>
    <row r="9" spans="1:15" ht="13.5" customHeight="1">
      <c r="A9" s="753" t="s">
        <v>3053</v>
      </c>
      <c r="C9" s="847">
        <f>'Part VII-Pro Forma'!B32</f>
        <v>0</v>
      </c>
      <c r="D9" s="847">
        <f>'Part VII-Pro Forma'!C32</f>
        <v>-13236.687313457485</v>
      </c>
      <c r="E9" s="847">
        <f>'Part VII-Pro Forma'!D32</f>
        <v>146631.2611256711</v>
      </c>
      <c r="F9" s="847">
        <f>'Part VII-Pro Forma'!E32</f>
        <v>151064.89278651914</v>
      </c>
      <c r="G9" s="847">
        <f>'Part VII-Pro Forma'!F32</f>
        <v>155302.35447940431</v>
      </c>
      <c r="H9" s="847">
        <f>'Part VII-Pro Forma'!G32</f>
        <v>159331.47032693171</v>
      </c>
      <c r="I9" s="847">
        <f>'Part VII-Pro Forma'!H32</f>
        <v>163140.62775981758</v>
      </c>
      <c r="K9" s="840">
        <f>F24</f>
        <v>2894407.1692914031</v>
      </c>
      <c r="N9" s="848" t="s">
        <v>3055</v>
      </c>
    </row>
    <row r="10" spans="1:15" ht="13.5" customHeight="1">
      <c r="A10" s="753" t="s">
        <v>3054</v>
      </c>
      <c r="C10" s="1567">
        <f>'Part III-Sources of Funds'!I38-'Part VII-Pro Forma'!B39</f>
        <v>98561.47605693154</v>
      </c>
      <c r="D10" s="849">
        <f>'Part VII-Pro Forma'!B39-'Part VII-Pro Forma'!C39</f>
        <v>102935.42214875855</v>
      </c>
      <c r="E10" s="849">
        <f>'Part VII-Pro Forma'!C39-'Part VII-Pro Forma'!D39</f>
        <v>107503.47455047071</v>
      </c>
      <c r="F10" s="849">
        <f>'Part VII-Pro Forma'!D39-'Part VII-Pro Forma'!E39</f>
        <v>112274.24728216417</v>
      </c>
      <c r="G10" s="849">
        <f>'Part VII-Pro Forma'!E39-'Part VII-Pro Forma'!F39</f>
        <v>117256.73663559929</v>
      </c>
      <c r="H10" s="849">
        <f>'Part VII-Pro Forma'!F39-'Part VII-Pro Forma'!G39</f>
        <v>122460.33813859895</v>
      </c>
      <c r="I10" s="849">
        <f>'Part VII-Pro Forma'!G39-'Part VII-Pro Forma'!H39</f>
        <v>127894.86427227594</v>
      </c>
      <c r="K10" s="840">
        <f>G24</f>
        <v>2896027.4096459877</v>
      </c>
      <c r="N10" s="848" t="s">
        <v>3056</v>
      </c>
      <c r="O10" s="845"/>
    </row>
    <row r="11" spans="1:15" ht="13.5" customHeight="1">
      <c r="A11" s="753" t="s">
        <v>3054</v>
      </c>
      <c r="C11" s="1567">
        <f>'Part III-Sources of Funds'!I39-'Part VII-Pro Forma'!B40</f>
        <v>-20091.92177436105</v>
      </c>
      <c r="D11" s="849">
        <f>'Part VII-Pro Forma'!B40-'Part VII-Pro Forma'!C40</f>
        <v>-20293.764434654731</v>
      </c>
      <c r="E11" s="849">
        <f>'Part VII-Pro Forma'!C40-'Part VII-Pro Forma'!D40</f>
        <v>-20497.634798418963</v>
      </c>
      <c r="F11" s="849">
        <f>'Part VII-Pro Forma'!D40-'Part VII-Pro Forma'!E40</f>
        <v>-20703.553235883592</v>
      </c>
      <c r="G11" s="849">
        <f>'Part VII-Pro Forma'!E40-'Part VII-Pro Forma'!F40</f>
        <v>-20911.54032191704</v>
      </c>
      <c r="H11" s="849">
        <f>'Part VII-Pro Forma'!F40-'Part VII-Pro Forma'!G40</f>
        <v>-21121.61683808174</v>
      </c>
      <c r="I11" s="849">
        <f>'Part VII-Pro Forma'!G40-'Part VII-Pro Forma'!H40</f>
        <v>-21333.803774710745</v>
      </c>
      <c r="K11" s="840">
        <f>H24</f>
        <v>2897451.6762307221</v>
      </c>
      <c r="O11" s="845"/>
    </row>
    <row r="12" spans="1:15" ht="13.5" customHeight="1">
      <c r="A12" s="753" t="s">
        <v>3054</v>
      </c>
      <c r="C12" s="1567">
        <f>'Part III-Sources of Funds'!I40-'Part VII-Pro Forma'!B41</f>
        <v>0</v>
      </c>
      <c r="D12" s="849">
        <f>'Part VII-Pro Forma'!B41-'Part VII-Pro Forma'!C41</f>
        <v>0</v>
      </c>
      <c r="E12" s="849">
        <f>'Part VII-Pro Forma'!C41-'Part VII-Pro Forma'!D41</f>
        <v>0</v>
      </c>
      <c r="F12" s="849">
        <f>'Part VII-Pro Forma'!D41-'Part VII-Pro Forma'!E41</f>
        <v>0</v>
      </c>
      <c r="G12" s="849">
        <f>'Part VII-Pro Forma'!E41-'Part VII-Pro Forma'!F41</f>
        <v>0</v>
      </c>
      <c r="H12" s="849">
        <f>'Part VII-Pro Forma'!F41-'Part VII-Pro Forma'!G41</f>
        <v>0</v>
      </c>
      <c r="I12" s="849">
        <f>'Part VII-Pro Forma'!G41-'Part VII-Pro Forma'!H41</f>
        <v>0</v>
      </c>
      <c r="K12" s="840">
        <f>I24</f>
        <v>2898669.4771232423</v>
      </c>
      <c r="M12" s="753" t="s">
        <v>3058</v>
      </c>
      <c r="N12" s="850">
        <v>0.06</v>
      </c>
      <c r="O12" s="845">
        <f>N12*O6</f>
        <v>0</v>
      </c>
    </row>
    <row r="13" spans="1:15" ht="13.5" customHeight="1">
      <c r="A13" s="851" t="s">
        <v>3558</v>
      </c>
      <c r="B13" s="852"/>
      <c r="C13" s="1568">
        <f>'Part VII-Pro Forma'!B22</f>
        <v>-46800</v>
      </c>
      <c r="D13" s="1568">
        <f>'Part VII-Pro Forma'!C22</f>
        <v>-48204</v>
      </c>
      <c r="E13" s="1568">
        <f>'Part VII-Pro Forma'!D22</f>
        <v>-49650.119999999995</v>
      </c>
      <c r="F13" s="1568">
        <f>'Part VII-Pro Forma'!E22</f>
        <v>-51139.623599999999</v>
      </c>
      <c r="G13" s="1568">
        <f>'Part VII-Pro Forma'!F22</f>
        <v>-52673.812307999993</v>
      </c>
      <c r="H13" s="1568">
        <f>'Part VII-Pro Forma'!G22</f>
        <v>-54254.026677239992</v>
      </c>
      <c r="I13" s="1568">
        <f>'Part VII-Pro Forma'!H22</f>
        <v>-55881.647477557199</v>
      </c>
      <c r="K13" s="840">
        <f>C44</f>
        <v>2899667.9384895745</v>
      </c>
      <c r="O13" s="845"/>
    </row>
    <row r="14" spans="1:15" ht="13.5" customHeight="1">
      <c r="A14" s="851" t="s">
        <v>3559</v>
      </c>
      <c r="B14" s="852"/>
      <c r="C14" s="1568">
        <f>'Part VII-Pro Forma'!B31</f>
        <v>-137226.09878327139</v>
      </c>
      <c r="D14" s="1568">
        <f>'Part VII-Pro Forma'!C31</f>
        <v>-155251.90121672861</v>
      </c>
      <c r="E14" s="1568">
        <f>'Part VII-Pro Forma'!D31</f>
        <v>0</v>
      </c>
      <c r="F14" s="1568">
        <f>'Part VII-Pro Forma'!E31</f>
        <v>0</v>
      </c>
      <c r="G14" s="1568">
        <f>'Part VII-Pro Forma'!F31</f>
        <v>0</v>
      </c>
      <c r="H14" s="1568">
        <f>'Part VII-Pro Forma'!G31</f>
        <v>0</v>
      </c>
      <c r="I14" s="1568">
        <f>'Part VII-Pro Forma'!H31</f>
        <v>0</v>
      </c>
      <c r="K14" s="840">
        <f>D44</f>
        <v>2900435.0376914172</v>
      </c>
      <c r="M14" s="753" t="s">
        <v>3061</v>
      </c>
      <c r="O14" s="845">
        <f>O6-O8-O12</f>
        <v>-10483529.560985945</v>
      </c>
    </row>
    <row r="15" spans="1:15" ht="13.5" customHeight="1">
      <c r="A15" s="853" t="s">
        <v>3057</v>
      </c>
      <c r="C15" s="854">
        <f t="shared" ref="C15:I15" si="0">$E$3/$H$3</f>
        <v>1064037.9818181819</v>
      </c>
      <c r="D15" s="854">
        <f t="shared" si="0"/>
        <v>1064037.9818181819</v>
      </c>
      <c r="E15" s="854">
        <f t="shared" si="0"/>
        <v>1064037.9818181819</v>
      </c>
      <c r="F15" s="854">
        <f t="shared" si="0"/>
        <v>1064037.9818181819</v>
      </c>
      <c r="G15" s="854">
        <f t="shared" si="0"/>
        <v>1064037.9818181819</v>
      </c>
      <c r="H15" s="854">
        <f t="shared" si="0"/>
        <v>1064037.9818181819</v>
      </c>
      <c r="I15" s="854">
        <f t="shared" si="0"/>
        <v>1064037.9818181819</v>
      </c>
      <c r="K15" s="840">
        <f>E44</f>
        <v>2900958.2857545312</v>
      </c>
      <c r="O15" s="845"/>
    </row>
    <row r="16" spans="1:15" ht="13.5" customHeight="1">
      <c r="A16" s="853" t="s">
        <v>3059</v>
      </c>
      <c r="C16" s="854">
        <f>IF(C$8&lt;=$H$4,($E$4/$H$4),0)+IF(C$8&lt;=$H$5,($E$5/$H$5),0)</f>
        <v>31550.199999999997</v>
      </c>
      <c r="D16" s="854">
        <f t="shared" ref="D16:I16" si="1">IF(D$8&lt;=$H$4,($E$4/$H$4),0)+IF(D$8&lt;=$H$5,($E$5/$H$5),0)</f>
        <v>31550.199999999997</v>
      </c>
      <c r="E16" s="854">
        <f t="shared" si="1"/>
        <v>31550.199999999997</v>
      </c>
      <c r="F16" s="854">
        <f t="shared" si="1"/>
        <v>31550.199999999997</v>
      </c>
      <c r="G16" s="854">
        <f t="shared" si="1"/>
        <v>31550.199999999997</v>
      </c>
      <c r="H16" s="854">
        <f t="shared" si="1"/>
        <v>31550.199999999997</v>
      </c>
      <c r="I16" s="854">
        <f t="shared" si="1"/>
        <v>31550.199999999997</v>
      </c>
      <c r="K16" s="840">
        <f>F44</f>
        <v>474314.05917405663</v>
      </c>
      <c r="M16" s="753" t="s">
        <v>3063</v>
      </c>
      <c r="O16" s="845">
        <f>E3</f>
        <v>29261044.5</v>
      </c>
    </row>
    <row r="17" spans="1:17" ht="13.5" customHeight="1">
      <c r="A17" s="853" t="s">
        <v>3060</v>
      </c>
      <c r="C17" s="849">
        <f t="shared" ref="C17:I17" si="2">C9+C10+C11+C12+C13+C14-C15-C16</f>
        <v>-1201144.7263188828</v>
      </c>
      <c r="D17" s="849">
        <f t="shared" si="2"/>
        <v>-1229639.1126342642</v>
      </c>
      <c r="E17" s="849">
        <f t="shared" si="2"/>
        <v>-911601.20094045904</v>
      </c>
      <c r="F17" s="849">
        <f t="shared" si="2"/>
        <v>-904092.21858538222</v>
      </c>
      <c r="G17" s="849">
        <f t="shared" si="2"/>
        <v>-896614.44333309541</v>
      </c>
      <c r="H17" s="849">
        <f t="shared" si="2"/>
        <v>-889172.01686797291</v>
      </c>
      <c r="I17" s="849">
        <f t="shared" si="2"/>
        <v>-881768.14103835635</v>
      </c>
      <c r="K17" s="840">
        <f>G44</f>
        <v>474308.23103163834</v>
      </c>
      <c r="M17" s="753" t="s">
        <v>3057</v>
      </c>
      <c r="O17" s="845">
        <f>20*(E3/H3)</f>
        <v>21280759.63636364</v>
      </c>
    </row>
    <row r="18" spans="1:17" ht="13.5" customHeight="1">
      <c r="A18" s="853" t="s">
        <v>3062</v>
      </c>
      <c r="C18" s="855">
        <f t="shared" ref="C18:I18" si="3">C17*$H$6</f>
        <v>-420400.65421160893</v>
      </c>
      <c r="D18" s="855">
        <f t="shared" si="3"/>
        <v>-430373.68942199246</v>
      </c>
      <c r="E18" s="855">
        <f t="shared" si="3"/>
        <v>-319060.42032916064</v>
      </c>
      <c r="F18" s="855">
        <f t="shared" si="3"/>
        <v>-316432.27650488378</v>
      </c>
      <c r="G18" s="855">
        <f t="shared" si="3"/>
        <v>-313815.05516658339</v>
      </c>
      <c r="H18" s="855">
        <f t="shared" si="3"/>
        <v>-311210.20590379048</v>
      </c>
      <c r="I18" s="855">
        <f t="shared" si="3"/>
        <v>-308618.8493634247</v>
      </c>
      <c r="K18" s="840">
        <f>H44</f>
        <v>474016.15139830147</v>
      </c>
      <c r="O18" s="845"/>
    </row>
    <row r="19" spans="1:17" ht="13.5" customHeight="1">
      <c r="A19" s="853"/>
      <c r="C19" s="847"/>
      <c r="D19" s="847"/>
      <c r="E19" s="847"/>
      <c r="F19" s="847"/>
      <c r="G19" s="847"/>
      <c r="H19" s="847"/>
      <c r="I19" s="847"/>
      <c r="K19" s="840">
        <f>I44</f>
        <v>473423.92699596984</v>
      </c>
      <c r="M19" s="753" t="s">
        <v>3067</v>
      </c>
      <c r="O19" s="845">
        <f>O16-O17</f>
        <v>7980284.8636363596</v>
      </c>
    </row>
    <row r="20" spans="1:17" ht="13.5" customHeight="1">
      <c r="A20" s="753" t="s">
        <v>3064</v>
      </c>
      <c r="C20" s="849">
        <f t="shared" ref="C20:I20" si="4">C9-C18</f>
        <v>420400.65421160893</v>
      </c>
      <c r="D20" s="849">
        <f t="shared" si="4"/>
        <v>417137.00210853497</v>
      </c>
      <c r="E20" s="849">
        <f t="shared" si="4"/>
        <v>465691.68145483173</v>
      </c>
      <c r="F20" s="849">
        <f t="shared" si="4"/>
        <v>467497.16929140291</v>
      </c>
      <c r="G20" s="849">
        <f t="shared" si="4"/>
        <v>469117.40964598767</v>
      </c>
      <c r="H20" s="849">
        <f t="shared" si="4"/>
        <v>470541.67623072222</v>
      </c>
      <c r="I20" s="849">
        <f t="shared" si="4"/>
        <v>471759.47712324228</v>
      </c>
      <c r="K20" s="840">
        <f>C64</f>
        <v>472514.50008951692</v>
      </c>
      <c r="O20" s="845"/>
    </row>
    <row r="21" spans="1:17" ht="13.5" customHeight="1">
      <c r="A21" s="753" t="s">
        <v>3065</v>
      </c>
      <c r="C21" s="855">
        <f>'Part IV-A-Uses of Funds'!$J$175</f>
        <v>1213455</v>
      </c>
      <c r="D21" s="855">
        <f t="shared" ref="D21:I21" si="5">C21</f>
        <v>1213455</v>
      </c>
      <c r="E21" s="855">
        <f t="shared" si="5"/>
        <v>1213455</v>
      </c>
      <c r="F21" s="855">
        <f t="shared" si="5"/>
        <v>1213455</v>
      </c>
      <c r="G21" s="855">
        <f t="shared" si="5"/>
        <v>1213455</v>
      </c>
      <c r="H21" s="855">
        <f t="shared" si="5"/>
        <v>1213455</v>
      </c>
      <c r="I21" s="855">
        <f t="shared" si="5"/>
        <v>1213455</v>
      </c>
      <c r="J21" s="753" t="s">
        <v>243</v>
      </c>
      <c r="K21" s="840">
        <f>D64</f>
        <v>344758.16713116912</v>
      </c>
      <c r="O21" s="845"/>
    </row>
    <row r="22" spans="1:17" ht="13.5" customHeight="1">
      <c r="A22" s="753" t="s">
        <v>3066</v>
      </c>
      <c r="C22" s="855">
        <f>C21</f>
        <v>1213455</v>
      </c>
      <c r="D22" s="855">
        <f t="shared" ref="D22:I22" si="6">D21</f>
        <v>1213455</v>
      </c>
      <c r="E22" s="855">
        <f t="shared" si="6"/>
        <v>1213455</v>
      </c>
      <c r="F22" s="855">
        <f t="shared" si="6"/>
        <v>1213455</v>
      </c>
      <c r="G22" s="855">
        <f t="shared" si="6"/>
        <v>1213455</v>
      </c>
      <c r="H22" s="855">
        <f t="shared" si="6"/>
        <v>1213455</v>
      </c>
      <c r="I22" s="855">
        <f t="shared" si="6"/>
        <v>1213455</v>
      </c>
      <c r="K22" s="840">
        <f>E64</f>
        <v>342669.48559987964</v>
      </c>
      <c r="M22" s="753" t="s">
        <v>3051</v>
      </c>
      <c r="O22" s="845">
        <f>O6</f>
        <v>0</v>
      </c>
    </row>
    <row r="23" spans="1:17" ht="13.5" customHeight="1">
      <c r="A23" s="753" t="s">
        <v>3068</v>
      </c>
      <c r="C23" s="847">
        <v>0</v>
      </c>
      <c r="D23" s="847">
        <v>0</v>
      </c>
      <c r="E23" s="847">
        <v>0</v>
      </c>
      <c r="F23" s="847">
        <v>0</v>
      </c>
      <c r="G23" s="847">
        <v>0</v>
      </c>
      <c r="H23" s="847">
        <v>0</v>
      </c>
      <c r="I23" s="847">
        <v>0</v>
      </c>
      <c r="K23" s="840">
        <f>F64</f>
        <v>340474.28770660039</v>
      </c>
      <c r="M23" s="753" t="s">
        <v>3070</v>
      </c>
      <c r="O23" s="845">
        <f>O19</f>
        <v>7980284.8636363596</v>
      </c>
    </row>
    <row r="24" spans="1:17" ht="13.5" customHeight="1">
      <c r="A24" s="753" t="s">
        <v>3069</v>
      </c>
      <c r="C24" s="849">
        <f t="shared" ref="C24:I24" si="7">SUM(C20:C23)</f>
        <v>2847310.6542116087</v>
      </c>
      <c r="D24" s="849">
        <f t="shared" si="7"/>
        <v>2844047.0021085348</v>
      </c>
      <c r="E24" s="849">
        <f t="shared" si="7"/>
        <v>2892601.6814548317</v>
      </c>
      <c r="F24" s="849">
        <f t="shared" si="7"/>
        <v>2894407.1692914031</v>
      </c>
      <c r="G24" s="849">
        <f t="shared" si="7"/>
        <v>2896027.4096459877</v>
      </c>
      <c r="H24" s="849">
        <f t="shared" si="7"/>
        <v>2897451.6762307221</v>
      </c>
      <c r="I24" s="849">
        <f t="shared" si="7"/>
        <v>2898669.4771232423</v>
      </c>
      <c r="K24" s="840">
        <f>G64</f>
        <v>338167.48795396468</v>
      </c>
      <c r="O24" s="845"/>
    </row>
    <row r="25" spans="1:17" ht="13.5" customHeight="1">
      <c r="K25" s="840">
        <f>H64</f>
        <v>-8551728.8232885748</v>
      </c>
      <c r="M25" s="753" t="s">
        <v>3071</v>
      </c>
      <c r="O25" s="845">
        <f>O22-O23</f>
        <v>-7980284.8636363596</v>
      </c>
      <c r="Q25" s="856"/>
    </row>
    <row r="26" spans="1:17" ht="13.5" customHeight="1">
      <c r="A26" s="857"/>
      <c r="B26" s="857"/>
      <c r="C26" s="857"/>
      <c r="D26" s="857"/>
      <c r="E26" s="857"/>
      <c r="F26" s="857"/>
      <c r="G26" s="857"/>
      <c r="H26" s="857"/>
      <c r="I26" s="857"/>
      <c r="K26" s="840"/>
      <c r="O26" s="845"/>
    </row>
    <row r="27" spans="1:17" ht="13.5" customHeight="1">
      <c r="K27" s="840"/>
      <c r="M27" s="753" t="s">
        <v>3072</v>
      </c>
      <c r="N27" s="858"/>
      <c r="O27" s="850">
        <v>0.2</v>
      </c>
    </row>
    <row r="28" spans="1:17" ht="13.5" customHeight="1">
      <c r="A28" s="754" t="s">
        <v>2479</v>
      </c>
      <c r="B28" s="754"/>
      <c r="C28" s="846">
        <v>8</v>
      </c>
      <c r="D28" s="846">
        <v>9</v>
      </c>
      <c r="E28" s="846">
        <v>10</v>
      </c>
      <c r="F28" s="846">
        <v>11</v>
      </c>
      <c r="G28" s="846">
        <v>12</v>
      </c>
      <c r="H28" s="846">
        <v>13</v>
      </c>
      <c r="I28" s="846">
        <v>14</v>
      </c>
      <c r="N28" s="858"/>
      <c r="O28" s="858"/>
    </row>
    <row r="29" spans="1:17" ht="13.5" customHeight="1">
      <c r="A29" s="753" t="s">
        <v>3053</v>
      </c>
      <c r="C29" s="847">
        <f>'Part VII-Pro Forma'!I32</f>
        <v>166714.76178782116</v>
      </c>
      <c r="D29" s="847">
        <f>'Part VII-Pro Forma'!J32</f>
        <v>170040.33874623993</v>
      </c>
      <c r="E29" s="847">
        <f>'Part VII-Pro Forma'!K32</f>
        <v>173103.33950117638</v>
      </c>
      <c r="F29" s="847">
        <f>'Part VII-Pro Forma'!B64</f>
        <v>175888.24209628205</v>
      </c>
      <c r="G29" s="847">
        <f>'Part VII-Pro Forma'!C64</f>
        <v>178379.00382311156</v>
      </c>
      <c r="H29" s="847">
        <f>'Part VII-Pro Forma'!D64</f>
        <v>180559.04269669589</v>
      </c>
      <c r="I29" s="847">
        <f>'Part VII-Pro Forma'!E64</f>
        <v>182413.21831733512</v>
      </c>
      <c r="N29" s="858"/>
      <c r="O29" s="858"/>
    </row>
    <row r="30" spans="1:17" ht="13.5" customHeight="1">
      <c r="A30" s="753" t="s">
        <v>3054</v>
      </c>
      <c r="C30" s="849">
        <f>'Part VII-Pro Forma'!H39-'Part VII-Pro Forma'!I39</f>
        <v>133570.56297452748</v>
      </c>
      <c r="D30" s="849">
        <f>'Part VII-Pro Forma'!I39-'Part VII-Pro Forma'!J39</f>
        <v>139498.13696467504</v>
      </c>
      <c r="E30" s="849">
        <f>'Part VII-Pro Forma'!J39-'Part VII-Pro Forma'!K39</f>
        <v>145688.76392567344</v>
      </c>
      <c r="F30" s="1565">
        <f>'Part VII-Pro Forma'!K39-'Part VII-Pro Forma'!B71</f>
        <v>152154.1175819803</v>
      </c>
      <c r="G30" s="1565">
        <f>'Part VII-Pro Forma'!B71-'Part VII-Pro Forma'!C71</f>
        <v>158906.38971281424</v>
      </c>
      <c r="H30" s="1565">
        <f>'Part VII-Pro Forma'!C71-'Part VII-Pro Forma'!D71</f>
        <v>165958.31314230151</v>
      </c>
      <c r="I30" s="1565">
        <f>'Part VII-Pro Forma'!D71-'Part VII-Pro Forma'!E71</f>
        <v>173323.18574988842</v>
      </c>
    </row>
    <row r="31" spans="1:17" ht="13.5" customHeight="1">
      <c r="A31" s="753" t="s">
        <v>3054</v>
      </c>
      <c r="C31" s="849">
        <f>'Part VII-Pro Forma'!H40-'Part VII-Pro Forma'!I40</f>
        <v>-21548.122333006468</v>
      </c>
      <c r="D31" s="849">
        <f>'Part VII-Pro Forma'!I40-'Part VII-Pro Forma'!J40</f>
        <v>-21764.59392715618</v>
      </c>
      <c r="E31" s="849">
        <f>'Part VII-Pro Forma'!J40-'Part VII-Pro Forma'!K40</f>
        <v>-21983.240186473355</v>
      </c>
      <c r="F31" s="1565">
        <f>'Part VII-Pro Forma'!K40-'Part VII-Pro Forma'!B72</f>
        <v>-22204.082957560197</v>
      </c>
      <c r="G31" s="1565">
        <f>'Part VII-Pro Forma'!B72-'Part VII-Pro Forma'!C72</f>
        <v>-22427.144306487869</v>
      </c>
      <c r="H31" s="1565">
        <f>'Part VII-Pro Forma'!C72-'Part VII-Pro Forma'!D72</f>
        <v>-22652.446521001868</v>
      </c>
      <c r="I31" s="1565">
        <f>'Part VII-Pro Forma'!D72-'Part VII-Pro Forma'!E72</f>
        <v>-22880.012112750672</v>
      </c>
      <c r="K31" s="753" t="s">
        <v>243</v>
      </c>
      <c r="M31" s="753" t="s">
        <v>3073</v>
      </c>
      <c r="O31" s="847">
        <f>O25*O27</f>
        <v>-1596056.972727272</v>
      </c>
    </row>
    <row r="32" spans="1:17" ht="13.5" customHeight="1">
      <c r="A32" s="753" t="s">
        <v>3054</v>
      </c>
      <c r="C32" s="849">
        <f>'Part VII-Pro Forma'!H41-'Part VII-Pro Forma'!I41</f>
        <v>0</v>
      </c>
      <c r="D32" s="849">
        <f>'Part VII-Pro Forma'!I41-'Part VII-Pro Forma'!J41</f>
        <v>0</v>
      </c>
      <c r="E32" s="849">
        <f>'Part VII-Pro Forma'!J41-'Part VII-Pro Forma'!K41</f>
        <v>0</v>
      </c>
      <c r="F32" s="1565">
        <f>'Part VII-Pro Forma'!K41-'Part VII-Pro Forma'!B73</f>
        <v>0</v>
      </c>
      <c r="G32" s="1565">
        <f>'Part VII-Pro Forma'!B73-'Part VII-Pro Forma'!C73</f>
        <v>0</v>
      </c>
      <c r="H32" s="1565">
        <f>'Part VII-Pro Forma'!C73-'Part VII-Pro Forma'!D73</f>
        <v>0</v>
      </c>
      <c r="I32" s="1565">
        <f>'Part VII-Pro Forma'!D73-'Part VII-Pro Forma'!E73</f>
        <v>0</v>
      </c>
    </row>
    <row r="33" spans="1:15" ht="13.5" customHeight="1">
      <c r="A33" s="851" t="s">
        <v>3558</v>
      </c>
      <c r="B33" s="852"/>
      <c r="C33" s="1568">
        <f>'Part VII-Pro Forma'!I22</f>
        <v>-57558.096901883917</v>
      </c>
      <c r="D33" s="1568">
        <f>'Part VII-Pro Forma'!J22</f>
        <v>-59284.839808940429</v>
      </c>
      <c r="E33" s="1568">
        <f>'Part VII-Pro Forma'!K22</f>
        <v>-61063.385003208641</v>
      </c>
      <c r="F33" s="1568">
        <f>'Part VII-Pro Forma'!B54</f>
        <v>-62895.286553304897</v>
      </c>
      <c r="G33" s="1568">
        <f>'Part VII-Pro Forma'!C54</f>
        <v>-64782.145149904049</v>
      </c>
      <c r="H33" s="1568">
        <f>'Part VII-Pro Forma'!D54</f>
        <v>-66725.60950440116</v>
      </c>
      <c r="I33" s="1568">
        <f>'Part VII-Pro Forma'!E54</f>
        <v>-68727.377789533188</v>
      </c>
      <c r="K33" s="753" t="s">
        <v>243</v>
      </c>
      <c r="M33" s="753" t="s">
        <v>3074</v>
      </c>
      <c r="O33" s="847">
        <f>O14-O31</f>
        <v>-8887472.5882586725</v>
      </c>
    </row>
    <row r="34" spans="1:15" ht="13.5" customHeight="1">
      <c r="A34" s="851" t="s">
        <v>3559</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3057</v>
      </c>
      <c r="C35" s="854">
        <f t="shared" ref="C35:I35" si="8">$E$3/$H$3</f>
        <v>1064037.9818181819</v>
      </c>
      <c r="D35" s="854">
        <f t="shared" si="8"/>
        <v>1064037.9818181819</v>
      </c>
      <c r="E35" s="854">
        <f t="shared" si="8"/>
        <v>1064037.9818181819</v>
      </c>
      <c r="F35" s="854">
        <f t="shared" si="8"/>
        <v>1064037.9818181819</v>
      </c>
      <c r="G35" s="854">
        <f t="shared" si="8"/>
        <v>1064037.9818181819</v>
      </c>
      <c r="H35" s="854">
        <f t="shared" si="8"/>
        <v>1064037.9818181819</v>
      </c>
      <c r="I35" s="854">
        <f t="shared" si="8"/>
        <v>1064037.9818181819</v>
      </c>
    </row>
    <row r="36" spans="1:15" ht="13.5" customHeight="1">
      <c r="A36" s="853" t="s">
        <v>3059</v>
      </c>
      <c r="C36" s="847">
        <f>IF(C$28&lt;=$H$4,($E$4/$H$4),0)+IF(C$28&lt;=$H$5,($E$5/$H$5),0)</f>
        <v>31550.199999999997</v>
      </c>
      <c r="D36" s="847">
        <f t="shared" ref="D36:I36" si="9">IF(D$28&lt;=$H$4,($E$4/$H$4),0)+IF(D$28&lt;=$H$5,($E$5/$H$5),0)</f>
        <v>31550.199999999997</v>
      </c>
      <c r="E36" s="847">
        <f t="shared" si="9"/>
        <v>31550.199999999997</v>
      </c>
      <c r="F36" s="847">
        <f t="shared" si="9"/>
        <v>31550.199999999997</v>
      </c>
      <c r="G36" s="847">
        <f t="shared" si="9"/>
        <v>31550.199999999997</v>
      </c>
      <c r="H36" s="847">
        <f t="shared" si="9"/>
        <v>31550.199999999997</v>
      </c>
      <c r="I36" s="847">
        <f t="shared" si="9"/>
        <v>31550.199999999997</v>
      </c>
    </row>
    <row r="37" spans="1:15" ht="13.5" customHeight="1">
      <c r="A37" s="853" t="s">
        <v>3060</v>
      </c>
      <c r="C37" s="849">
        <f t="shared" ref="C37:I37" si="10">C29+C30+C31+C32+C33+C34-C35-C36</f>
        <v>-874409.07629072363</v>
      </c>
      <c r="D37" s="849">
        <f t="shared" si="10"/>
        <v>-867099.13984336355</v>
      </c>
      <c r="E37" s="849">
        <f t="shared" si="10"/>
        <v>-859842.70358101407</v>
      </c>
      <c r="F37" s="849">
        <f t="shared" si="10"/>
        <v>-852645.19165078457</v>
      </c>
      <c r="G37" s="849">
        <f t="shared" si="10"/>
        <v>-845512.07773864805</v>
      </c>
      <c r="H37" s="849">
        <f t="shared" si="10"/>
        <v>-838448.88200458745</v>
      </c>
      <c r="I37" s="849">
        <f t="shared" si="10"/>
        <v>-831459.16765324213</v>
      </c>
    </row>
    <row r="38" spans="1:15" ht="13.5" customHeight="1">
      <c r="A38" s="753" t="s">
        <v>3062</v>
      </c>
      <c r="C38" s="855">
        <f t="shared" ref="C38:I38" si="11">C37*$H$6</f>
        <v>-306043.17670175323</v>
      </c>
      <c r="D38" s="855">
        <f t="shared" si="11"/>
        <v>-303484.6989451772</v>
      </c>
      <c r="E38" s="855">
        <f t="shared" si="11"/>
        <v>-300944.94625335489</v>
      </c>
      <c r="F38" s="855">
        <f t="shared" si="11"/>
        <v>-298425.81707777455</v>
      </c>
      <c r="G38" s="855">
        <f t="shared" si="11"/>
        <v>-295929.22720852681</v>
      </c>
      <c r="H38" s="855">
        <f t="shared" si="11"/>
        <v>-293457.10870160558</v>
      </c>
      <c r="I38" s="855">
        <f t="shared" si="11"/>
        <v>-291010.70867863472</v>
      </c>
    </row>
    <row r="39" spans="1:15" ht="13.5" customHeight="1">
      <c r="C39" s="849"/>
      <c r="D39" s="849"/>
      <c r="E39" s="849"/>
      <c r="F39" s="849"/>
      <c r="G39" s="849"/>
      <c r="H39" s="849"/>
      <c r="I39" s="849"/>
    </row>
    <row r="40" spans="1:15" ht="13.5" customHeight="1">
      <c r="A40" s="753" t="s">
        <v>3064</v>
      </c>
      <c r="C40" s="849">
        <f t="shared" ref="C40:I40" si="12">C29-C38</f>
        <v>472757.93848957436</v>
      </c>
      <c r="D40" s="849">
        <f t="shared" si="12"/>
        <v>473525.03769141715</v>
      </c>
      <c r="E40" s="849">
        <f t="shared" si="12"/>
        <v>474048.28575453127</v>
      </c>
      <c r="F40" s="849">
        <f t="shared" si="12"/>
        <v>474314.05917405663</v>
      </c>
      <c r="G40" s="849">
        <f t="shared" si="12"/>
        <v>474308.23103163834</v>
      </c>
      <c r="H40" s="849">
        <f t="shared" si="12"/>
        <v>474016.15139830147</v>
      </c>
      <c r="I40" s="849">
        <f t="shared" si="12"/>
        <v>473423.92699596984</v>
      </c>
    </row>
    <row r="41" spans="1:15" ht="13.5" customHeight="1">
      <c r="A41" s="753" t="s">
        <v>3065</v>
      </c>
      <c r="C41" s="855">
        <f>C21</f>
        <v>1213455</v>
      </c>
      <c r="D41" s="855">
        <f>C41</f>
        <v>1213455</v>
      </c>
      <c r="E41" s="855">
        <f>D41</f>
        <v>1213455</v>
      </c>
      <c r="F41" s="855">
        <v>0</v>
      </c>
      <c r="G41" s="855">
        <v>0</v>
      </c>
      <c r="H41" s="855">
        <v>0</v>
      </c>
      <c r="I41" s="855">
        <v>0</v>
      </c>
    </row>
    <row r="42" spans="1:15" ht="13.5" customHeight="1">
      <c r="A42" s="753" t="s">
        <v>3066</v>
      </c>
      <c r="C42" s="855">
        <f>C22</f>
        <v>1213455</v>
      </c>
      <c r="D42" s="855">
        <f>C42</f>
        <v>1213455</v>
      </c>
      <c r="E42" s="855">
        <f>D42</f>
        <v>1213455</v>
      </c>
      <c r="F42" s="855">
        <v>0</v>
      </c>
      <c r="G42" s="855">
        <v>0</v>
      </c>
      <c r="H42" s="855">
        <v>0</v>
      </c>
      <c r="I42" s="855">
        <v>0</v>
      </c>
    </row>
    <row r="43" spans="1:15" ht="13.5" customHeight="1">
      <c r="A43" s="753" t="s">
        <v>3068</v>
      </c>
      <c r="C43" s="849">
        <v>0</v>
      </c>
      <c r="D43" s="849">
        <v>0</v>
      </c>
      <c r="E43" s="849">
        <v>0</v>
      </c>
      <c r="F43" s="849">
        <v>0</v>
      </c>
      <c r="G43" s="849">
        <v>0</v>
      </c>
      <c r="H43" s="849">
        <v>0</v>
      </c>
      <c r="I43" s="849">
        <v>0</v>
      </c>
    </row>
    <row r="44" spans="1:15" ht="13.5" customHeight="1">
      <c r="A44" s="753" t="s">
        <v>3069</v>
      </c>
      <c r="C44" s="849">
        <f t="shared" ref="C44:I44" si="13">SUM(C40:C43)</f>
        <v>2899667.9384895745</v>
      </c>
      <c r="D44" s="849">
        <f t="shared" si="13"/>
        <v>2900435.0376914172</v>
      </c>
      <c r="E44" s="849">
        <f t="shared" si="13"/>
        <v>2900958.2857545312</v>
      </c>
      <c r="F44" s="849">
        <f t="shared" si="13"/>
        <v>474314.05917405663</v>
      </c>
      <c r="G44" s="849">
        <f t="shared" si="13"/>
        <v>474308.23103163834</v>
      </c>
      <c r="H44" s="849">
        <f t="shared" si="13"/>
        <v>474016.15139830147</v>
      </c>
      <c r="I44" s="849">
        <f t="shared" si="13"/>
        <v>473423.92699596984</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2479</v>
      </c>
      <c r="B48" s="754"/>
      <c r="C48" s="846">
        <v>15</v>
      </c>
      <c r="D48" s="754">
        <v>16</v>
      </c>
      <c r="E48" s="754">
        <v>17</v>
      </c>
      <c r="F48" s="754">
        <v>18</v>
      </c>
      <c r="G48" s="754">
        <v>19</v>
      </c>
      <c r="H48" s="754">
        <v>20</v>
      </c>
    </row>
    <row r="49" spans="1:10" ht="13.5" customHeight="1">
      <c r="A49" s="753" t="s">
        <v>3053</v>
      </c>
      <c r="C49" s="847">
        <f>'Part VII-Pro Forma'!F64</f>
        <v>183921.81209905766</v>
      </c>
      <c r="D49" s="847">
        <f>'Part VII-Pro Forma'!G61</f>
        <v>0</v>
      </c>
      <c r="E49" s="847">
        <f>'Part VII-Pro Forma'!H61</f>
        <v>0</v>
      </c>
      <c r="F49" s="847">
        <f>'Part VII-Pro Forma'!I61</f>
        <v>0</v>
      </c>
      <c r="G49" s="847">
        <f>'Part VII-Pro Forma'!J61</f>
        <v>0</v>
      </c>
      <c r="H49" s="847">
        <f>'Part VII-Pro Forma'!K61</f>
        <v>0</v>
      </c>
    </row>
    <row r="50" spans="1:10" ht="13.5" customHeight="1">
      <c r="A50" s="753" t="s">
        <v>3054</v>
      </c>
      <c r="C50" s="1566">
        <f>'Part VII-Pro Forma'!E71-'Part VII-Pro Forma'!F71</f>
        <v>181014.89554627892</v>
      </c>
      <c r="D50" s="1566">
        <f>'Part VII-Pro Forma'!F71-'Part VII-Pro Forma'!G71</f>
        <v>189047.94686218724</v>
      </c>
      <c r="E50" s="1566">
        <f>'Part VII-Pro Forma'!G71-'Part VII-Pro Forma'!H71</f>
        <v>197437.48769930005</v>
      </c>
      <c r="F50" s="1566">
        <f>'Part VII-Pro Forma'!H71-'Part VII-Pro Forma'!I71</f>
        <v>206199.33829499967</v>
      </c>
      <c r="G50" s="1566">
        <f>'Part VII-Pro Forma'!I71-'Part VII-Pro Forma'!J71</f>
        <v>215350.0209547421</v>
      </c>
      <c r="H50" s="1566">
        <f>'Part VII-Pro Forma'!J71-'Part VII-Pro Forma'!K71</f>
        <v>224906.79120832216</v>
      </c>
    </row>
    <row r="51" spans="1:10" ht="13.5" customHeight="1">
      <c r="A51" s="753" t="s">
        <v>3054</v>
      </c>
      <c r="C51" s="1566">
        <f>'Part VII-Pro Forma'!E72-'Part VII-Pro Forma'!F72</f>
        <v>-23109.863819533493</v>
      </c>
      <c r="D51" s="1566">
        <f>'Part VII-Pro Forma'!F72-'Part VII-Pro Forma'!G72</f>
        <v>-23342.024607572705</v>
      </c>
      <c r="E51" s="1566">
        <f>'Part VII-Pro Forma'!G72-'Part VII-Pro Forma'!H72</f>
        <v>-23576.51767380815</v>
      </c>
      <c r="F51" s="1566">
        <f>'Part VII-Pro Forma'!H72-'Part VII-Pro Forma'!I72</f>
        <v>-23813.366448215209</v>
      </c>
      <c r="G51" s="1566">
        <f>'Part VII-Pro Forma'!I72-'Part VII-Pro Forma'!J72</f>
        <v>-24052.59459614614</v>
      </c>
      <c r="H51" s="1566">
        <f>'Part VII-Pro Forma'!J72-'Part VII-Pro Forma'!K72</f>
        <v>-24294.226020694245</v>
      </c>
    </row>
    <row r="52" spans="1:10" ht="13.5" customHeight="1">
      <c r="A52" s="753" t="s">
        <v>3054</v>
      </c>
      <c r="C52" s="859">
        <f>'Part VII-Pro Forma'!E73-'Part VII-Pro Forma'!F73</f>
        <v>0</v>
      </c>
      <c r="D52" s="859">
        <f>'Part VII-Pro Forma'!F73-'Part VII-Pro Forma'!G73</f>
        <v>0</v>
      </c>
      <c r="E52" s="859">
        <f>'Part VII-Pro Forma'!G73-'Part VII-Pro Forma'!H73</f>
        <v>0</v>
      </c>
      <c r="F52" s="859">
        <f>'Part VII-Pro Forma'!H73-'Part VII-Pro Forma'!I73</f>
        <v>0</v>
      </c>
      <c r="G52" s="859">
        <f>'Part VII-Pro Forma'!I73-'Part VII-Pro Forma'!J73</f>
        <v>0</v>
      </c>
      <c r="H52" s="859">
        <f>'Part VII-Pro Forma'!J73-'Part VII-Pro Forma'!K73</f>
        <v>0</v>
      </c>
    </row>
    <row r="53" spans="1:10" ht="13.5" customHeight="1">
      <c r="A53" s="851" t="s">
        <v>3558</v>
      </c>
      <c r="B53" s="852"/>
      <c r="C53" s="1568">
        <f>'Part VII-Pro Forma'!F54</f>
        <v>-70789.199123219194</v>
      </c>
      <c r="D53" s="1568">
        <f>'Part VII-Pro Forma'!G54</f>
        <v>-72912.87509691577</v>
      </c>
      <c r="E53" s="1568">
        <f>'Part VII-Pro Forma'!H54</f>
        <v>-75100.261349823239</v>
      </c>
      <c r="F53" s="1568">
        <f>'Part VII-Pro Forma'!I54</f>
        <v>-77353.269190317937</v>
      </c>
      <c r="G53" s="1568">
        <f>'Part VII-Pro Forma'!J54</f>
        <v>-79673.867266027475</v>
      </c>
      <c r="H53" s="1568">
        <f>'Part VII-Pro Forma'!K54</f>
        <v>-82064.083284008288</v>
      </c>
    </row>
    <row r="54" spans="1:10" ht="13.5" customHeight="1">
      <c r="A54" s="851" t="s">
        <v>3559</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3057</v>
      </c>
      <c r="C55" s="854">
        <f t="shared" ref="C55:H55" si="14">$E$3/$H$3</f>
        <v>1064037.9818181819</v>
      </c>
      <c r="D55" s="854">
        <f t="shared" si="14"/>
        <v>1064037.9818181819</v>
      </c>
      <c r="E55" s="854">
        <f t="shared" si="14"/>
        <v>1064037.9818181819</v>
      </c>
      <c r="F55" s="854">
        <f t="shared" si="14"/>
        <v>1064037.9818181819</v>
      </c>
      <c r="G55" s="854">
        <f t="shared" si="14"/>
        <v>1064037.9818181819</v>
      </c>
      <c r="H55" s="854">
        <f t="shared" si="14"/>
        <v>1064037.9818181819</v>
      </c>
    </row>
    <row r="56" spans="1:10" ht="13.5" customHeight="1">
      <c r="A56" s="853" t="s">
        <v>3059</v>
      </c>
      <c r="C56" s="847">
        <f t="shared" ref="C56:H56" si="15">IF(C$48&lt;=$H$4,($E$4/$H$4),0)+IF(C$48&lt;=$H$5,($E$5/$H$5),0)</f>
        <v>31550.199999999997</v>
      </c>
      <c r="D56" s="847">
        <f t="shared" si="15"/>
        <v>13778.4</v>
      </c>
      <c r="E56" s="847">
        <f t="shared" si="15"/>
        <v>13778.4</v>
      </c>
      <c r="F56" s="847">
        <f t="shared" si="15"/>
        <v>13778.4</v>
      </c>
      <c r="G56" s="847">
        <f t="shared" si="15"/>
        <v>13778.4</v>
      </c>
      <c r="H56" s="847">
        <f t="shared" si="15"/>
        <v>13778.4</v>
      </c>
    </row>
    <row r="57" spans="1:10" ht="13.5" customHeight="1">
      <c r="A57" s="853" t="s">
        <v>3060</v>
      </c>
      <c r="C57" s="847">
        <f t="shared" ref="C57:H57" si="16">C49+C50+C51+C52+C53+C54-C55-C56</f>
        <v>-824550.53711559798</v>
      </c>
      <c r="D57" s="847">
        <f t="shared" si="16"/>
        <v>-985023.33466048317</v>
      </c>
      <c r="E57" s="847">
        <f t="shared" si="16"/>
        <v>-979055.67314251326</v>
      </c>
      <c r="F57" s="847">
        <f t="shared" si="16"/>
        <v>-972783.67916171544</v>
      </c>
      <c r="G57" s="847">
        <f t="shared" si="16"/>
        <v>-966192.82272561349</v>
      </c>
      <c r="H57" s="847">
        <f t="shared" si="16"/>
        <v>-959267.89991456235</v>
      </c>
    </row>
    <row r="58" spans="1:10" ht="13.5" customHeight="1">
      <c r="A58" s="753" t="s">
        <v>3062</v>
      </c>
      <c r="C58" s="854">
        <f t="shared" ref="C58:H58" si="17">C57*$H$6</f>
        <v>-288592.68799045926</v>
      </c>
      <c r="D58" s="854">
        <f t="shared" si="17"/>
        <v>-344758.16713116912</v>
      </c>
      <c r="E58" s="854">
        <f t="shared" si="17"/>
        <v>-342669.48559987964</v>
      </c>
      <c r="F58" s="854">
        <f t="shared" si="17"/>
        <v>-340474.28770660039</v>
      </c>
      <c r="G58" s="854">
        <f t="shared" si="17"/>
        <v>-338167.48795396468</v>
      </c>
      <c r="H58" s="854">
        <f t="shared" si="17"/>
        <v>-335743.76497009682</v>
      </c>
      <c r="J58" s="753" t="s">
        <v>243</v>
      </c>
    </row>
    <row r="59" spans="1:10" s="860" customFormat="1" ht="16.5" customHeight="1">
      <c r="A59" s="753"/>
      <c r="B59" s="753"/>
      <c r="C59" s="847"/>
      <c r="D59" s="847"/>
      <c r="E59" s="847"/>
      <c r="F59" s="847"/>
      <c r="G59" s="847"/>
      <c r="H59" s="847"/>
      <c r="I59" s="753"/>
      <c r="J59" s="753"/>
    </row>
    <row r="60" spans="1:10">
      <c r="A60" s="753" t="s">
        <v>3064</v>
      </c>
      <c r="C60" s="847">
        <f t="shared" ref="C60:H60" si="18">C49-C58</f>
        <v>472514.50008951692</v>
      </c>
      <c r="D60" s="847">
        <f t="shared" si="18"/>
        <v>344758.16713116912</v>
      </c>
      <c r="E60" s="847">
        <f t="shared" si="18"/>
        <v>342669.48559987964</v>
      </c>
      <c r="F60" s="847">
        <f t="shared" si="18"/>
        <v>340474.28770660039</v>
      </c>
      <c r="G60" s="847">
        <f t="shared" si="18"/>
        <v>338167.48795396468</v>
      </c>
      <c r="H60" s="847">
        <f t="shared" si="18"/>
        <v>335743.76497009682</v>
      </c>
    </row>
    <row r="61" spans="1:10">
      <c r="A61" s="753" t="s">
        <v>3065</v>
      </c>
      <c r="C61" s="854">
        <v>0</v>
      </c>
      <c r="D61" s="854">
        <v>0</v>
      </c>
      <c r="E61" s="854">
        <v>0</v>
      </c>
      <c r="F61" s="854">
        <v>0</v>
      </c>
      <c r="G61" s="854">
        <v>0</v>
      </c>
      <c r="H61" s="847">
        <v>0</v>
      </c>
    </row>
    <row r="62" spans="1:10">
      <c r="A62" s="753" t="s">
        <v>3066</v>
      </c>
      <c r="C62" s="854">
        <v>0</v>
      </c>
      <c r="D62" s="847">
        <v>0</v>
      </c>
      <c r="E62" s="847">
        <v>0</v>
      </c>
      <c r="F62" s="847">
        <v>0</v>
      </c>
      <c r="G62" s="847">
        <v>0</v>
      </c>
      <c r="H62" s="847">
        <v>0</v>
      </c>
    </row>
    <row r="63" spans="1:10">
      <c r="A63" s="753" t="s">
        <v>3068</v>
      </c>
      <c r="C63" s="847">
        <v>0</v>
      </c>
      <c r="D63" s="847">
        <v>0</v>
      </c>
      <c r="E63" s="847">
        <v>0</v>
      </c>
      <c r="F63" s="847">
        <v>0</v>
      </c>
      <c r="G63" s="847">
        <v>0</v>
      </c>
      <c r="H63" s="847">
        <f>O33</f>
        <v>-8887472.5882586725</v>
      </c>
    </row>
    <row r="64" spans="1:10">
      <c r="A64" s="753" t="s">
        <v>3069</v>
      </c>
      <c r="C64" s="847">
        <f t="shared" ref="C64:H64" si="19">SUM(C60:C63)</f>
        <v>472514.50008951692</v>
      </c>
      <c r="D64" s="847">
        <f t="shared" si="19"/>
        <v>344758.16713116912</v>
      </c>
      <c r="E64" s="847">
        <f t="shared" si="19"/>
        <v>342669.48559987964</v>
      </c>
      <c r="F64" s="847">
        <f t="shared" si="19"/>
        <v>340474.28770660039</v>
      </c>
      <c r="G64" s="847">
        <f t="shared" si="19"/>
        <v>338167.48795396468</v>
      </c>
      <c r="H64" s="847">
        <f t="shared" si="19"/>
        <v>-8551728.8232885748</v>
      </c>
    </row>
    <row r="66" spans="1:10" ht="15">
      <c r="A66" s="861"/>
      <c r="B66" s="862"/>
      <c r="C66" s="862"/>
      <c r="D66" s="862"/>
      <c r="E66" s="862"/>
      <c r="F66" s="863" t="s">
        <v>3075</v>
      </c>
      <c r="G66" s="4206">
        <f>IRR(K5:K25)</f>
        <v>7.2239316461308656E-2</v>
      </c>
      <c r="H66" s="4207"/>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zoomScaleNormal="100" workbookViewId="0">
      <selection activeCell="Q24" sqref="Q24"/>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2925" t="str">
        <f>CONCATENATE("PART ONE - PROJECT INFORMATION"," - ",$O$6," ",$F$34,", ",'Part I-Project Information'!F38,", ",'Part I-Project Information'!J39," County")</f>
        <v>PART ONE - PROJECT INFORMATION - 2019-5 55 Milton, Atlanta, Fulton County</v>
      </c>
      <c r="B1" s="2926"/>
      <c r="C1" s="2926"/>
      <c r="D1" s="2926"/>
      <c r="E1" s="2926"/>
      <c r="F1" s="2926"/>
      <c r="G1" s="2926"/>
      <c r="H1" s="2926"/>
      <c r="I1" s="2926"/>
      <c r="J1" s="2926"/>
      <c r="K1" s="2926"/>
      <c r="L1" s="2926"/>
      <c r="M1" s="2926"/>
      <c r="N1" s="2926"/>
      <c r="O1" s="2926"/>
      <c r="P1" s="2927"/>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2939" t="s">
        <v>4459</v>
      </c>
      <c r="B3" s="2939"/>
      <c r="C3" s="2939"/>
      <c r="D3" s="2939"/>
      <c r="E3" s="2939"/>
      <c r="F3" s="2939"/>
      <c r="G3" s="2939"/>
      <c r="H3" s="2939"/>
      <c r="I3" s="2939"/>
      <c r="J3" s="2939"/>
      <c r="K3" s="2939"/>
      <c r="L3" s="2939"/>
      <c r="M3" s="2939"/>
      <c r="N3" s="2939"/>
      <c r="O3" s="2939"/>
      <c r="P3" s="2939"/>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2363</v>
      </c>
      <c r="F5" s="326"/>
      <c r="G5" s="301" t="s">
        <v>4866</v>
      </c>
      <c r="L5" s="1001"/>
      <c r="P5" s="1306" t="s">
        <v>5203</v>
      </c>
    </row>
    <row r="6" spans="1:16" s="325" customFormat="1" ht="12" customHeight="1" thickBot="1">
      <c r="B6" s="2940" t="s">
        <v>5204</v>
      </c>
      <c r="C6" s="2940"/>
      <c r="D6" s="2940"/>
      <c r="E6" s="1601"/>
      <c r="F6" s="328"/>
      <c r="G6" s="301" t="s">
        <v>4865</v>
      </c>
      <c r="H6" s="1243"/>
      <c r="I6" s="1243"/>
      <c r="J6" s="1243"/>
      <c r="O6" s="2928" t="s">
        <v>5207</v>
      </c>
      <c r="P6" s="2929"/>
    </row>
    <row r="7" spans="1:16" s="325" customFormat="1" ht="12" customHeight="1">
      <c r="B7" s="2940"/>
      <c r="C7" s="2940"/>
      <c r="D7" s="2940"/>
      <c r="E7" s="1601"/>
      <c r="F7" s="602"/>
      <c r="G7" s="192" t="s">
        <v>3317</v>
      </c>
      <c r="H7" s="1243"/>
      <c r="I7" s="1243"/>
      <c r="J7" s="1243"/>
    </row>
    <row r="8" spans="1:16" s="325" customFormat="1" ht="6" customHeight="1">
      <c r="A8" s="545"/>
      <c r="B8" s="2940"/>
      <c r="C8" s="2940"/>
      <c r="D8" s="2940"/>
      <c r="E8" s="1243"/>
      <c r="H8" s="1243"/>
      <c r="I8" s="1243"/>
      <c r="M8" s="1243"/>
    </row>
    <row r="9" spans="1:16" s="325" customFormat="1" ht="13.35" customHeight="1">
      <c r="A9" s="327" t="s">
        <v>616</v>
      </c>
      <c r="B9" s="327" t="s">
        <v>2374</v>
      </c>
      <c r="D9" s="302"/>
      <c r="E9" s="329"/>
      <c r="F9" s="330" t="s">
        <v>3797</v>
      </c>
      <c r="I9" s="2930">
        <f>'Part IV-A-Uses of Funds'!$J$175</f>
        <v>1213455</v>
      </c>
      <c r="J9" s="2931"/>
      <c r="L9" s="325" t="s">
        <v>3798</v>
      </c>
      <c r="O9" s="2932">
        <f>'Part III-Sources of Funds'!$H$5</f>
        <v>0</v>
      </c>
      <c r="P9" s="2933"/>
    </row>
    <row r="10" spans="1:16" s="325" customFormat="1" ht="6" customHeight="1">
      <c r="A10" s="327"/>
      <c r="B10" s="327"/>
      <c r="D10" s="302"/>
      <c r="E10" s="329"/>
      <c r="F10" s="329"/>
      <c r="I10" s="331"/>
      <c r="N10" s="332"/>
    </row>
    <row r="11" spans="1:16" s="325" customFormat="1" ht="13.35" customHeight="1">
      <c r="A11" s="331" t="s">
        <v>740</v>
      </c>
      <c r="B11" s="327" t="s">
        <v>2039</v>
      </c>
      <c r="F11" s="2934" t="s">
        <v>5209</v>
      </c>
      <c r="G11" s="2935"/>
      <c r="H11" s="2936"/>
      <c r="I11" s="1108" t="s">
        <v>3714</v>
      </c>
      <c r="J11" s="573" t="s">
        <v>5068</v>
      </c>
      <c r="K11" s="337"/>
      <c r="L11" s="1243"/>
      <c r="O11" s="2937" t="s">
        <v>5210</v>
      </c>
      <c r="P11" s="2938"/>
    </row>
    <row r="12" spans="1:16" s="325" customFormat="1" ht="12.75" customHeight="1">
      <c r="A12" s="545"/>
      <c r="B12" s="2650"/>
      <c r="C12" s="2650"/>
      <c r="D12" s="2650"/>
      <c r="E12" s="2650"/>
      <c r="H12" s="1243"/>
      <c r="J12" s="1527" t="s">
        <v>5048</v>
      </c>
      <c r="K12" s="299"/>
      <c r="M12" s="1243"/>
      <c r="O12" s="2941" t="s">
        <v>5211</v>
      </c>
      <c r="P12" s="2942"/>
    </row>
    <row r="13" spans="1:16" s="325" customFormat="1" ht="3" customHeight="1">
      <c r="A13" s="545"/>
      <c r="B13" s="2650"/>
      <c r="C13" s="2650"/>
      <c r="D13" s="2650"/>
      <c r="E13" s="2650"/>
      <c r="H13" s="1243"/>
      <c r="J13" s="574"/>
      <c r="K13" s="299"/>
      <c r="M13" s="1243"/>
    </row>
    <row r="14" spans="1:16" s="325" customFormat="1" ht="12.75" customHeight="1">
      <c r="A14" s="545"/>
      <c r="B14" s="2650" t="s">
        <v>5049</v>
      </c>
      <c r="C14" s="2650"/>
      <c r="D14" s="2650"/>
      <c r="E14" s="2650"/>
      <c r="F14" s="342" t="s">
        <v>2989</v>
      </c>
      <c r="G14" s="2619" t="s">
        <v>5050</v>
      </c>
      <c r="N14" s="2934" t="s">
        <v>5209</v>
      </c>
      <c r="O14" s="2935"/>
      <c r="P14" s="2936"/>
    </row>
    <row r="15" spans="1:16" s="325" customFormat="1" ht="12.75" customHeight="1">
      <c r="A15" s="545"/>
      <c r="B15" s="325" t="s">
        <v>3870</v>
      </c>
      <c r="D15" s="337"/>
      <c r="F15" s="2946" t="s">
        <v>5212</v>
      </c>
      <c r="G15" s="2947"/>
      <c r="H15" s="2947"/>
      <c r="I15" s="2947"/>
      <c r="J15" s="2947"/>
      <c r="K15" s="2948"/>
      <c r="L15" s="325" t="s">
        <v>5036</v>
      </c>
      <c r="O15" s="2897" t="s">
        <v>5213</v>
      </c>
      <c r="P15" s="2898"/>
    </row>
    <row r="16" spans="1:16" s="325" customFormat="1" ht="12.75" customHeight="1">
      <c r="A16" s="545"/>
      <c r="B16" s="325" t="s">
        <v>3796</v>
      </c>
      <c r="F16" s="342" t="s">
        <v>2992</v>
      </c>
      <c r="G16" s="325" t="s">
        <v>5037</v>
      </c>
      <c r="H16" s="1243"/>
      <c r="I16" s="192"/>
      <c r="J16" s="574"/>
      <c r="N16" s="2949" t="s">
        <v>2885</v>
      </c>
      <c r="O16" s="2950"/>
      <c r="P16" s="2951"/>
    </row>
    <row r="17" spans="1:16" s="325" customFormat="1" ht="6" customHeight="1">
      <c r="I17" s="188"/>
      <c r="J17" s="188"/>
      <c r="K17" s="188"/>
      <c r="L17" s="188"/>
      <c r="M17" s="188"/>
      <c r="N17" s="188"/>
      <c r="O17" s="188"/>
      <c r="P17" s="188"/>
    </row>
    <row r="18" spans="1:16" s="325" customFormat="1" ht="13.35" customHeight="1">
      <c r="A18" s="331" t="s">
        <v>742</v>
      </c>
      <c r="B18" s="327" t="s">
        <v>4479</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3878</v>
      </c>
      <c r="F20" s="2894" t="s">
        <v>5214</v>
      </c>
      <c r="G20" s="2895"/>
      <c r="H20" s="2896"/>
      <c r="I20" s="325" t="s">
        <v>1797</v>
      </c>
      <c r="J20" s="2894" t="s">
        <v>5215</v>
      </c>
      <c r="K20" s="2895"/>
      <c r="L20" s="2896"/>
      <c r="M20" s="365" t="s">
        <v>1979</v>
      </c>
      <c r="N20" s="2897" t="s">
        <v>5216</v>
      </c>
      <c r="O20" s="2884"/>
      <c r="P20" s="2898"/>
    </row>
    <row r="21" spans="1:16" s="325" customFormat="1" ht="13.35" customHeight="1">
      <c r="B21" s="330" t="s">
        <v>1980</v>
      </c>
      <c r="F21" s="2899" t="s">
        <v>5217</v>
      </c>
      <c r="G21" s="2900"/>
      <c r="H21" s="2900"/>
      <c r="I21" s="2901"/>
      <c r="J21" s="2900"/>
      <c r="K21" s="2901"/>
      <c r="L21" s="2902"/>
      <c r="M21" s="2903" t="s">
        <v>3877</v>
      </c>
      <c r="N21" s="2904"/>
      <c r="O21" s="2904"/>
      <c r="P21" s="2904"/>
    </row>
    <row r="22" spans="1:16" s="325" customFormat="1" ht="13.35" customHeight="1">
      <c r="B22" s="330" t="s">
        <v>618</v>
      </c>
      <c r="F22" s="2899" t="s">
        <v>1205</v>
      </c>
      <c r="G22" s="2900"/>
      <c r="H22" s="2905"/>
      <c r="I22" s="330" t="s">
        <v>1799</v>
      </c>
      <c r="J22" s="1315" t="s">
        <v>848</v>
      </c>
      <c r="M22" s="2903"/>
      <c r="N22" s="2903"/>
      <c r="O22" s="2903"/>
      <c r="P22" s="2903"/>
    </row>
    <row r="23" spans="1:16" s="325" customFormat="1" ht="13.35" customHeight="1">
      <c r="B23" s="1331" t="s">
        <v>2228</v>
      </c>
      <c r="F23" s="2888">
        <v>303272800</v>
      </c>
      <c r="G23" s="2889"/>
      <c r="H23" s="2890"/>
      <c r="I23" s="330" t="s">
        <v>1720</v>
      </c>
      <c r="J23" s="2891">
        <v>4049493871</v>
      </c>
      <c r="K23" s="2892"/>
      <c r="L23" s="1231" t="s">
        <v>1719</v>
      </c>
      <c r="M23" s="963"/>
      <c r="N23" s="1228" t="s">
        <v>1721</v>
      </c>
      <c r="O23" s="2893">
        <v>4049493871</v>
      </c>
      <c r="P23" s="2892"/>
    </row>
    <row r="24" spans="1:16" s="325" customFormat="1" ht="13.35" customHeight="1">
      <c r="B24" s="1331" t="s">
        <v>1983</v>
      </c>
      <c r="F24" s="2882" t="s">
        <v>5218</v>
      </c>
      <c r="G24" s="2883"/>
      <c r="H24" s="2883"/>
      <c r="I24" s="2884"/>
      <c r="J24" s="2883"/>
      <c r="K24" s="2885"/>
      <c r="N24" s="1228" t="s">
        <v>1978</v>
      </c>
      <c r="O24" s="2886">
        <v>4049663824</v>
      </c>
      <c r="P24" s="2887"/>
    </row>
    <row r="25" spans="1:16" s="325" customFormat="1" ht="13.5" customHeight="1">
      <c r="A25" s="545"/>
      <c r="B25" s="327" t="s">
        <v>4478</v>
      </c>
      <c r="C25" s="335"/>
      <c r="D25" s="1238"/>
      <c r="E25" s="1238"/>
      <c r="F25" s="1238"/>
      <c r="H25" s="1243"/>
      <c r="I25" s="1238"/>
      <c r="J25" s="335"/>
      <c r="K25" s="1238"/>
      <c r="P25" s="336"/>
    </row>
    <row r="26" spans="1:16" s="325" customFormat="1" ht="13.35" customHeight="1">
      <c r="B26" s="325" t="s">
        <v>3878</v>
      </c>
      <c r="F26" s="2894" t="s">
        <v>5214</v>
      </c>
      <c r="G26" s="2895"/>
      <c r="H26" s="2896"/>
      <c r="I26" s="325" t="s">
        <v>1797</v>
      </c>
      <c r="J26" s="2894" t="s">
        <v>5219</v>
      </c>
      <c r="K26" s="2895"/>
      <c r="L26" s="2896"/>
      <c r="M26" s="365" t="s">
        <v>1979</v>
      </c>
      <c r="N26" s="2897" t="s">
        <v>5220</v>
      </c>
      <c r="O26" s="2884"/>
      <c r="P26" s="2898"/>
    </row>
    <row r="27" spans="1:16" s="325" customFormat="1" ht="13.35" customHeight="1">
      <c r="B27" s="330" t="s">
        <v>1980</v>
      </c>
      <c r="F27" s="2899" t="s">
        <v>5217</v>
      </c>
      <c r="G27" s="2900"/>
      <c r="H27" s="2900"/>
      <c r="I27" s="2901"/>
      <c r="J27" s="2900"/>
      <c r="K27" s="2901"/>
      <c r="L27" s="2902"/>
      <c r="M27" s="2903" t="s">
        <v>3877</v>
      </c>
      <c r="N27" s="2904"/>
      <c r="O27" s="2904"/>
      <c r="P27" s="2904"/>
    </row>
    <row r="28" spans="1:16" s="325" customFormat="1" ht="13.35" customHeight="1">
      <c r="B28" s="330" t="s">
        <v>618</v>
      </c>
      <c r="F28" s="2899" t="s">
        <v>1205</v>
      </c>
      <c r="G28" s="2900"/>
      <c r="H28" s="2905"/>
      <c r="I28" s="330" t="s">
        <v>1799</v>
      </c>
      <c r="J28" s="1315" t="s">
        <v>848</v>
      </c>
      <c r="M28" s="2903"/>
      <c r="N28" s="2903"/>
      <c r="O28" s="2903"/>
      <c r="P28" s="2903"/>
    </row>
    <row r="29" spans="1:16" s="325" customFormat="1" ht="13.35" customHeight="1">
      <c r="B29" s="1414" t="s">
        <v>2228</v>
      </c>
      <c r="F29" s="2888">
        <v>303272800</v>
      </c>
      <c r="G29" s="2889"/>
      <c r="H29" s="2890"/>
      <c r="I29" s="330" t="s">
        <v>1720</v>
      </c>
      <c r="J29" s="2891">
        <v>6787050738</v>
      </c>
      <c r="K29" s="2892"/>
      <c r="L29" s="1415" t="s">
        <v>1719</v>
      </c>
      <c r="M29" s="963"/>
      <c r="N29" s="1414" t="s">
        <v>1721</v>
      </c>
      <c r="O29" s="2893">
        <v>6787050738</v>
      </c>
      <c r="P29" s="2892"/>
    </row>
    <row r="30" spans="1:16" s="325" customFormat="1" ht="13.35" customHeight="1">
      <c r="B30" s="1414" t="s">
        <v>1983</v>
      </c>
      <c r="F30" s="2882" t="s">
        <v>5221</v>
      </c>
      <c r="G30" s="2883"/>
      <c r="H30" s="2883"/>
      <c r="I30" s="2884"/>
      <c r="J30" s="2883"/>
      <c r="K30" s="2885"/>
      <c r="N30" s="1414" t="s">
        <v>1978</v>
      </c>
      <c r="O30" s="2886">
        <v>4043177597</v>
      </c>
      <c r="P30" s="2887"/>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2982" t="s">
        <v>5222</v>
      </c>
      <c r="G34" s="2983"/>
      <c r="H34" s="2983"/>
      <c r="I34" s="2983"/>
      <c r="J34" s="2983"/>
      <c r="K34" s="2984"/>
      <c r="L34" s="1228" t="s">
        <v>2191</v>
      </c>
      <c r="O34" s="2894" t="s">
        <v>2992</v>
      </c>
      <c r="P34" s="2896"/>
    </row>
    <row r="35" spans="1:16" s="325" customFormat="1" ht="13.35" customHeight="1">
      <c r="A35" s="338"/>
      <c r="B35" s="325" t="s">
        <v>2698</v>
      </c>
      <c r="D35" s="339"/>
      <c r="F35" s="2943" t="s">
        <v>5223</v>
      </c>
      <c r="G35" s="2944"/>
      <c r="H35" s="2944"/>
      <c r="I35" s="2944"/>
      <c r="J35" s="2944"/>
      <c r="K35" s="2945"/>
      <c r="L35" s="325" t="s">
        <v>3682</v>
      </c>
      <c r="O35" s="2912"/>
      <c r="P35" s="2905"/>
    </row>
    <row r="36" spans="1:16" s="325" customFormat="1" ht="13.35" customHeight="1">
      <c r="A36" s="338"/>
      <c r="B36" s="325" t="s">
        <v>2733</v>
      </c>
      <c r="D36" s="339"/>
      <c r="F36" s="2912"/>
      <c r="G36" s="2900"/>
      <c r="H36" s="2900"/>
      <c r="I36" s="2901"/>
      <c r="J36" s="2900"/>
      <c r="K36" s="2905"/>
      <c r="L36" s="1228" t="s">
        <v>2049</v>
      </c>
      <c r="N36" s="963" t="s">
        <v>2992</v>
      </c>
      <c r="O36" s="1243" t="s">
        <v>3681</v>
      </c>
      <c r="P36" s="1352"/>
    </row>
    <row r="37" spans="1:16" s="325" customFormat="1" ht="13.35" customHeight="1">
      <c r="A37" s="338"/>
      <c r="B37" s="325" t="s">
        <v>3735</v>
      </c>
      <c r="D37" s="339"/>
      <c r="F37" s="325" t="s">
        <v>3716</v>
      </c>
      <c r="G37" s="2978">
        <v>33.724460999999998</v>
      </c>
      <c r="H37" s="2979"/>
      <c r="I37" s="1231" t="s">
        <v>3717</v>
      </c>
      <c r="J37" s="2978">
        <v>-84.386662000000001</v>
      </c>
      <c r="K37" s="2979"/>
      <c r="L37" s="1228" t="s">
        <v>2282</v>
      </c>
      <c r="O37" s="2921">
        <v>3.43</v>
      </c>
      <c r="P37" s="2922"/>
    </row>
    <row r="38" spans="1:16" s="325" customFormat="1" ht="13.35" customHeight="1">
      <c r="A38" s="545"/>
      <c r="B38" s="325" t="s">
        <v>618</v>
      </c>
      <c r="F38" s="2894" t="s">
        <v>1205</v>
      </c>
      <c r="G38" s="2923"/>
      <c r="H38" s="2924"/>
      <c r="I38" s="344" t="s">
        <v>2699</v>
      </c>
      <c r="J38" s="2888">
        <v>303152303</v>
      </c>
      <c r="K38" s="2890"/>
      <c r="L38" s="421" t="str">
        <f>IF(AND(NOT(F34=""),NOT(F38="Select from list"),J38=""),"Enter Zip!","")</f>
        <v/>
      </c>
      <c r="M38" s="341" t="s">
        <v>2905</v>
      </c>
      <c r="O38" s="2980" t="s">
        <v>5224</v>
      </c>
      <c r="P38" s="2981"/>
    </row>
    <row r="39" spans="1:16" s="325" customFormat="1" ht="13.35" customHeight="1">
      <c r="A39" s="545"/>
      <c r="B39" s="1238" t="s">
        <v>3568</v>
      </c>
      <c r="D39" s="1238"/>
      <c r="F39" s="2912" t="s">
        <v>5225</v>
      </c>
      <c r="G39" s="2901"/>
      <c r="H39" s="2902"/>
      <c r="I39" s="340" t="s">
        <v>619</v>
      </c>
      <c r="J39" s="2913" t="str">
        <f>IF(F38="","",VLOOKUP(F38,'DCA Underwriting Assumptions'!$T$158:$U$786,2,FALSE))</f>
        <v>Fulton</v>
      </c>
      <c r="K39" s="2914"/>
      <c r="M39" s="1228" t="s">
        <v>451</v>
      </c>
      <c r="N39" s="1607" t="s">
        <v>2989</v>
      </c>
      <c r="O39" s="1243" t="s">
        <v>452</v>
      </c>
      <c r="P39" s="1353" t="s">
        <v>2992</v>
      </c>
    </row>
    <row r="40" spans="1:16" s="325" customFormat="1" ht="13.35" customHeight="1">
      <c r="A40" s="545"/>
      <c r="B40" s="327"/>
      <c r="C40" s="325" t="s">
        <v>1558</v>
      </c>
      <c r="F40" s="575"/>
      <c r="G40" s="2915" t="s">
        <v>2780</v>
      </c>
      <c r="H40" s="2916"/>
      <c r="I40" s="582" t="str">
        <f>IF($J$39="","",IF(VLOOKUP($J$39,'DCA Underwriting Assumptions'!G158:M317,7,FALSE)="Rural","Yes",IF(VLOOKUP($J$39,'DCA Underwriting Assumptions'!G158:M317,7,FALSE)="Urban","No","")))</f>
        <v>No</v>
      </c>
      <c r="J40" s="1231" t="s">
        <v>2800</v>
      </c>
      <c r="K40" s="1231" t="str">
        <f>IF(OR(F40="Yes",I40="Yes"),"Rural","Urban")</f>
        <v>Urban</v>
      </c>
      <c r="M40" s="1228" t="s">
        <v>2610</v>
      </c>
      <c r="N40" s="484" t="str">
        <f>VLOOKUP($J$39,'DCA Underwriting Assumptions'!$G$158:$J$317,4)</f>
        <v>MSA</v>
      </c>
      <c r="O40" s="2917" t="str">
        <f>IF($F$38="","",VLOOKUP($J$39,'DCA Underwriting Assumptions'!$G$158:$L$317,3,FALSE))</f>
        <v>Atlanta-Sandy Springs-Marietta</v>
      </c>
      <c r="P40" s="2918"/>
    </row>
    <row r="41" spans="1:16" s="325" customFormat="1" ht="6" customHeight="1">
      <c r="A41" s="545"/>
      <c r="B41" s="327"/>
      <c r="C41" s="327"/>
      <c r="I41" s="330"/>
      <c r="J41" s="1238"/>
      <c r="L41" s="1247"/>
      <c r="M41" s="1247"/>
      <c r="N41" s="1247"/>
      <c r="O41" s="1247"/>
      <c r="P41" s="1247"/>
    </row>
    <row r="42" spans="1:16" s="325" customFormat="1" ht="13.35" customHeight="1">
      <c r="A42" s="545"/>
      <c r="C42" s="325" t="s">
        <v>2742</v>
      </c>
      <c r="F42" s="2919" t="s">
        <v>2761</v>
      </c>
      <c r="G42" s="2919"/>
      <c r="H42" s="2920" t="s">
        <v>736</v>
      </c>
      <c r="I42" s="2920"/>
      <c r="J42" s="2920" t="s">
        <v>737</v>
      </c>
      <c r="K42" s="2920"/>
      <c r="L42" s="566" t="s">
        <v>4941</v>
      </c>
    </row>
    <row r="43" spans="1:16" s="325" customFormat="1" ht="13.35" customHeight="1">
      <c r="A43" s="545"/>
      <c r="B43" s="325" t="s">
        <v>2760</v>
      </c>
      <c r="D43" s="327"/>
      <c r="F43" s="2906">
        <v>5</v>
      </c>
      <c r="G43" s="2907"/>
      <c r="H43" s="2906">
        <v>36</v>
      </c>
      <c r="I43" s="2907"/>
      <c r="J43" s="2906">
        <v>59</v>
      </c>
      <c r="K43" s="2907"/>
      <c r="L43" s="562" t="s">
        <v>1283</v>
      </c>
      <c r="N43" s="2908" t="s">
        <v>1284</v>
      </c>
      <c r="O43" s="2908"/>
      <c r="P43" s="2908"/>
    </row>
    <row r="44" spans="1:16" s="325" customFormat="1" ht="12.75" customHeight="1">
      <c r="A44" s="545"/>
      <c r="B44" s="330" t="s">
        <v>738</v>
      </c>
      <c r="F44" s="2909"/>
      <c r="G44" s="2910"/>
      <c r="H44" s="2909"/>
      <c r="I44" s="2910"/>
      <c r="J44" s="2909"/>
      <c r="K44" s="2910"/>
      <c r="L44" s="562" t="s">
        <v>2759</v>
      </c>
      <c r="N44" s="2911" t="s">
        <v>2758</v>
      </c>
      <c r="O44" s="2911"/>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55" t="s">
        <v>3661</v>
      </c>
      <c r="G46" s="2956"/>
      <c r="H46" s="2956"/>
      <c r="I46" s="2957"/>
      <c r="J46" s="2956"/>
      <c r="K46" s="2958"/>
      <c r="L46" s="997" t="s">
        <v>2703</v>
      </c>
      <c r="M46" s="2897" t="s">
        <v>5229</v>
      </c>
      <c r="N46" s="2884"/>
      <c r="O46" s="2884"/>
      <c r="P46" s="2898"/>
    </row>
    <row r="47" spans="1:16" s="325" customFormat="1" ht="13.35" customHeight="1">
      <c r="A47" s="545"/>
      <c r="B47" s="325" t="s">
        <v>638</v>
      </c>
      <c r="F47" s="2959" t="s">
        <v>5226</v>
      </c>
      <c r="G47" s="2960"/>
      <c r="H47" s="2961"/>
      <c r="I47" s="1232" t="s">
        <v>1979</v>
      </c>
      <c r="J47" s="2943" t="s">
        <v>5227</v>
      </c>
      <c r="K47" s="2945"/>
      <c r="L47" s="997"/>
    </row>
    <row r="48" spans="1:16" s="325" customFormat="1" ht="13.35" customHeight="1">
      <c r="A48" s="545"/>
      <c r="B48" s="325" t="s">
        <v>1980</v>
      </c>
      <c r="F48" s="2962" t="s">
        <v>5228</v>
      </c>
      <c r="G48" s="2963"/>
      <c r="H48" s="2964"/>
      <c r="I48" s="2956"/>
      <c r="J48" s="2963"/>
      <c r="K48" s="2965"/>
      <c r="L48" s="366" t="s">
        <v>618</v>
      </c>
      <c r="M48" s="2966" t="s">
        <v>1205</v>
      </c>
      <c r="N48" s="2967"/>
      <c r="O48" s="2967"/>
      <c r="P48" s="2968"/>
    </row>
    <row r="49" spans="1:19" s="325" customFormat="1" ht="13.35" customHeight="1">
      <c r="A49" s="545"/>
      <c r="B49" s="1228" t="s">
        <v>2228</v>
      </c>
      <c r="F49" s="2970">
        <v>303033543</v>
      </c>
      <c r="G49" s="2971"/>
      <c r="H49" s="1231" t="s">
        <v>1981</v>
      </c>
      <c r="I49" s="2972">
        <v>4043306100</v>
      </c>
      <c r="J49" s="2973"/>
      <c r="K49" s="2974"/>
      <c r="L49" s="330" t="s">
        <v>1800</v>
      </c>
      <c r="M49" s="2975" t="s">
        <v>5230</v>
      </c>
      <c r="N49" s="2976"/>
      <c r="O49" s="2976"/>
      <c r="P49" s="2977"/>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1982</v>
      </c>
      <c r="C53" s="327" t="s">
        <v>718</v>
      </c>
      <c r="I53" s="1238"/>
      <c r="J53" s="1238"/>
      <c r="K53" s="563"/>
      <c r="L53" s="1238"/>
      <c r="M53" s="565"/>
      <c r="N53" s="565"/>
      <c r="O53" s="565"/>
      <c r="P53" s="565"/>
      <c r="Q53" s="1243"/>
    </row>
    <row r="54" spans="1:19" ht="13.35" customHeight="1">
      <c r="B54" s="545"/>
      <c r="C54" s="325" t="s">
        <v>2294</v>
      </c>
      <c r="D54" s="325"/>
      <c r="E54" s="325"/>
      <c r="H54" s="1288">
        <f>'Part VI-Revenues &amp; Expenses'!$O$103</f>
        <v>156</v>
      </c>
      <c r="K54" s="330" t="s">
        <v>3673</v>
      </c>
      <c r="L54" s="325"/>
      <c r="M54" s="1065" t="s">
        <v>3672</v>
      </c>
      <c r="N54" s="347">
        <f>'Part VI-Revenues &amp; Expenses'!$O$110</f>
        <v>0</v>
      </c>
      <c r="O54" s="1066" t="s">
        <v>3356</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0</v>
      </c>
      <c r="I56" s="547" t="s">
        <v>2909</v>
      </c>
      <c r="K56" s="325" t="s">
        <v>348</v>
      </c>
      <c r="P56" s="445"/>
      <c r="Q56" s="1243"/>
    </row>
    <row r="57" spans="1:19" s="325" customFormat="1" ht="3.6" customHeight="1">
      <c r="A57" s="545"/>
      <c r="P57" s="1238"/>
    </row>
    <row r="58" spans="1:19" s="325" customFormat="1">
      <c r="A58" s="545"/>
      <c r="B58" s="545" t="s">
        <v>1984</v>
      </c>
      <c r="C58" s="327" t="s">
        <v>2295</v>
      </c>
      <c r="H58" s="334" t="s">
        <v>2989</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2275</v>
      </c>
      <c r="D60" s="1238"/>
      <c r="I60" s="1235" t="s">
        <v>3564</v>
      </c>
      <c r="J60" s="338" t="s">
        <v>2114</v>
      </c>
      <c r="K60" s="349" t="s">
        <v>2301</v>
      </c>
      <c r="M60" s="1238"/>
      <c r="N60" s="1238"/>
      <c r="O60" s="1238"/>
      <c r="P60" s="1243"/>
      <c r="Q60" s="1243"/>
      <c r="R60" s="1243"/>
      <c r="S60" s="1238"/>
    </row>
    <row r="61" spans="1:19" s="325" customFormat="1" ht="13.35" customHeight="1">
      <c r="A61" s="545"/>
      <c r="B61" s="1233"/>
      <c r="C61" s="335" t="s">
        <v>2276</v>
      </c>
      <c r="D61" s="1238"/>
      <c r="E61" s="1238"/>
      <c r="H61" s="738">
        <f>SUM(H62:H68)</f>
        <v>156</v>
      </c>
      <c r="I61" s="738">
        <f>SUM(I62:I68)</f>
        <v>18</v>
      </c>
      <c r="J61" s="545"/>
      <c r="K61" s="335" t="s">
        <v>2772</v>
      </c>
      <c r="M61" s="1238"/>
      <c r="N61" s="1238"/>
      <c r="O61" s="1238"/>
      <c r="P61" s="2326">
        <f>SUM(P62:P68)</f>
        <v>135422</v>
      </c>
    </row>
    <row r="62" spans="1:19" s="325" customFormat="1" ht="13.35" customHeight="1">
      <c r="A62" s="545"/>
      <c r="B62" s="2321"/>
      <c r="C62" s="335"/>
      <c r="D62" s="351" t="s">
        <v>4713</v>
      </c>
      <c r="E62" s="2322"/>
      <c r="H62" s="955">
        <f>'Part VI-Revenues &amp; Expenses'!$O$56</f>
        <v>23</v>
      </c>
      <c r="I62" s="955">
        <f>'Part VI-Revenues &amp; Expenses'!$O$81</f>
        <v>0</v>
      </c>
      <c r="J62" s="545"/>
      <c r="K62" s="335"/>
      <c r="L62" s="351" t="s">
        <v>4713</v>
      </c>
      <c r="M62" s="2322"/>
      <c r="N62" s="2322"/>
      <c r="O62" s="2322"/>
      <c r="P62" s="955">
        <f>'Part VI-Revenues &amp; Expenses'!$O$145</f>
        <v>19967</v>
      </c>
    </row>
    <row r="63" spans="1:19" s="325" customFormat="1" ht="13.35" customHeight="1">
      <c r="A63" s="545"/>
      <c r="B63" s="2321"/>
      <c r="C63" s="335"/>
      <c r="D63" s="351" t="s">
        <v>4714</v>
      </c>
      <c r="E63" s="2322"/>
      <c r="H63" s="2328">
        <f>'Part VI-Revenues &amp; Expenses'!$O$57</f>
        <v>0</v>
      </c>
      <c r="I63" s="2328">
        <f>'Part VI-Revenues &amp; Expenses'!$O$82</f>
        <v>0</v>
      </c>
      <c r="J63" s="545"/>
      <c r="K63" s="335"/>
      <c r="L63" s="351" t="s">
        <v>4714</v>
      </c>
      <c r="M63" s="2322"/>
      <c r="N63" s="2322"/>
      <c r="O63" s="2322"/>
      <c r="P63" s="2328">
        <f>'Part VI-Revenues &amp; Expenses'!$O$146</f>
        <v>0</v>
      </c>
    </row>
    <row r="64" spans="1:19" s="325" customFormat="1" ht="13.35" customHeight="1">
      <c r="A64" s="545"/>
      <c r="B64" s="346"/>
      <c r="D64" s="351" t="s">
        <v>4711</v>
      </c>
      <c r="E64" s="351"/>
      <c r="H64" s="2328">
        <f>'Part VI-Revenues &amp; Expenses'!$O$58</f>
        <v>87</v>
      </c>
      <c r="I64" s="2328">
        <f>'Part VI-Revenues &amp; Expenses'!$O$83</f>
        <v>0</v>
      </c>
      <c r="L64" s="351" t="s">
        <v>4711</v>
      </c>
      <c r="O64" s="2322"/>
      <c r="P64" s="2328">
        <f>'Part VI-Revenues &amp; Expenses'!$O$147</f>
        <v>75521</v>
      </c>
    </row>
    <row r="65" spans="1:16" s="325" customFormat="1" ht="13.35" customHeight="1">
      <c r="A65" s="545"/>
      <c r="D65" s="351" t="s">
        <v>4712</v>
      </c>
      <c r="E65" s="1238"/>
      <c r="H65" s="2328">
        <f>'Part VI-Revenues &amp; Expenses'!$O$59</f>
        <v>46</v>
      </c>
      <c r="I65" s="2328">
        <f>'Part VI-Revenues &amp; Expenses'!$O$84</f>
        <v>18</v>
      </c>
      <c r="L65" s="351" t="s">
        <v>4712</v>
      </c>
      <c r="O65" s="2322"/>
      <c r="P65" s="2328">
        <f>'Part VI-Revenues &amp; Expenses'!$O$148</f>
        <v>39934</v>
      </c>
    </row>
    <row r="66" spans="1:16" s="325" customFormat="1" ht="13.35" customHeight="1">
      <c r="A66" s="545"/>
      <c r="D66" s="351" t="s">
        <v>4715</v>
      </c>
      <c r="E66" s="351"/>
      <c r="H66" s="2328">
        <f>'Part VI-Revenues &amp; Expenses'!$O$60</f>
        <v>0</v>
      </c>
      <c r="I66" s="2328">
        <f>'Part VI-Revenues &amp; Expenses'!$O$85</f>
        <v>0</v>
      </c>
      <c r="L66" s="351" t="s">
        <v>4715</v>
      </c>
      <c r="O66" s="2322"/>
      <c r="P66" s="2328">
        <f>'Part VI-Revenues &amp; Expenses'!$O$149</f>
        <v>0</v>
      </c>
    </row>
    <row r="67" spans="1:16" s="325" customFormat="1" ht="13.35" customHeight="1">
      <c r="A67" s="545"/>
      <c r="D67" s="351" t="s">
        <v>4716</v>
      </c>
      <c r="E67" s="351"/>
      <c r="H67" s="2328">
        <f>'Part VI-Revenues &amp; Expenses'!$O$61</f>
        <v>0</v>
      </c>
      <c r="I67" s="2328">
        <f>'Part VI-Revenues &amp; Expenses'!$O$86</f>
        <v>0</v>
      </c>
      <c r="L67" s="351" t="s">
        <v>4716</v>
      </c>
      <c r="O67" s="2322"/>
      <c r="P67" s="2328">
        <f>'Part VI-Revenues &amp; Expenses'!$O$150</f>
        <v>0</v>
      </c>
    </row>
    <row r="68" spans="1:16" s="325" customFormat="1" ht="13.35" customHeight="1">
      <c r="A68" s="545"/>
      <c r="D68" s="351" t="s">
        <v>4717</v>
      </c>
      <c r="E68" s="351"/>
      <c r="H68" s="956">
        <f>'Part VI-Revenues &amp; Expenses'!$O$62</f>
        <v>0</v>
      </c>
      <c r="I68" s="956">
        <f>'Part VI-Revenues &amp; Expenses'!$O$87</f>
        <v>0</v>
      </c>
      <c r="L68" s="351" t="s">
        <v>4717</v>
      </c>
      <c r="O68" s="2322"/>
      <c r="P68" s="956">
        <f>'Part VI-Revenues &amp; Expenses'!$O$151</f>
        <v>0</v>
      </c>
    </row>
    <row r="69" spans="1:16" s="325" customFormat="1" ht="13.35" customHeight="1">
      <c r="A69" s="545"/>
      <c r="C69" s="335" t="s">
        <v>253</v>
      </c>
      <c r="D69" s="1238"/>
      <c r="E69" s="1238"/>
      <c r="H69" s="2327">
        <f>'Part VI-Revenues &amp; Expenses'!$O$64</f>
        <v>0</v>
      </c>
      <c r="J69" s="545"/>
      <c r="K69" s="335" t="s">
        <v>2773</v>
      </c>
      <c r="M69" s="1238"/>
      <c r="N69" s="1238"/>
      <c r="O69" s="1238"/>
      <c r="P69" s="2329">
        <f>'Part VI-Revenues &amp; Expenses'!$O$153</f>
        <v>0</v>
      </c>
    </row>
    <row r="70" spans="1:16" s="325" customFormat="1" ht="13.35" customHeight="1">
      <c r="A70" s="545"/>
      <c r="C70" s="335" t="s">
        <v>2406</v>
      </c>
      <c r="D70" s="1238"/>
      <c r="E70" s="1238"/>
      <c r="H70" s="955">
        <f>H61+H69</f>
        <v>156</v>
      </c>
      <c r="J70" s="545"/>
      <c r="K70" s="335" t="s">
        <v>2774</v>
      </c>
      <c r="M70" s="1238"/>
      <c r="N70" s="1238"/>
      <c r="O70" s="1238"/>
      <c r="P70" s="955">
        <f>P61+P69</f>
        <v>135422</v>
      </c>
    </row>
    <row r="71" spans="1:16" s="325" customFormat="1" ht="13.35" customHeight="1">
      <c r="A71" s="545"/>
      <c r="C71" s="335" t="s">
        <v>2407</v>
      </c>
      <c r="D71" s="1238"/>
      <c r="E71" s="1238"/>
      <c r="H71" s="956">
        <f>'Part VI-Revenues &amp; Expenses'!$O$66</f>
        <v>0</v>
      </c>
      <c r="J71" s="545"/>
      <c r="K71" s="335" t="s">
        <v>2775</v>
      </c>
      <c r="M71" s="1238"/>
      <c r="N71" s="1238"/>
      <c r="O71" s="1238"/>
      <c r="P71" s="956">
        <f>'Part VI-Revenues &amp; Expenses'!$O$155</f>
        <v>0</v>
      </c>
    </row>
    <row r="72" spans="1:16" s="325" customFormat="1" ht="13.35" customHeight="1">
      <c r="A72" s="545"/>
      <c r="C72" s="335" t="s">
        <v>1793</v>
      </c>
      <c r="D72" s="1238"/>
      <c r="E72" s="1238"/>
      <c r="H72" s="350">
        <f>+H70+H71</f>
        <v>156</v>
      </c>
      <c r="J72" s="1238"/>
      <c r="K72" s="335" t="s">
        <v>1420</v>
      </c>
      <c r="M72" s="1238"/>
      <c r="N72" s="1238"/>
      <c r="O72" s="1238"/>
      <c r="P72" s="350">
        <f>+P70+P71</f>
        <v>135422</v>
      </c>
    </row>
    <row r="73" spans="1:16" s="325" customFormat="1" ht="3" customHeight="1">
      <c r="A73" s="545"/>
      <c r="I73" s="1243"/>
      <c r="L73" s="1243"/>
      <c r="M73" s="1243"/>
      <c r="N73" s="1238"/>
      <c r="P73" s="336"/>
    </row>
    <row r="74" spans="1:16" s="325" customFormat="1" ht="13.35" customHeight="1">
      <c r="A74" s="545"/>
      <c r="B74" s="545" t="s">
        <v>1735</v>
      </c>
      <c r="C74" s="337" t="s">
        <v>2296</v>
      </c>
      <c r="D74" s="351" t="s">
        <v>1995</v>
      </c>
      <c r="G74" s="1238"/>
      <c r="H74" s="1286">
        <v>1</v>
      </c>
      <c r="K74" s="335" t="s">
        <v>5028</v>
      </c>
      <c r="O74" s="1238"/>
      <c r="P74" s="352">
        <v>6000</v>
      </c>
    </row>
    <row r="75" spans="1:16" s="325" customFormat="1" ht="13.35" customHeight="1">
      <c r="A75" s="545"/>
      <c r="B75" s="545"/>
      <c r="D75" s="1233" t="s">
        <v>1996</v>
      </c>
      <c r="H75" s="1287"/>
      <c r="I75" s="1238"/>
      <c r="K75" s="335" t="s">
        <v>252</v>
      </c>
      <c r="O75" s="1238"/>
      <c r="P75" s="350">
        <f>+P72+P74</f>
        <v>141422</v>
      </c>
    </row>
    <row r="76" spans="1:16" s="325" customFormat="1" ht="13.35" customHeight="1">
      <c r="A76" s="545"/>
      <c r="B76" s="545"/>
      <c r="D76" s="1233" t="s">
        <v>1997</v>
      </c>
      <c r="H76" s="350">
        <f>+H74+H75</f>
        <v>1</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2842</v>
      </c>
      <c r="D78" s="1238"/>
      <c r="E78" s="1238"/>
      <c r="F78" s="1238"/>
      <c r="G78" s="1238"/>
      <c r="H78" s="352">
        <v>190</v>
      </c>
      <c r="K78" s="2969" t="s">
        <v>3853</v>
      </c>
      <c r="L78" s="2969"/>
      <c r="M78" s="2969"/>
      <c r="N78" s="2969"/>
      <c r="O78" s="2969"/>
      <c r="P78" s="2969"/>
    </row>
    <row r="79" spans="1:16" s="325" customFormat="1" ht="6" customHeight="1">
      <c r="A79" s="545"/>
      <c r="B79" s="545"/>
      <c r="C79" s="335"/>
      <c r="D79" s="1238"/>
      <c r="E79" s="1238"/>
      <c r="F79" s="1238"/>
      <c r="G79" s="1243"/>
      <c r="H79" s="1238"/>
      <c r="I79" s="335"/>
      <c r="J79" s="335"/>
      <c r="K79" s="2969"/>
      <c r="L79" s="2969"/>
      <c r="M79" s="2969"/>
      <c r="N79" s="2969"/>
      <c r="O79" s="2969"/>
      <c r="P79" s="2969"/>
    </row>
    <row r="80" spans="1:16" s="325" customFormat="1" ht="13.35" customHeight="1">
      <c r="A80" s="545" t="s">
        <v>530</v>
      </c>
      <c r="B80" s="353" t="s">
        <v>1191</v>
      </c>
      <c r="D80" s="353"/>
      <c r="E80" s="353"/>
      <c r="F80" s="1238"/>
      <c r="G80" s="1243"/>
      <c r="H80" s="580"/>
      <c r="K80" s="2969"/>
      <c r="L80" s="2969"/>
      <c r="M80" s="2969"/>
      <c r="N80" s="2969"/>
      <c r="O80" s="2969"/>
      <c r="P80" s="2969"/>
    </row>
    <row r="81" spans="1:16" s="325" customFormat="1" ht="3" customHeight="1">
      <c r="A81" s="545"/>
      <c r="C81" s="1229"/>
      <c r="D81" s="1229"/>
      <c r="E81" s="1229"/>
      <c r="F81" s="1238"/>
      <c r="G81" s="1243"/>
      <c r="K81" s="1238"/>
      <c r="P81" s="336"/>
    </row>
    <row r="82" spans="1:16" s="325" customFormat="1" ht="13.35" customHeight="1">
      <c r="A82" s="545"/>
      <c r="B82" s="545" t="s">
        <v>1982</v>
      </c>
      <c r="C82" s="299" t="s">
        <v>2691</v>
      </c>
      <c r="D82" s="1229"/>
      <c r="E82" s="1229"/>
      <c r="F82" s="1238"/>
      <c r="G82" s="1243"/>
      <c r="H82" s="2952" t="s">
        <v>2910</v>
      </c>
      <c r="I82" s="2953"/>
      <c r="K82" s="2954" t="s">
        <v>1772</v>
      </c>
      <c r="L82" s="2954"/>
      <c r="M82" s="2897"/>
      <c r="N82" s="2884"/>
      <c r="O82" s="2884"/>
      <c r="P82" s="2898"/>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3046" t="s">
        <v>4961</v>
      </c>
      <c r="L84" s="354" t="s">
        <v>2910</v>
      </c>
      <c r="M84" s="1286"/>
      <c r="N84" s="354" t="s">
        <v>2911</v>
      </c>
      <c r="O84" s="1286"/>
      <c r="P84" s="2557" t="s">
        <v>4960</v>
      </c>
    </row>
    <row r="85" spans="1:16" s="325" customFormat="1" ht="13.35" customHeight="1">
      <c r="A85" s="545"/>
      <c r="B85" s="545"/>
      <c r="D85" s="1228"/>
      <c r="E85" s="1229"/>
      <c r="J85" s="2559"/>
      <c r="K85" s="3046"/>
      <c r="L85" s="339" t="s">
        <v>2912</v>
      </c>
      <c r="M85" s="1287"/>
      <c r="N85" s="339" t="s">
        <v>3873</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1984</v>
      </c>
      <c r="C87" s="337" t="s">
        <v>1411</v>
      </c>
      <c r="D87" s="1238"/>
      <c r="E87" s="351"/>
      <c r="F87" s="1233" t="s">
        <v>796</v>
      </c>
      <c r="H87" s="350">
        <f>'Part VIII-Threshold Criteria'!K306</f>
        <v>8</v>
      </c>
      <c r="K87" s="2954" t="s">
        <v>520</v>
      </c>
      <c r="L87" s="2954"/>
      <c r="N87" s="355">
        <f>IF('Part VI-Revenues &amp; Expenses'!$O$67=0,0,H87/'Part VI-Revenues &amp; Expenses'!$O$67)</f>
        <v>5.128205128205128E-2</v>
      </c>
      <c r="O87" s="339" t="s">
        <v>3695</v>
      </c>
      <c r="P87" s="1078">
        <f>'DCA Underwriting Assumptions'!$Q$139</f>
        <v>0.05</v>
      </c>
    </row>
    <row r="88" spans="1:16" s="325" customFormat="1" ht="12.75" customHeight="1">
      <c r="A88" s="545"/>
      <c r="B88" s="545"/>
      <c r="D88" s="1233" t="s">
        <v>2840</v>
      </c>
      <c r="E88" s="1233"/>
      <c r="F88" s="1233" t="s">
        <v>796</v>
      </c>
      <c r="H88" s="350">
        <f>'Part VIII-Threshold Criteria'!K307</f>
        <v>4</v>
      </c>
      <c r="K88" s="1238" t="s">
        <v>2841</v>
      </c>
      <c r="L88" s="1238"/>
      <c r="N88" s="355">
        <f>IF(H87=0,0,H88/H87)</f>
        <v>0.5</v>
      </c>
      <c r="O88" s="339" t="s">
        <v>3695</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1843</v>
      </c>
      <c r="D90" s="351"/>
      <c r="E90" s="351"/>
      <c r="F90" s="1233" t="s">
        <v>796</v>
      </c>
      <c r="H90" s="350">
        <f>'Part VIII-Threshold Criteria'!K309</f>
        <v>4</v>
      </c>
      <c r="K90" s="2954" t="s">
        <v>520</v>
      </c>
      <c r="L90" s="2954"/>
      <c r="N90" s="355">
        <f>IF('Part VI-Revenues &amp; Expenses'!$O$67=0,0,H90/'Part VI-Revenues &amp; Expenses'!$O$67)</f>
        <v>2.564102564102564E-2</v>
      </c>
      <c r="O90" s="339" t="s">
        <v>3695</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4867</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1982</v>
      </c>
      <c r="C94" s="299" t="s">
        <v>2375</v>
      </c>
      <c r="D94" s="1233"/>
      <c r="F94" s="2459"/>
      <c r="K94" s="2996" t="s">
        <v>4809</v>
      </c>
      <c r="L94" s="2998"/>
      <c r="M94" s="2997"/>
      <c r="N94" s="2556"/>
    </row>
    <row r="95" spans="1:16" s="325" customFormat="1" ht="1.5" customHeight="1">
      <c r="A95" s="545"/>
      <c r="B95" s="545"/>
      <c r="D95" s="1233"/>
      <c r="F95" s="1233"/>
      <c r="G95" s="1233"/>
      <c r="H95" s="547" t="s">
        <v>5132</v>
      </c>
      <c r="L95" s="2616"/>
      <c r="M95" s="2616"/>
    </row>
    <row r="96" spans="1:16" s="325" customFormat="1" ht="13.35" customHeight="1">
      <c r="B96" s="545" t="s">
        <v>1984</v>
      </c>
      <c r="C96" s="327" t="s">
        <v>1534</v>
      </c>
      <c r="K96" s="330" t="s">
        <v>4936</v>
      </c>
      <c r="N96" s="358"/>
      <c r="P96" s="2547" t="s">
        <v>4940</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2040</v>
      </c>
      <c r="D98" s="1233"/>
    </row>
    <row r="99" spans="1:16" s="325" customFormat="1" ht="1.5" customHeight="1">
      <c r="A99" s="545"/>
      <c r="B99" s="545"/>
      <c r="D99" s="1233"/>
      <c r="N99" s="1238"/>
      <c r="P99" s="336"/>
    </row>
    <row r="100" spans="1:16" s="325" customFormat="1" ht="13.35" customHeight="1">
      <c r="A100" s="356"/>
      <c r="B100" s="545" t="s">
        <v>1982</v>
      </c>
      <c r="C100" s="327" t="s">
        <v>2707</v>
      </c>
      <c r="F100" s="351" t="s">
        <v>2599</v>
      </c>
      <c r="H100" s="2492" t="s">
        <v>2992</v>
      </c>
      <c r="K100" s="2491" t="s">
        <v>3891</v>
      </c>
      <c r="P100" s="2492" t="s">
        <v>2992</v>
      </c>
    </row>
    <row r="101" spans="1:16" s="325" customFormat="1" ht="13.35" customHeight="1">
      <c r="A101" s="356"/>
      <c r="B101" s="545"/>
      <c r="C101" s="327"/>
      <c r="F101" s="2398" t="s">
        <v>3897</v>
      </c>
      <c r="H101" s="2493" t="s">
        <v>2992</v>
      </c>
      <c r="K101" s="2491" t="s">
        <v>4727</v>
      </c>
      <c r="P101" s="2493" t="s">
        <v>2992</v>
      </c>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1984</v>
      </c>
      <c r="C103" s="327" t="s">
        <v>2708</v>
      </c>
      <c r="F103" s="1228" t="s">
        <v>2678</v>
      </c>
      <c r="H103" s="334" t="s">
        <v>2992</v>
      </c>
      <c r="I103" s="539" t="s">
        <v>2709</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2782</v>
      </c>
      <c r="D105" s="1233"/>
      <c r="H105" s="2996" t="s">
        <v>5231</v>
      </c>
      <c r="I105" s="2997"/>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894" t="s">
        <v>1414</v>
      </c>
      <c r="F109" s="2895"/>
      <c r="G109" s="2895"/>
      <c r="H109" s="2895"/>
      <c r="I109" s="2895"/>
      <c r="J109" s="2895"/>
      <c r="K109" s="2895"/>
      <c r="L109" s="2896"/>
      <c r="M109" s="2985" t="s">
        <v>553</v>
      </c>
      <c r="N109" s="2985"/>
      <c r="O109" s="2986">
        <v>43545</v>
      </c>
      <c r="P109" s="2987"/>
    </row>
    <row r="110" spans="1:16" s="325" customFormat="1" ht="13.35" customHeight="1">
      <c r="C110" s="330" t="s">
        <v>1021</v>
      </c>
      <c r="D110" s="339"/>
      <c r="E110" s="2899" t="s">
        <v>5232</v>
      </c>
      <c r="F110" s="2900"/>
      <c r="G110" s="2900"/>
      <c r="H110" s="2901"/>
      <c r="I110" s="2900"/>
      <c r="J110" s="2901"/>
      <c r="K110" s="2900"/>
      <c r="L110" s="2905"/>
      <c r="M110" s="2985" t="s">
        <v>808</v>
      </c>
      <c r="N110" s="2985"/>
      <c r="O110" s="2988">
        <v>2019</v>
      </c>
      <c r="P110" s="2989"/>
    </row>
    <row r="111" spans="1:16" s="325" customFormat="1" ht="13.35" customHeight="1">
      <c r="C111" s="330" t="s">
        <v>618</v>
      </c>
      <c r="E111" s="2943" t="s">
        <v>1205</v>
      </c>
      <c r="F111" s="2990"/>
      <c r="G111" s="2991"/>
      <c r="H111" s="1231" t="s">
        <v>1799</v>
      </c>
      <c r="I111" s="1599" t="s">
        <v>848</v>
      </c>
      <c r="J111" s="359" t="s">
        <v>2228</v>
      </c>
      <c r="K111" s="2992">
        <v>303030000</v>
      </c>
      <c r="L111" s="2993"/>
      <c r="M111" s="302" t="s">
        <v>3663</v>
      </c>
      <c r="N111" s="302"/>
      <c r="O111" s="2994">
        <v>18000000</v>
      </c>
      <c r="P111" s="2995"/>
    </row>
    <row r="112" spans="1:16" s="325" customFormat="1" ht="13.35" customHeight="1">
      <c r="C112" s="325" t="s">
        <v>2193</v>
      </c>
      <c r="E112" s="2943" t="s">
        <v>5233</v>
      </c>
      <c r="F112" s="2990"/>
      <c r="G112" s="2991"/>
      <c r="H112" s="1124" t="s">
        <v>1979</v>
      </c>
      <c r="I112" s="3009" t="s">
        <v>5220</v>
      </c>
      <c r="J112" s="3010"/>
      <c r="K112" s="3011"/>
      <c r="L112" s="1251" t="s">
        <v>1983</v>
      </c>
      <c r="M112" s="2894" t="s">
        <v>5234</v>
      </c>
      <c r="N112" s="3012"/>
      <c r="O112" s="3013"/>
      <c r="P112" s="3014"/>
    </row>
    <row r="113" spans="1:16" s="325" customFormat="1" ht="13.35" customHeight="1">
      <c r="C113" s="330" t="s">
        <v>2192</v>
      </c>
      <c r="E113" s="2886">
        <v>4048804100</v>
      </c>
      <c r="F113" s="3015"/>
      <c r="G113" s="2887"/>
      <c r="H113" s="1124" t="s">
        <v>1802</v>
      </c>
      <c r="I113" s="2886">
        <v>4048809333</v>
      </c>
      <c r="J113" s="3016"/>
      <c r="K113" s="1231" t="s">
        <v>2703</v>
      </c>
      <c r="L113" s="2946" t="s">
        <v>5235</v>
      </c>
      <c r="M113" s="3017"/>
      <c r="N113" s="3017"/>
      <c r="O113" s="3017"/>
      <c r="P113" s="3018"/>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2152</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1982</v>
      </c>
      <c r="C119" s="1229" t="s">
        <v>1412</v>
      </c>
      <c r="D119" s="1233"/>
      <c r="E119" s="1233"/>
      <c r="F119" s="1243"/>
      <c r="G119" s="1243"/>
      <c r="H119" s="362"/>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1984</v>
      </c>
      <c r="C121" s="1229" t="s">
        <v>416</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2134</v>
      </c>
      <c r="D124" s="1233"/>
      <c r="F124" s="1233" t="s">
        <v>1134</v>
      </c>
      <c r="G124" s="1243"/>
      <c r="H124" s="1243"/>
      <c r="I124" s="1243" t="s">
        <v>1294</v>
      </c>
      <c r="J124" s="1233" t="s">
        <v>2134</v>
      </c>
      <c r="K124" s="1233"/>
      <c r="M124" s="1233" t="s">
        <v>1134</v>
      </c>
      <c r="N124" s="1243"/>
      <c r="O124" s="1243"/>
      <c r="P124" s="1243" t="s">
        <v>1294</v>
      </c>
    </row>
    <row r="125" spans="1:16" s="325" customFormat="1" ht="13.35" customHeight="1">
      <c r="A125" s="545"/>
      <c r="B125" s="545"/>
      <c r="C125" s="2999">
        <v>1</v>
      </c>
      <c r="D125" s="3000"/>
      <c r="E125" s="3000"/>
      <c r="F125" s="3001"/>
      <c r="G125" s="3002"/>
      <c r="H125" s="3003"/>
      <c r="I125" s="1606"/>
      <c r="J125" s="2999">
        <v>7</v>
      </c>
      <c r="K125" s="3000"/>
      <c r="L125" s="3000"/>
      <c r="M125" s="3001"/>
      <c r="N125" s="3002"/>
      <c r="O125" s="3003"/>
      <c r="P125" s="1606"/>
    </row>
    <row r="126" spans="1:16" s="325" customFormat="1" ht="13.35" customHeight="1">
      <c r="A126" s="545"/>
      <c r="B126" s="545"/>
      <c r="C126" s="3004">
        <v>2</v>
      </c>
      <c r="D126" s="3005"/>
      <c r="E126" s="3005"/>
      <c r="F126" s="3006"/>
      <c r="G126" s="3007"/>
      <c r="H126" s="3008"/>
      <c r="I126" s="1605"/>
      <c r="J126" s="3004">
        <v>8</v>
      </c>
      <c r="K126" s="3005"/>
      <c r="L126" s="3005"/>
      <c r="M126" s="3006"/>
      <c r="N126" s="3007"/>
      <c r="O126" s="3008"/>
      <c r="P126" s="1605"/>
    </row>
    <row r="127" spans="1:16" s="325" customFormat="1" ht="13.35" customHeight="1">
      <c r="A127" s="545"/>
      <c r="B127" s="545"/>
      <c r="C127" s="3004">
        <v>3</v>
      </c>
      <c r="D127" s="3005"/>
      <c r="E127" s="3005"/>
      <c r="F127" s="3006"/>
      <c r="G127" s="3007"/>
      <c r="H127" s="3008"/>
      <c r="I127" s="1605"/>
      <c r="J127" s="3004">
        <v>9</v>
      </c>
      <c r="K127" s="3005"/>
      <c r="L127" s="3005"/>
      <c r="M127" s="3006"/>
      <c r="N127" s="3007"/>
      <c r="O127" s="3008"/>
      <c r="P127" s="1605"/>
    </row>
    <row r="128" spans="1:16" s="325" customFormat="1" ht="13.35" customHeight="1">
      <c r="A128" s="545"/>
      <c r="B128" s="545"/>
      <c r="C128" s="3004">
        <v>4</v>
      </c>
      <c r="D128" s="3005"/>
      <c r="E128" s="3005"/>
      <c r="F128" s="3006"/>
      <c r="G128" s="3007"/>
      <c r="H128" s="3008"/>
      <c r="I128" s="1605"/>
      <c r="J128" s="3004">
        <v>10</v>
      </c>
      <c r="K128" s="3005"/>
      <c r="L128" s="3005"/>
      <c r="M128" s="3006"/>
      <c r="N128" s="3007"/>
      <c r="O128" s="3008"/>
      <c r="P128" s="1605"/>
    </row>
    <row r="129" spans="1:16" s="325" customFormat="1" ht="13.35" customHeight="1">
      <c r="A129" s="545"/>
      <c r="B129" s="545"/>
      <c r="C129" s="3004">
        <v>5</v>
      </c>
      <c r="D129" s="3005"/>
      <c r="E129" s="3005"/>
      <c r="F129" s="3006"/>
      <c r="G129" s="3007"/>
      <c r="H129" s="3008"/>
      <c r="I129" s="1605"/>
      <c r="J129" s="3004">
        <v>11</v>
      </c>
      <c r="K129" s="3005"/>
      <c r="L129" s="3005"/>
      <c r="M129" s="3006"/>
      <c r="N129" s="3007"/>
      <c r="O129" s="3008"/>
      <c r="P129" s="1605"/>
    </row>
    <row r="130" spans="1:16" s="325" customFormat="1" ht="13.35" customHeight="1">
      <c r="A130" s="545"/>
      <c r="B130" s="545"/>
      <c r="C130" s="3019">
        <v>6</v>
      </c>
      <c r="D130" s="3020"/>
      <c r="E130" s="3020"/>
      <c r="F130" s="3021"/>
      <c r="G130" s="3022"/>
      <c r="H130" s="3023"/>
      <c r="I130" s="1604"/>
      <c r="J130" s="3019">
        <v>12</v>
      </c>
      <c r="K130" s="3020"/>
      <c r="L130" s="3020"/>
      <c r="M130" s="3021"/>
      <c r="N130" s="3022"/>
      <c r="O130" s="3023"/>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2114</v>
      </c>
      <c r="C132" s="3024" t="s">
        <v>1846</v>
      </c>
      <c r="D132" s="3024"/>
      <c r="E132" s="3024"/>
      <c r="F132" s="3024"/>
      <c r="G132" s="3024"/>
      <c r="H132" s="3024"/>
      <c r="I132" s="3024"/>
      <c r="J132" s="3024"/>
      <c r="K132" s="3024"/>
      <c r="L132" s="3024"/>
      <c r="M132" s="3024"/>
      <c r="N132" s="3024"/>
      <c r="O132" s="3024"/>
      <c r="P132" s="3024"/>
    </row>
    <row r="133" spans="1:16" s="325" customFormat="1" ht="13.35" customHeight="1">
      <c r="A133" s="545"/>
      <c r="B133" s="545"/>
      <c r="C133" s="3024"/>
      <c r="D133" s="3024"/>
      <c r="E133" s="3024"/>
      <c r="F133" s="3024"/>
      <c r="G133" s="3024"/>
      <c r="H133" s="3024"/>
      <c r="I133" s="3024"/>
      <c r="J133" s="3024"/>
      <c r="K133" s="3024"/>
      <c r="L133" s="3024"/>
      <c r="M133" s="3024"/>
      <c r="N133" s="3024"/>
      <c r="O133" s="3024"/>
      <c r="P133" s="3024"/>
    </row>
    <row r="134" spans="1:16" s="325" customFormat="1" ht="13.35" customHeight="1">
      <c r="B134" s="545"/>
      <c r="C134" s="1233" t="s">
        <v>2134</v>
      </c>
      <c r="D134" s="1233"/>
      <c r="F134" s="1233" t="s">
        <v>1134</v>
      </c>
      <c r="G134" s="1243"/>
      <c r="H134" s="1243"/>
      <c r="I134" s="1243"/>
      <c r="J134" s="1233" t="s">
        <v>2134</v>
      </c>
      <c r="K134" s="1233"/>
      <c r="M134" s="1233" t="s">
        <v>1134</v>
      </c>
      <c r="N134" s="1243"/>
      <c r="O134" s="1243"/>
      <c r="P134" s="1243"/>
    </row>
    <row r="135" spans="1:16" s="325" customFormat="1" ht="13.35" customHeight="1">
      <c r="A135" s="545"/>
      <c r="B135" s="545"/>
      <c r="C135" s="2999">
        <v>1</v>
      </c>
      <c r="D135" s="3000"/>
      <c r="E135" s="3000"/>
      <c r="F135" s="3001"/>
      <c r="G135" s="3002"/>
      <c r="H135" s="3002"/>
      <c r="I135" s="3025"/>
      <c r="J135" s="2999">
        <v>7</v>
      </c>
      <c r="K135" s="3000"/>
      <c r="L135" s="3000"/>
      <c r="M135" s="3001"/>
      <c r="N135" s="3002"/>
      <c r="O135" s="3002"/>
      <c r="P135" s="3025"/>
    </row>
    <row r="136" spans="1:16" s="325" customFormat="1" ht="13.35" customHeight="1">
      <c r="A136" s="545"/>
      <c r="B136" s="545"/>
      <c r="C136" s="3004">
        <v>2</v>
      </c>
      <c r="D136" s="3005"/>
      <c r="E136" s="3005"/>
      <c r="F136" s="3006"/>
      <c r="G136" s="3007"/>
      <c r="H136" s="3007"/>
      <c r="I136" s="3026"/>
      <c r="J136" s="3004">
        <v>8</v>
      </c>
      <c r="K136" s="3005"/>
      <c r="L136" s="3005"/>
      <c r="M136" s="3006"/>
      <c r="N136" s="3007"/>
      <c r="O136" s="3007"/>
      <c r="P136" s="3026"/>
    </row>
    <row r="137" spans="1:16" s="325" customFormat="1" ht="13.35" customHeight="1">
      <c r="A137" s="545"/>
      <c r="B137" s="545"/>
      <c r="C137" s="3004">
        <v>3</v>
      </c>
      <c r="D137" s="3005"/>
      <c r="E137" s="3005"/>
      <c r="F137" s="3006"/>
      <c r="G137" s="3007"/>
      <c r="H137" s="3007"/>
      <c r="I137" s="3026"/>
      <c r="J137" s="3004">
        <v>9</v>
      </c>
      <c r="K137" s="3005"/>
      <c r="L137" s="3005"/>
      <c r="M137" s="3006"/>
      <c r="N137" s="3007"/>
      <c r="O137" s="3007"/>
      <c r="P137" s="3026"/>
    </row>
    <row r="138" spans="1:16" s="325" customFormat="1" ht="13.35" customHeight="1">
      <c r="A138" s="545"/>
      <c r="B138" s="545"/>
      <c r="C138" s="3004">
        <v>4</v>
      </c>
      <c r="D138" s="3005"/>
      <c r="E138" s="3005"/>
      <c r="F138" s="3006"/>
      <c r="G138" s="3007"/>
      <c r="H138" s="3007"/>
      <c r="I138" s="3026"/>
      <c r="J138" s="3004">
        <v>10</v>
      </c>
      <c r="K138" s="3005"/>
      <c r="L138" s="3005"/>
      <c r="M138" s="3006"/>
      <c r="N138" s="3007"/>
      <c r="O138" s="3007"/>
      <c r="P138" s="3026"/>
    </row>
    <row r="139" spans="1:16" s="325" customFormat="1" ht="13.35" customHeight="1">
      <c r="A139" s="545"/>
      <c r="B139" s="545"/>
      <c r="C139" s="3004">
        <v>5</v>
      </c>
      <c r="D139" s="3005"/>
      <c r="E139" s="3005"/>
      <c r="F139" s="3006"/>
      <c r="G139" s="3007"/>
      <c r="H139" s="3007"/>
      <c r="I139" s="3026"/>
      <c r="J139" s="3004">
        <v>11</v>
      </c>
      <c r="K139" s="3005"/>
      <c r="L139" s="3005"/>
      <c r="M139" s="3006"/>
      <c r="N139" s="3007"/>
      <c r="O139" s="3007"/>
      <c r="P139" s="3026"/>
    </row>
    <row r="140" spans="1:16" s="325" customFormat="1" ht="13.35" customHeight="1">
      <c r="A140" s="545"/>
      <c r="B140" s="545"/>
      <c r="C140" s="3019">
        <v>6</v>
      </c>
      <c r="D140" s="3020"/>
      <c r="E140" s="3020"/>
      <c r="F140" s="3021"/>
      <c r="G140" s="3022"/>
      <c r="H140" s="3022"/>
      <c r="I140" s="3029"/>
      <c r="J140" s="3019">
        <v>12</v>
      </c>
      <c r="K140" s="3020"/>
      <c r="L140" s="3020"/>
      <c r="M140" s="3021"/>
      <c r="N140" s="3022"/>
      <c r="O140" s="3022"/>
      <c r="P140" s="3029"/>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5" customHeight="1" thickBot="1">
      <c r="A143" s="327" t="s">
        <v>364</v>
      </c>
      <c r="B143" s="337" t="s">
        <v>4969</v>
      </c>
      <c r="D143" s="337"/>
      <c r="E143" s="337"/>
      <c r="F143" s="337"/>
      <c r="I143" s="2576" t="s">
        <v>1771</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1982</v>
      </c>
      <c r="C145" s="331" t="s">
        <v>1713</v>
      </c>
      <c r="I145" s="1305"/>
      <c r="M145" s="1243"/>
      <c r="N145" s="1238"/>
      <c r="O145" s="1238"/>
      <c r="P145" s="336"/>
    </row>
    <row r="146" spans="1:16" s="325" customFormat="1" ht="13.35" customHeight="1">
      <c r="A146" s="545"/>
      <c r="B146" s="545"/>
      <c r="C146" s="1233" t="s">
        <v>2419</v>
      </c>
      <c r="D146" s="1233"/>
      <c r="E146" s="1233"/>
      <c r="F146" s="1243"/>
      <c r="I146" s="1316"/>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2420</v>
      </c>
      <c r="D148" s="1233"/>
      <c r="E148" s="2562"/>
      <c r="F148" s="1243"/>
      <c r="I148" s="1316"/>
      <c r="K148" s="302" t="s">
        <v>2244</v>
      </c>
      <c r="O148" s="2894" t="s">
        <v>484</v>
      </c>
      <c r="P148" s="2896"/>
    </row>
    <row r="149" spans="1:16" s="325" customFormat="1" ht="13.35" customHeight="1">
      <c r="A149" s="545"/>
      <c r="B149" s="545"/>
      <c r="C149" s="1233" t="s">
        <v>2418</v>
      </c>
      <c r="F149" s="1243"/>
      <c r="I149" s="1319"/>
      <c r="K149" s="302" t="s">
        <v>2245</v>
      </c>
      <c r="O149" s="2912" t="s">
        <v>484</v>
      </c>
      <c r="P149" s="2902"/>
    </row>
    <row r="150" spans="1:16" s="325" customFormat="1" ht="13.35" customHeight="1">
      <c r="A150" s="545"/>
      <c r="B150" s="545"/>
      <c r="C150" s="1233" t="s">
        <v>2165</v>
      </c>
      <c r="D150" s="1233"/>
      <c r="E150" s="1233"/>
      <c r="F150" s="1243"/>
      <c r="I150" s="3027"/>
      <c r="J150" s="3028"/>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1984</v>
      </c>
      <c r="C152" s="2652" t="s">
        <v>2700</v>
      </c>
      <c r="D152" s="1233"/>
      <c r="E152" s="351" t="s">
        <v>5052</v>
      </c>
      <c r="F152" s="351"/>
      <c r="G152" s="351"/>
      <c r="I152" s="2651"/>
      <c r="K152" s="351" t="s">
        <v>5054</v>
      </c>
      <c r="L152" s="351"/>
      <c r="M152" s="351"/>
      <c r="O152" s="2432"/>
      <c r="P152" s="336"/>
    </row>
    <row r="153" spans="1:16" s="325" customFormat="1" ht="13.35" customHeight="1">
      <c r="A153" s="545"/>
      <c r="C153" s="2562"/>
      <c r="D153" s="2647"/>
      <c r="E153" s="351" t="s">
        <v>5053</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5051</v>
      </c>
      <c r="D155" s="1233"/>
      <c r="E155" s="1233"/>
      <c r="F155" s="1243"/>
      <c r="I155" s="362"/>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1982</v>
      </c>
      <c r="C159" s="343" t="s">
        <v>1821</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c r="N160" s="1238"/>
      <c r="O160" s="1238"/>
      <c r="P160" s="336"/>
    </row>
    <row r="161" spans="1:16" s="325" customFormat="1" ht="12.6" customHeight="1">
      <c r="A161" s="545"/>
      <c r="B161" s="545"/>
      <c r="C161" s="2969" t="s">
        <v>4971</v>
      </c>
      <c r="D161" s="2969"/>
      <c r="E161" s="2969"/>
      <c r="F161" s="2969"/>
      <c r="G161" s="325" t="s">
        <v>4780</v>
      </c>
      <c r="I161" s="1318"/>
      <c r="K161" s="2417" t="s">
        <v>1795</v>
      </c>
      <c r="P161" s="2429">
        <f>IF('Part VI-Revenues &amp; Expenses'!$O$65=0,0,I161/'Part VI-Revenues &amp; Expenses'!$O$65)</f>
        <v>0</v>
      </c>
    </row>
    <row r="162" spans="1:16" s="325" customFormat="1" ht="12.6" customHeight="1">
      <c r="A162" s="545"/>
      <c r="B162" s="545"/>
      <c r="C162" s="2969"/>
      <c r="D162" s="2969"/>
      <c r="E162" s="2969"/>
      <c r="F162" s="2969"/>
      <c r="G162" s="325" t="s">
        <v>4779</v>
      </c>
      <c r="I162" s="1318"/>
      <c r="K162" s="2417" t="s">
        <v>1795</v>
      </c>
      <c r="O162" s="2418"/>
      <c r="P162" s="2430">
        <f>IF('Part VI-Revenues &amp; Expenses'!$O$65=0,0,I162/'Part VI-Revenues &amp; Expenses'!$O$65)</f>
        <v>0</v>
      </c>
    </row>
    <row r="163" spans="1:16" s="325" customFormat="1" ht="12" customHeight="1">
      <c r="A163" s="545"/>
      <c r="B163" s="545"/>
      <c r="C163" s="2417" t="s">
        <v>4781</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894"/>
      <c r="E165" s="2895"/>
      <c r="F165" s="2895"/>
      <c r="G165" s="2895"/>
      <c r="H165" s="2896"/>
      <c r="I165" s="330" t="s">
        <v>4725</v>
      </c>
      <c r="N165" s="2893"/>
      <c r="O165" s="3058"/>
      <c r="P165" s="2892"/>
    </row>
    <row r="166" spans="1:16" s="325" customFormat="1" ht="12.6" customHeight="1">
      <c r="A166" s="545"/>
      <c r="B166" s="545"/>
      <c r="C166" s="330" t="s">
        <v>4726</v>
      </c>
      <c r="D166" s="2943"/>
      <c r="E166" s="2944"/>
      <c r="F166" s="2900"/>
      <c r="G166" s="2944"/>
      <c r="H166" s="2945"/>
      <c r="I166" s="2394" t="s">
        <v>1797</v>
      </c>
      <c r="J166" s="2894"/>
      <c r="K166" s="2895"/>
      <c r="L166" s="2896"/>
      <c r="M166" s="2397" t="s">
        <v>1979</v>
      </c>
      <c r="N166" s="2943"/>
      <c r="O166" s="2944"/>
      <c r="P166" s="2945"/>
    </row>
    <row r="167" spans="1:16" s="325" customFormat="1" ht="12.6" customHeight="1">
      <c r="A167" s="545"/>
      <c r="B167" s="545"/>
      <c r="C167" s="330" t="s">
        <v>618</v>
      </c>
      <c r="D167" s="2943"/>
      <c r="E167" s="2945"/>
      <c r="F167" s="2395" t="s">
        <v>2228</v>
      </c>
      <c r="G167" s="3059"/>
      <c r="H167" s="3060"/>
      <c r="I167" s="365" t="s">
        <v>1802</v>
      </c>
      <c r="J167" s="3055"/>
      <c r="K167" s="3056"/>
      <c r="L167" s="3057"/>
      <c r="M167" s="2396" t="s">
        <v>1978</v>
      </c>
      <c r="N167" s="3055"/>
      <c r="O167" s="3056"/>
      <c r="P167" s="3057"/>
    </row>
    <row r="168" spans="1:16" s="325" customFormat="1" ht="12.6" customHeight="1">
      <c r="A168" s="545"/>
      <c r="B168" s="545"/>
      <c r="C168" s="325" t="s">
        <v>2703</v>
      </c>
      <c r="D168" s="2882"/>
      <c r="E168" s="2883"/>
      <c r="F168" s="2883"/>
      <c r="G168" s="2883"/>
      <c r="H168" s="2885"/>
      <c r="I168" s="365" t="s">
        <v>1800</v>
      </c>
      <c r="J168" s="3054"/>
      <c r="K168" s="3017"/>
      <c r="L168" s="3017"/>
      <c r="M168" s="3017"/>
      <c r="N168" s="3017"/>
      <c r="O168" s="3017"/>
      <c r="P168" s="3018"/>
    </row>
    <row r="169" spans="1:16" s="325" customFormat="1" ht="12" customHeight="1">
      <c r="A169" s="545"/>
      <c r="B169" s="545"/>
      <c r="C169" s="325" t="s">
        <v>4782</v>
      </c>
      <c r="E169" s="367"/>
      <c r="F169" s="367"/>
      <c r="G169" s="367"/>
      <c r="H169" s="1243"/>
      <c r="I169" s="2432"/>
      <c r="J169" s="3061" t="s">
        <v>761</v>
      </c>
      <c r="K169" s="3062"/>
      <c r="L169" s="362"/>
      <c r="M169" s="367"/>
      <c r="N169" s="1243"/>
      <c r="O169" s="367"/>
      <c r="P169" s="367"/>
    </row>
    <row r="170" spans="1:16" s="325" customFormat="1" ht="3" customHeight="1">
      <c r="A170" s="545"/>
      <c r="B170" s="545"/>
    </row>
    <row r="171" spans="1:16" s="325" customFormat="1" ht="12.6" customHeight="1">
      <c r="A171" s="545"/>
      <c r="B171" s="545" t="s">
        <v>1984</v>
      </c>
      <c r="C171" s="299" t="s">
        <v>2701</v>
      </c>
      <c r="D171" s="299"/>
      <c r="E171" s="299"/>
      <c r="F171" s="299"/>
      <c r="G171" s="299"/>
      <c r="I171" s="2598"/>
      <c r="J171" s="3047" t="s">
        <v>761</v>
      </c>
      <c r="K171" s="3048"/>
      <c r="L171" s="2598"/>
      <c r="M171" s="3049" t="s">
        <v>2325</v>
      </c>
      <c r="N171" s="3050"/>
      <c r="O171" s="3051"/>
      <c r="P171" s="2671"/>
    </row>
    <row r="172" spans="1:16" s="325" customFormat="1" ht="12.6" customHeight="1">
      <c r="A172" s="545"/>
      <c r="B172" s="545"/>
      <c r="C172" s="299" t="s">
        <v>2702</v>
      </c>
      <c r="D172" s="299"/>
      <c r="E172" s="299"/>
      <c r="F172" s="299"/>
      <c r="G172" s="299"/>
      <c r="I172" s="2653" t="s">
        <v>2989</v>
      </c>
      <c r="J172" s="3047" t="s">
        <v>761</v>
      </c>
      <c r="K172" s="3048"/>
      <c r="L172" s="2653">
        <v>2041</v>
      </c>
      <c r="M172" s="3049" t="s">
        <v>2325</v>
      </c>
      <c r="N172" s="3050"/>
      <c r="O172" s="3051"/>
      <c r="P172" s="2672">
        <v>5</v>
      </c>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t="s">
        <v>2992</v>
      </c>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2114</v>
      </c>
      <c r="C176" s="3052" t="s">
        <v>1977</v>
      </c>
      <c r="D176" s="3052"/>
      <c r="E176" s="3052"/>
      <c r="F176" s="3052"/>
      <c r="G176" s="299"/>
      <c r="I176" s="334" t="s">
        <v>2992</v>
      </c>
      <c r="J176" s="369" t="s">
        <v>2752</v>
      </c>
      <c r="L176" s="3053" t="s">
        <v>3701</v>
      </c>
      <c r="M176" s="3053"/>
      <c r="N176" s="299"/>
      <c r="O176" s="299"/>
      <c r="P176" s="1286"/>
    </row>
    <row r="177" spans="1:16" s="325" customFormat="1" ht="12.6" customHeight="1">
      <c r="B177" s="545"/>
      <c r="L177" s="2954" t="s">
        <v>797</v>
      </c>
      <c r="M177" s="2954"/>
      <c r="N177" s="1229"/>
      <c r="O177" s="1229"/>
      <c r="P177" s="1287"/>
    </row>
    <row r="178" spans="1:16" s="325" customFormat="1" ht="12.6" customHeight="1">
      <c r="A178" s="545"/>
      <c r="B178" s="545"/>
      <c r="L178" s="2954" t="s">
        <v>1791</v>
      </c>
      <c r="M178" s="2954"/>
      <c r="N178" s="1229"/>
      <c r="O178" s="1229"/>
      <c r="P178" s="368" t="str">
        <f>IF(P176="","",P177/P176)</f>
        <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2211</v>
      </c>
      <c r="D180" s="337"/>
      <c r="E180" s="1238"/>
      <c r="F180" s="1238"/>
      <c r="I180" s="1317" t="s">
        <v>2992</v>
      </c>
      <c r="L180" s="1238" t="s">
        <v>1610</v>
      </c>
      <c r="M180" s="1238"/>
      <c r="N180" s="1238"/>
      <c r="P180" s="1317" t="s">
        <v>2992</v>
      </c>
    </row>
    <row r="181" spans="1:16" s="325" customFormat="1" ht="12.6" customHeight="1">
      <c r="A181" s="545"/>
      <c r="B181" s="545"/>
      <c r="C181" s="1238" t="s">
        <v>2212</v>
      </c>
      <c r="I181" s="1319" t="s">
        <v>2992</v>
      </c>
      <c r="L181" s="1238" t="s">
        <v>2845</v>
      </c>
      <c r="M181" s="1238"/>
      <c r="N181" s="1238"/>
      <c r="P181" s="1319" t="s">
        <v>2992</v>
      </c>
    </row>
    <row r="182" spans="1:16" s="325" customFormat="1" ht="12.6" customHeight="1">
      <c r="A182" s="545"/>
      <c r="C182" s="1238" t="s">
        <v>2721</v>
      </c>
      <c r="I182" s="1319" t="s">
        <v>2992</v>
      </c>
      <c r="L182" s="1238" t="s">
        <v>2689</v>
      </c>
      <c r="N182" s="3030"/>
      <c r="O182" s="3031"/>
      <c r="P182" s="1319" t="s">
        <v>2992</v>
      </c>
    </row>
    <row r="183" spans="1:16" s="325" customFormat="1" ht="12.6" customHeight="1">
      <c r="A183" s="545"/>
      <c r="B183" s="545"/>
      <c r="C183" s="1238" t="s">
        <v>1285</v>
      </c>
      <c r="D183" s="370"/>
      <c r="I183" s="1319" t="s">
        <v>2992</v>
      </c>
      <c r="K183" s="337"/>
      <c r="L183" s="1238" t="s">
        <v>3481</v>
      </c>
      <c r="M183" s="1238"/>
      <c r="N183" s="1238"/>
      <c r="P183" s="1319" t="s">
        <v>2992</v>
      </c>
    </row>
    <row r="184" spans="1:16" s="325" customFormat="1" ht="12.6" customHeight="1">
      <c r="A184" s="545"/>
      <c r="B184" s="327"/>
      <c r="C184" s="1238" t="s">
        <v>1807</v>
      </c>
      <c r="I184" s="1319" t="s">
        <v>2992</v>
      </c>
      <c r="J184" s="369" t="s">
        <v>2753</v>
      </c>
      <c r="O184" s="3032"/>
      <c r="P184" s="3033"/>
    </row>
    <row r="185" spans="1:16" s="325" customFormat="1" ht="12.6" customHeight="1">
      <c r="A185" s="545"/>
      <c r="B185" s="545"/>
      <c r="C185" s="1238" t="s">
        <v>2902</v>
      </c>
      <c r="I185" s="1320" t="s">
        <v>2992</v>
      </c>
      <c r="J185" s="369" t="s">
        <v>2753</v>
      </c>
      <c r="O185" s="3034"/>
      <c r="P185" s="3035"/>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86"/>
      <c r="I188" s="2987"/>
      <c r="N188" s="1238"/>
      <c r="O188" s="1238"/>
      <c r="P188" s="336"/>
    </row>
    <row r="189" spans="1:16" s="325" customFormat="1" ht="12.6" customHeight="1">
      <c r="A189" s="545"/>
      <c r="B189" s="545"/>
      <c r="C189" s="330" t="s">
        <v>276</v>
      </c>
      <c r="D189" s="1233"/>
      <c r="E189" s="1233"/>
      <c r="F189" s="1243"/>
      <c r="G189" s="1243"/>
      <c r="H189" s="3042"/>
      <c r="I189" s="3043"/>
      <c r="N189" s="1238"/>
      <c r="O189" s="1238"/>
      <c r="P189" s="336"/>
    </row>
    <row r="190" spans="1:16" s="325" customFormat="1" ht="12.6" customHeight="1">
      <c r="A190" s="545"/>
      <c r="B190" s="545"/>
      <c r="C190" s="330" t="s">
        <v>2294</v>
      </c>
      <c r="D190" s="1233"/>
      <c r="E190" s="1233"/>
      <c r="F190" s="1243"/>
      <c r="G190" s="1243"/>
      <c r="H190" s="3044">
        <v>44515</v>
      </c>
      <c r="I190" s="3045"/>
      <c r="N190" s="1238"/>
      <c r="O190" s="1238"/>
      <c r="P190" s="336"/>
    </row>
    <row r="191" spans="1:16" s="325" customFormat="1" ht="2.25" customHeight="1">
      <c r="B191" s="327"/>
      <c r="C191" s="1238"/>
      <c r="H191" s="1238"/>
      <c r="L191" s="346"/>
      <c r="M191" s="346"/>
      <c r="N191" s="346"/>
      <c r="O191" s="346"/>
      <c r="P191" s="332"/>
    </row>
    <row r="192" spans="1:16" ht="12" customHeight="1">
      <c r="A192" s="356" t="s">
        <v>2781</v>
      </c>
      <c r="C192" s="356" t="s">
        <v>572</v>
      </c>
      <c r="M192" s="356" t="s">
        <v>2250</v>
      </c>
      <c r="N192" s="356" t="s">
        <v>79</v>
      </c>
    </row>
    <row r="193" spans="1:44" ht="409.5" customHeight="1">
      <c r="A193" s="3036" t="s">
        <v>5236</v>
      </c>
      <c r="B193" s="3037"/>
      <c r="C193" s="3037"/>
      <c r="D193" s="3037"/>
      <c r="E193" s="3037"/>
      <c r="F193" s="3037"/>
      <c r="G193" s="3037"/>
      <c r="H193" s="3037"/>
      <c r="I193" s="3037"/>
      <c r="J193" s="3037"/>
      <c r="K193" s="3037"/>
      <c r="L193" s="3038"/>
      <c r="M193" s="3039"/>
      <c r="N193" s="3040"/>
      <c r="O193" s="3040"/>
      <c r="P193" s="3041"/>
      <c r="Q193" s="2881" t="s">
        <v>2692</v>
      </c>
      <c r="R193" s="2881"/>
      <c r="S193" s="2881"/>
      <c r="T193" s="2881"/>
      <c r="U193" s="2881"/>
    </row>
    <row r="194" spans="1:44" ht="12" customHeight="1">
      <c r="Q194" s="2881"/>
      <c r="R194" s="2881"/>
      <c r="S194" s="2881"/>
      <c r="T194" s="2881"/>
      <c r="U194" s="2881"/>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2884</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2885</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2886</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2887</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2888</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2889</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2890</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2891</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2892</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3871</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2560</v>
      </c>
      <c r="S621" s="592" t="s">
        <v>628</v>
      </c>
      <c r="T621" s="593" t="s">
        <v>2140</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2561</v>
      </c>
      <c r="S622" s="592" t="s">
        <v>319</v>
      </c>
      <c r="T622" s="593" t="s">
        <v>2140</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2562</v>
      </c>
      <c r="S623" s="592" t="s">
        <v>2482</v>
      </c>
      <c r="T623" s="593" t="s">
        <v>2140</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2563</v>
      </c>
      <c r="S624" s="592"/>
      <c r="T624" s="593" t="s">
        <v>2140</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2564</v>
      </c>
      <c r="S625" s="592" t="s">
        <v>2006</v>
      </c>
      <c r="T625" s="593" t="s">
        <v>2140</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2565</v>
      </c>
      <c r="S626" s="592" t="s">
        <v>2482</v>
      </c>
      <c r="T626" s="593" t="s">
        <v>2140</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2566</v>
      </c>
      <c r="S627" s="592" t="s">
        <v>1327</v>
      </c>
      <c r="T627" s="593" t="s">
        <v>2140</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2567</v>
      </c>
      <c r="S628" s="592" t="s">
        <v>2008</v>
      </c>
      <c r="T628" s="593" t="s">
        <v>2140</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2568</v>
      </c>
      <c r="S629" s="592" t="s">
        <v>666</v>
      </c>
      <c r="T629" s="593" t="s">
        <v>2140</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2569</v>
      </c>
      <c r="S630" s="592" t="s">
        <v>628</v>
      </c>
      <c r="T630" s="593" t="s">
        <v>2140</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2570</v>
      </c>
      <c r="S631" s="592" t="s">
        <v>2171</v>
      </c>
      <c r="T631" s="593" t="s">
        <v>2140</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2571</v>
      </c>
      <c r="S632" s="592" t="s">
        <v>2530</v>
      </c>
      <c r="T632" s="593" t="s">
        <v>2140</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2243</v>
      </c>
      <c r="S633" s="592" t="s">
        <v>2527</v>
      </c>
      <c r="T633" s="593" t="s">
        <v>2140</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2572</v>
      </c>
      <c r="S634" s="592" t="s">
        <v>2171</v>
      </c>
      <c r="T634" s="593" t="s">
        <v>2140</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2573</v>
      </c>
      <c r="S635" s="592" t="s">
        <v>2485</v>
      </c>
      <c r="T635" s="593" t="s">
        <v>2140</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2574</v>
      </c>
      <c r="S636" s="592" t="s">
        <v>2006</v>
      </c>
      <c r="T636" s="593" t="s">
        <v>2140</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2140</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2140</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2140</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1910</v>
      </c>
      <c r="T640" s="593" t="s">
        <v>2140</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2004</v>
      </c>
      <c r="T641" s="593" t="s">
        <v>2140</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2140</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2140</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2482</v>
      </c>
      <c r="T644" s="593" t="s">
        <v>2140</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2140</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2140</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2140</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2140</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2004</v>
      </c>
      <c r="T649" s="593" t="s">
        <v>2140</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2140</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2485</v>
      </c>
      <c r="T651" s="593" t="s">
        <v>2140</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2527</v>
      </c>
      <c r="T652" s="593" t="s">
        <v>2140</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2140</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2140</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2140</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2284</v>
      </c>
      <c r="S656" s="592" t="s">
        <v>1206</v>
      </c>
      <c r="T656" s="593" t="s">
        <v>2140</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2140</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2140</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2140</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2140</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2140</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2140</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2140</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2140</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2140</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2140</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2140</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2140</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2140</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2140</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2140</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2140</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1910</v>
      </c>
      <c r="T673" s="593" t="s">
        <v>2140</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2004</v>
      </c>
      <c r="T674" s="593" t="s">
        <v>2140</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2140</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2140</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2485</v>
      </c>
      <c r="T677" s="593" t="s">
        <v>2140</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2140</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2140</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formula1>1000000000</formula1>
      <formula2>9999999999</formula2>
    </dataValidation>
    <dataValidation type="list" allowBlank="1" showInputMessage="1" showErrorMessage="1" sqref="P180:P183 H103 I176 H179 D50 I169 I149 I172 D160 I160 I171 H100:H101 I174 I180:I185 P100:P101 I152:I155 O152 O154:O15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5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3">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Assumptions'!$F$158:$F$208</xm:f>
          </x14:formula1>
          <xm:sqref>J28 J22</xm:sqref>
        </x14:dataValidation>
        <x14:dataValidation type="list" allowBlank="1" showInputMessage="1" showErrorMessage="1">
          <x14:formula1>
            <xm:f>'DCA Underwriting Assumptions'!$P$158:$P$699</xm:f>
          </x14:formula1>
          <xm:sqref>E109:L109</xm:sqref>
        </x14:dataValidation>
        <x14:dataValidation type="list" allowBlank="1" showInputMessage="1" showErrorMessage="1">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09" t="str">
        <f>Overview!C8</f>
        <v>55 Milton</v>
      </c>
      <c r="C1" s="4209"/>
      <c r="D1" s="4209"/>
      <c r="E1" s="4209"/>
      <c r="F1" s="4209"/>
      <c r="G1" s="4209"/>
      <c r="H1" s="1613"/>
    </row>
    <row r="2" spans="1:8" ht="21.95" customHeight="1">
      <c r="A2" s="2186"/>
      <c r="B2" s="2186"/>
      <c r="C2" s="2186"/>
      <c r="D2" s="2186"/>
      <c r="E2" s="2186"/>
      <c r="F2" s="2186"/>
      <c r="G2" s="2186"/>
      <c r="H2" s="2186"/>
    </row>
    <row r="3" spans="1:8" ht="20.25" customHeight="1">
      <c r="C3" s="4208" t="s">
        <v>3076</v>
      </c>
      <c r="D3" s="4208"/>
      <c r="E3" s="4208"/>
      <c r="F3" s="4208"/>
    </row>
    <row r="5" spans="1:8" ht="15.75">
      <c r="D5" s="1571"/>
      <c r="E5" s="1571" t="s">
        <v>3077</v>
      </c>
    </row>
    <row r="6" spans="1:8" ht="15.75">
      <c r="D6" s="1614" t="s">
        <v>2479</v>
      </c>
      <c r="E6" s="1614" t="s">
        <v>3078</v>
      </c>
    </row>
    <row r="7" spans="1:8" ht="15">
      <c r="D7" s="1572"/>
      <c r="E7" s="1572"/>
    </row>
    <row r="8" spans="1:8" ht="21" customHeight="1">
      <c r="D8" s="1573">
        <v>1</v>
      </c>
      <c r="E8" s="1574">
        <f>-'Part VII-Pro Forma'!B25/12</f>
        <v>45725.138101394055</v>
      </c>
    </row>
    <row r="9" spans="1:8" ht="21" customHeight="1">
      <c r="D9" s="1573">
        <v>2</v>
      </c>
      <c r="E9" s="1574">
        <f>-'Part VII-Pro Forma'!C25/12</f>
        <v>45725.138101394055</v>
      </c>
    </row>
    <row r="10" spans="1:8" ht="21" customHeight="1">
      <c r="D10" s="1573">
        <v>3</v>
      </c>
      <c r="E10" s="1574">
        <f>-'Part VII-Pro Forma'!D25/12</f>
        <v>45725.138101394055</v>
      </c>
    </row>
    <row r="11" spans="1:8" ht="21" customHeight="1">
      <c r="D11" s="1575">
        <v>4</v>
      </c>
      <c r="E11" s="1574">
        <f>-'Part VII-Pro Forma'!E25/12</f>
        <v>45725.138101394055</v>
      </c>
    </row>
    <row r="12" spans="1:8" ht="21" customHeight="1">
      <c r="D12" s="1575">
        <v>5</v>
      </c>
      <c r="E12" s="1574">
        <f>-'Part VII-Pro Forma'!F25/12</f>
        <v>45725.138101394055</v>
      </c>
    </row>
    <row r="13" spans="1:8" ht="21" customHeight="1">
      <c r="D13" s="1573">
        <v>6</v>
      </c>
      <c r="E13" s="1574">
        <f>-'Part VII-Pro Forma'!G25/12</f>
        <v>45725.138101394055</v>
      </c>
    </row>
    <row r="14" spans="1:8" ht="21" customHeight="1">
      <c r="D14" s="1573">
        <v>7</v>
      </c>
      <c r="E14" s="1574">
        <f>-'Part VII-Pro Forma'!H25/12</f>
        <v>45725.138101394055</v>
      </c>
    </row>
    <row r="15" spans="1:8" ht="21" customHeight="1">
      <c r="D15" s="1575">
        <v>8</v>
      </c>
      <c r="E15" s="1574">
        <f>-'Part VII-Pro Forma'!I25/12</f>
        <v>45725.138101394055</v>
      </c>
    </row>
    <row r="16" spans="1:8" ht="21" customHeight="1">
      <c r="D16" s="1573">
        <v>9</v>
      </c>
      <c r="E16" s="1574">
        <f>-'Part VII-Pro Forma'!J25/12</f>
        <v>45725.138101394055</v>
      </c>
    </row>
    <row r="17" spans="4:8" ht="21" customHeight="1">
      <c r="D17" s="1573">
        <v>10</v>
      </c>
      <c r="E17" s="1574">
        <f>-'Part VII-Pro Forma'!K25/12</f>
        <v>45725.138101394055</v>
      </c>
    </row>
    <row r="18" spans="4:8" ht="21" customHeight="1">
      <c r="D18" s="1575">
        <v>11</v>
      </c>
      <c r="E18" s="1574">
        <f>-'Part VII-Pro Forma'!B57/12</f>
        <v>45725.138101394055</v>
      </c>
    </row>
    <row r="19" spans="4:8" ht="21" customHeight="1">
      <c r="D19" s="1573">
        <v>12</v>
      </c>
      <c r="E19" s="1574">
        <f>-'Part VII-Pro Forma'!C57/12</f>
        <v>45725.138101394055</v>
      </c>
    </row>
    <row r="20" spans="4:8" ht="21" customHeight="1">
      <c r="D20" s="1573">
        <v>13</v>
      </c>
      <c r="E20" s="1574">
        <f>-'Part VII-Pro Forma'!D57/12</f>
        <v>45725.138101394055</v>
      </c>
    </row>
    <row r="21" spans="4:8" ht="21" customHeight="1">
      <c r="D21" s="1573">
        <v>14</v>
      </c>
      <c r="E21" s="1574">
        <f>-'Part VII-Pro Forma'!E57/12</f>
        <v>45725.138101394055</v>
      </c>
    </row>
    <row r="22" spans="4:8" ht="21" customHeight="1">
      <c r="D22" s="1573">
        <v>15</v>
      </c>
      <c r="E22" s="1574">
        <f>-'Part VII-Pro Forma'!F57/12</f>
        <v>45725.138101394055</v>
      </c>
    </row>
    <row r="23" spans="4:8" ht="21" customHeight="1">
      <c r="D23" s="1573">
        <v>16</v>
      </c>
      <c r="E23" s="1574">
        <f>-'Part VII-Pro Forma'!G57/12</f>
        <v>45725.138101394055</v>
      </c>
    </row>
    <row r="24" spans="4:8" ht="21" customHeight="1">
      <c r="D24" s="1573">
        <v>17</v>
      </c>
      <c r="E24" s="1574">
        <f>-'Part VII-Pro Forma'!H57/12</f>
        <v>45725.138101394055</v>
      </c>
      <c r="H24" s="636" t="s">
        <v>243</v>
      </c>
    </row>
    <row r="25" spans="4:8" ht="21" customHeight="1">
      <c r="D25" s="1573">
        <v>18</v>
      </c>
      <c r="E25" s="1574">
        <f>-'Part VII-Pro Forma'!I57/12</f>
        <v>45725.138101394055</v>
      </c>
    </row>
    <row r="26" spans="4:8" ht="21" customHeight="1">
      <c r="D26" s="1573">
        <v>19</v>
      </c>
      <c r="E26" s="1574">
        <f>-'Part VII-Pro Forma'!J57/12</f>
        <v>45725.138101394055</v>
      </c>
    </row>
    <row r="27" spans="4:8" ht="21" customHeight="1">
      <c r="D27" s="1573">
        <v>20</v>
      </c>
      <c r="E27" s="1574">
        <f>-'Part VII-Pro Forma'!K57/12</f>
        <v>45725.138101394055</v>
      </c>
    </row>
    <row r="28" spans="4:8" ht="21" customHeight="1">
      <c r="D28" s="1573">
        <v>21</v>
      </c>
      <c r="E28" s="1574">
        <f>-'Part VII-Pro Forma'!B89/12</f>
        <v>45725.138101394055</v>
      </c>
    </row>
    <row r="29" spans="4:8" ht="21" customHeight="1">
      <c r="D29" s="1573">
        <v>22</v>
      </c>
      <c r="E29" s="1574">
        <f>-'Part VII-Pro Forma'!C89/12</f>
        <v>45725.138101394055</v>
      </c>
    </row>
    <row r="30" spans="4:8" ht="21" customHeight="1">
      <c r="D30" s="1573">
        <v>23</v>
      </c>
      <c r="E30" s="1574">
        <f>-'Part VII-Pro Forma'!D89/12</f>
        <v>45725.138101394055</v>
      </c>
    </row>
    <row r="31" spans="4:8" ht="21" customHeight="1">
      <c r="D31" s="1573">
        <v>24</v>
      </c>
      <c r="E31" s="1574">
        <f>-'Part VII-Pro Forma'!E89/12</f>
        <v>45725.138101394055</v>
      </c>
    </row>
    <row r="32" spans="4:8" ht="21" customHeight="1">
      <c r="D32" s="1573">
        <v>25</v>
      </c>
      <c r="E32" s="1574">
        <f>-'Part VII-Pro Forma'!F89/12</f>
        <v>45725.138101394055</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64" customWidth="1"/>
    <col min="2" max="2" width="10.140625" style="864" customWidth="1"/>
    <col min="3" max="3" width="11.85546875" style="864" customWidth="1"/>
    <col min="4" max="4" width="8.5703125" style="864" customWidth="1"/>
    <col min="5" max="5" width="13.85546875" style="864" customWidth="1"/>
    <col min="6" max="6" width="2.85546875" style="864" customWidth="1"/>
    <col min="7" max="7" width="11.85546875" style="864" customWidth="1"/>
    <col min="8" max="8" width="8.5703125" style="864" customWidth="1"/>
    <col min="9" max="9" width="13.85546875" style="864" customWidth="1"/>
    <col min="10" max="10" width="4.85546875" style="864" customWidth="1"/>
    <col min="11" max="11" width="25.85546875" style="864" customWidth="1"/>
    <col min="12" max="256" width="8.85546875" style="864"/>
    <col min="257" max="257" width="11.5703125" style="864" bestFit="1" customWidth="1"/>
    <col min="258" max="258" width="12.5703125" style="864" customWidth="1"/>
    <col min="259" max="259" width="10.140625" style="864" customWidth="1"/>
    <col min="260" max="260" width="14.85546875" style="864" customWidth="1"/>
    <col min="261" max="261" width="13.140625" style="864" bestFit="1" customWidth="1"/>
    <col min="262" max="262" width="4.85546875" style="864" customWidth="1"/>
    <col min="263" max="263" width="11.85546875" style="864" customWidth="1"/>
    <col min="264" max="264" width="12" style="864" customWidth="1"/>
    <col min="265" max="265" width="9.85546875" style="864" customWidth="1"/>
    <col min="266" max="266" width="13.85546875" style="864" bestFit="1" customWidth="1"/>
    <col min="267" max="512" width="8.85546875" style="864"/>
    <col min="513" max="513" width="11.5703125" style="864" bestFit="1" customWidth="1"/>
    <col min="514" max="514" width="12.5703125" style="864" customWidth="1"/>
    <col min="515" max="515" width="10.140625" style="864" customWidth="1"/>
    <col min="516" max="516" width="14.85546875" style="864" customWidth="1"/>
    <col min="517" max="517" width="13.140625" style="864" bestFit="1" customWidth="1"/>
    <col min="518" max="518" width="4.85546875" style="864" customWidth="1"/>
    <col min="519" max="519" width="11.85546875" style="864" customWidth="1"/>
    <col min="520" max="520" width="12" style="864" customWidth="1"/>
    <col min="521" max="521" width="9.85546875" style="864" customWidth="1"/>
    <col min="522" max="522" width="13.85546875" style="864" bestFit="1" customWidth="1"/>
    <col min="523" max="768" width="8.85546875" style="864"/>
    <col min="769" max="769" width="11.5703125" style="864" bestFit="1" customWidth="1"/>
    <col min="770" max="770" width="12.5703125" style="864" customWidth="1"/>
    <col min="771" max="771" width="10.140625" style="864" customWidth="1"/>
    <col min="772" max="772" width="14.85546875" style="864" customWidth="1"/>
    <col min="773" max="773" width="13.140625" style="864" bestFit="1" customWidth="1"/>
    <col min="774" max="774" width="4.85546875" style="864" customWidth="1"/>
    <col min="775" max="775" width="11.85546875" style="864" customWidth="1"/>
    <col min="776" max="776" width="12" style="864" customWidth="1"/>
    <col min="777" max="777" width="9.85546875" style="864" customWidth="1"/>
    <col min="778" max="778" width="13.85546875" style="864" bestFit="1" customWidth="1"/>
    <col min="779" max="1024" width="8.85546875" style="864"/>
    <col min="1025" max="1025" width="11.5703125" style="864" bestFit="1" customWidth="1"/>
    <col min="1026" max="1026" width="12.5703125" style="864" customWidth="1"/>
    <col min="1027" max="1027" width="10.140625" style="864" customWidth="1"/>
    <col min="1028" max="1028" width="14.85546875" style="864" customWidth="1"/>
    <col min="1029" max="1029" width="13.140625" style="864" bestFit="1" customWidth="1"/>
    <col min="1030" max="1030" width="4.85546875" style="864" customWidth="1"/>
    <col min="1031" max="1031" width="11.85546875" style="864" customWidth="1"/>
    <col min="1032" max="1032" width="12" style="864" customWidth="1"/>
    <col min="1033" max="1033" width="9.85546875" style="864" customWidth="1"/>
    <col min="1034" max="1034" width="13.85546875" style="864" bestFit="1" customWidth="1"/>
    <col min="1035" max="1280" width="8.85546875" style="864"/>
    <col min="1281" max="1281" width="11.5703125" style="864" bestFit="1" customWidth="1"/>
    <col min="1282" max="1282" width="12.5703125" style="864" customWidth="1"/>
    <col min="1283" max="1283" width="10.140625" style="864" customWidth="1"/>
    <col min="1284" max="1284" width="14.85546875" style="864" customWidth="1"/>
    <col min="1285" max="1285" width="13.140625" style="864" bestFit="1" customWidth="1"/>
    <col min="1286" max="1286" width="4.85546875" style="864" customWidth="1"/>
    <col min="1287" max="1287" width="11.85546875" style="864" customWidth="1"/>
    <col min="1288" max="1288" width="12" style="864" customWidth="1"/>
    <col min="1289" max="1289" width="9.85546875" style="864" customWidth="1"/>
    <col min="1290" max="1290" width="13.85546875" style="864" bestFit="1" customWidth="1"/>
    <col min="1291" max="1536" width="8.85546875" style="864"/>
    <col min="1537" max="1537" width="11.5703125" style="864" bestFit="1" customWidth="1"/>
    <col min="1538" max="1538" width="12.5703125" style="864" customWidth="1"/>
    <col min="1539" max="1539" width="10.140625" style="864" customWidth="1"/>
    <col min="1540" max="1540" width="14.85546875" style="864" customWidth="1"/>
    <col min="1541" max="1541" width="13.140625" style="864" bestFit="1" customWidth="1"/>
    <col min="1542" max="1542" width="4.85546875" style="864" customWidth="1"/>
    <col min="1543" max="1543" width="11.85546875" style="864" customWidth="1"/>
    <col min="1544" max="1544" width="12" style="864" customWidth="1"/>
    <col min="1545" max="1545" width="9.85546875" style="864" customWidth="1"/>
    <col min="1546" max="1546" width="13.85546875" style="864" bestFit="1" customWidth="1"/>
    <col min="1547" max="1792" width="8.85546875" style="864"/>
    <col min="1793" max="1793" width="11.5703125" style="864" bestFit="1" customWidth="1"/>
    <col min="1794" max="1794" width="12.5703125" style="864" customWidth="1"/>
    <col min="1795" max="1795" width="10.140625" style="864" customWidth="1"/>
    <col min="1796" max="1796" width="14.85546875" style="864" customWidth="1"/>
    <col min="1797" max="1797" width="13.140625" style="864" bestFit="1" customWidth="1"/>
    <col min="1798" max="1798" width="4.85546875" style="864" customWidth="1"/>
    <col min="1799" max="1799" width="11.85546875" style="864" customWidth="1"/>
    <col min="1800" max="1800" width="12" style="864" customWidth="1"/>
    <col min="1801" max="1801" width="9.85546875" style="864" customWidth="1"/>
    <col min="1802" max="1802" width="13.85546875" style="864" bestFit="1" customWidth="1"/>
    <col min="1803" max="2048" width="8.85546875" style="864"/>
    <col min="2049" max="2049" width="11.5703125" style="864" bestFit="1" customWidth="1"/>
    <col min="2050" max="2050" width="12.5703125" style="864" customWidth="1"/>
    <col min="2051" max="2051" width="10.140625" style="864" customWidth="1"/>
    <col min="2052" max="2052" width="14.85546875" style="864" customWidth="1"/>
    <col min="2053" max="2053" width="13.140625" style="864" bestFit="1" customWidth="1"/>
    <col min="2054" max="2054" width="4.85546875" style="864" customWidth="1"/>
    <col min="2055" max="2055" width="11.85546875" style="864" customWidth="1"/>
    <col min="2056" max="2056" width="12" style="864" customWidth="1"/>
    <col min="2057" max="2057" width="9.85546875" style="864" customWidth="1"/>
    <col min="2058" max="2058" width="13.85546875" style="864" bestFit="1" customWidth="1"/>
    <col min="2059" max="2304" width="8.85546875" style="864"/>
    <col min="2305" max="2305" width="11.5703125" style="864" bestFit="1" customWidth="1"/>
    <col min="2306" max="2306" width="12.5703125" style="864" customWidth="1"/>
    <col min="2307" max="2307" width="10.140625" style="864" customWidth="1"/>
    <col min="2308" max="2308" width="14.85546875" style="864" customWidth="1"/>
    <col min="2309" max="2309" width="13.140625" style="864" bestFit="1" customWidth="1"/>
    <col min="2310" max="2310" width="4.85546875" style="864" customWidth="1"/>
    <col min="2311" max="2311" width="11.85546875" style="864" customWidth="1"/>
    <col min="2312" max="2312" width="12" style="864" customWidth="1"/>
    <col min="2313" max="2313" width="9.85546875" style="864" customWidth="1"/>
    <col min="2314" max="2314" width="13.85546875" style="864" bestFit="1" customWidth="1"/>
    <col min="2315" max="2560" width="8.85546875" style="864"/>
    <col min="2561" max="2561" width="11.5703125" style="864" bestFit="1" customWidth="1"/>
    <col min="2562" max="2562" width="12.5703125" style="864" customWidth="1"/>
    <col min="2563" max="2563" width="10.140625" style="864" customWidth="1"/>
    <col min="2564" max="2564" width="14.85546875" style="864" customWidth="1"/>
    <col min="2565" max="2565" width="13.140625" style="864" bestFit="1" customWidth="1"/>
    <col min="2566" max="2566" width="4.85546875" style="864" customWidth="1"/>
    <col min="2567" max="2567" width="11.85546875" style="864" customWidth="1"/>
    <col min="2568" max="2568" width="12" style="864" customWidth="1"/>
    <col min="2569" max="2569" width="9.85546875" style="864" customWidth="1"/>
    <col min="2570" max="2570" width="13.85546875" style="864" bestFit="1" customWidth="1"/>
    <col min="2571" max="2816" width="8.85546875" style="864"/>
    <col min="2817" max="2817" width="11.5703125" style="864" bestFit="1" customWidth="1"/>
    <col min="2818" max="2818" width="12.5703125" style="864" customWidth="1"/>
    <col min="2819" max="2819" width="10.140625" style="864" customWidth="1"/>
    <col min="2820" max="2820" width="14.85546875" style="864" customWidth="1"/>
    <col min="2821" max="2821" width="13.140625" style="864" bestFit="1" customWidth="1"/>
    <col min="2822" max="2822" width="4.85546875" style="864" customWidth="1"/>
    <col min="2823" max="2823" width="11.85546875" style="864" customWidth="1"/>
    <col min="2824" max="2824" width="12" style="864" customWidth="1"/>
    <col min="2825" max="2825" width="9.85546875" style="864" customWidth="1"/>
    <col min="2826" max="2826" width="13.85546875" style="864" bestFit="1" customWidth="1"/>
    <col min="2827" max="3072" width="8.85546875" style="864"/>
    <col min="3073" max="3073" width="11.5703125" style="864" bestFit="1" customWidth="1"/>
    <col min="3074" max="3074" width="12.5703125" style="864" customWidth="1"/>
    <col min="3075" max="3075" width="10.140625" style="864" customWidth="1"/>
    <col min="3076" max="3076" width="14.85546875" style="864" customWidth="1"/>
    <col min="3077" max="3077" width="13.140625" style="864" bestFit="1" customWidth="1"/>
    <col min="3078" max="3078" width="4.85546875" style="864" customWidth="1"/>
    <col min="3079" max="3079" width="11.85546875" style="864" customWidth="1"/>
    <col min="3080" max="3080" width="12" style="864" customWidth="1"/>
    <col min="3081" max="3081" width="9.85546875" style="864" customWidth="1"/>
    <col min="3082" max="3082" width="13.85546875" style="864" bestFit="1" customWidth="1"/>
    <col min="3083" max="3328" width="8.85546875" style="864"/>
    <col min="3329" max="3329" width="11.5703125" style="864" bestFit="1" customWidth="1"/>
    <col min="3330" max="3330" width="12.5703125" style="864" customWidth="1"/>
    <col min="3331" max="3331" width="10.140625" style="864" customWidth="1"/>
    <col min="3332" max="3332" width="14.85546875" style="864" customWidth="1"/>
    <col min="3333" max="3333" width="13.140625" style="864" bestFit="1" customWidth="1"/>
    <col min="3334" max="3334" width="4.85546875" style="864" customWidth="1"/>
    <col min="3335" max="3335" width="11.85546875" style="864" customWidth="1"/>
    <col min="3336" max="3336" width="12" style="864" customWidth="1"/>
    <col min="3337" max="3337" width="9.85546875" style="864" customWidth="1"/>
    <col min="3338" max="3338" width="13.85546875" style="864" bestFit="1" customWidth="1"/>
    <col min="3339" max="3584" width="8.85546875" style="864"/>
    <col min="3585" max="3585" width="11.5703125" style="864" bestFit="1" customWidth="1"/>
    <col min="3586" max="3586" width="12.5703125" style="864" customWidth="1"/>
    <col min="3587" max="3587" width="10.140625" style="864" customWidth="1"/>
    <col min="3588" max="3588" width="14.85546875" style="864" customWidth="1"/>
    <col min="3589" max="3589" width="13.140625" style="864" bestFit="1" customWidth="1"/>
    <col min="3590" max="3590" width="4.85546875" style="864" customWidth="1"/>
    <col min="3591" max="3591" width="11.85546875" style="864" customWidth="1"/>
    <col min="3592" max="3592" width="12" style="864" customWidth="1"/>
    <col min="3593" max="3593" width="9.85546875" style="864" customWidth="1"/>
    <col min="3594" max="3594" width="13.85546875" style="864" bestFit="1" customWidth="1"/>
    <col min="3595" max="3840" width="8.85546875" style="864"/>
    <col min="3841" max="3841" width="11.5703125" style="864" bestFit="1" customWidth="1"/>
    <col min="3842" max="3842" width="12.5703125" style="864" customWidth="1"/>
    <col min="3843" max="3843" width="10.140625" style="864" customWidth="1"/>
    <col min="3844" max="3844" width="14.85546875" style="864" customWidth="1"/>
    <col min="3845" max="3845" width="13.140625" style="864" bestFit="1" customWidth="1"/>
    <col min="3846" max="3846" width="4.85546875" style="864" customWidth="1"/>
    <col min="3847" max="3847" width="11.85546875" style="864" customWidth="1"/>
    <col min="3848" max="3848" width="12" style="864" customWidth="1"/>
    <col min="3849" max="3849" width="9.85546875" style="864" customWidth="1"/>
    <col min="3850" max="3850" width="13.85546875" style="864" bestFit="1" customWidth="1"/>
    <col min="3851" max="4096" width="8.85546875" style="864"/>
    <col min="4097" max="4097" width="11.5703125" style="864" bestFit="1" customWidth="1"/>
    <col min="4098" max="4098" width="12.5703125" style="864" customWidth="1"/>
    <col min="4099" max="4099" width="10.140625" style="864" customWidth="1"/>
    <col min="4100" max="4100" width="14.85546875" style="864" customWidth="1"/>
    <col min="4101" max="4101" width="13.140625" style="864" bestFit="1" customWidth="1"/>
    <col min="4102" max="4102" width="4.85546875" style="864" customWidth="1"/>
    <col min="4103" max="4103" width="11.85546875" style="864" customWidth="1"/>
    <col min="4104" max="4104" width="12" style="864" customWidth="1"/>
    <col min="4105" max="4105" width="9.85546875" style="864" customWidth="1"/>
    <col min="4106" max="4106" width="13.85546875" style="864" bestFit="1" customWidth="1"/>
    <col min="4107" max="4352" width="8.85546875" style="864"/>
    <col min="4353" max="4353" width="11.5703125" style="864" bestFit="1" customWidth="1"/>
    <col min="4354" max="4354" width="12.5703125" style="864" customWidth="1"/>
    <col min="4355" max="4355" width="10.140625" style="864" customWidth="1"/>
    <col min="4356" max="4356" width="14.85546875" style="864" customWidth="1"/>
    <col min="4357" max="4357" width="13.140625" style="864" bestFit="1" customWidth="1"/>
    <col min="4358" max="4358" width="4.85546875" style="864" customWidth="1"/>
    <col min="4359" max="4359" width="11.85546875" style="864" customWidth="1"/>
    <col min="4360" max="4360" width="12" style="864" customWidth="1"/>
    <col min="4361" max="4361" width="9.85546875" style="864" customWidth="1"/>
    <col min="4362" max="4362" width="13.85546875" style="864" bestFit="1" customWidth="1"/>
    <col min="4363" max="4608" width="8.85546875" style="864"/>
    <col min="4609" max="4609" width="11.5703125" style="864" bestFit="1" customWidth="1"/>
    <col min="4610" max="4610" width="12.5703125" style="864" customWidth="1"/>
    <col min="4611" max="4611" width="10.140625" style="864" customWidth="1"/>
    <col min="4612" max="4612" width="14.85546875" style="864" customWidth="1"/>
    <col min="4613" max="4613" width="13.140625" style="864" bestFit="1" customWidth="1"/>
    <col min="4614" max="4614" width="4.85546875" style="864" customWidth="1"/>
    <col min="4615" max="4615" width="11.85546875" style="864" customWidth="1"/>
    <col min="4616" max="4616" width="12" style="864" customWidth="1"/>
    <col min="4617" max="4617" width="9.85546875" style="864" customWidth="1"/>
    <col min="4618" max="4618" width="13.85546875" style="864" bestFit="1" customWidth="1"/>
    <col min="4619" max="4864" width="8.85546875" style="864"/>
    <col min="4865" max="4865" width="11.5703125" style="864" bestFit="1" customWidth="1"/>
    <col min="4866" max="4866" width="12.5703125" style="864" customWidth="1"/>
    <col min="4867" max="4867" width="10.140625" style="864" customWidth="1"/>
    <col min="4868" max="4868" width="14.85546875" style="864" customWidth="1"/>
    <col min="4869" max="4869" width="13.140625" style="864" bestFit="1" customWidth="1"/>
    <col min="4870" max="4870" width="4.85546875" style="864" customWidth="1"/>
    <col min="4871" max="4871" width="11.85546875" style="864" customWidth="1"/>
    <col min="4872" max="4872" width="12" style="864" customWidth="1"/>
    <col min="4873" max="4873" width="9.85546875" style="864" customWidth="1"/>
    <col min="4874" max="4874" width="13.85546875" style="864" bestFit="1" customWidth="1"/>
    <col min="4875" max="5120" width="8.85546875" style="864"/>
    <col min="5121" max="5121" width="11.5703125" style="864" bestFit="1" customWidth="1"/>
    <col min="5122" max="5122" width="12.5703125" style="864" customWidth="1"/>
    <col min="5123" max="5123" width="10.140625" style="864" customWidth="1"/>
    <col min="5124" max="5124" width="14.85546875" style="864" customWidth="1"/>
    <col min="5125" max="5125" width="13.140625" style="864" bestFit="1" customWidth="1"/>
    <col min="5126" max="5126" width="4.85546875" style="864" customWidth="1"/>
    <col min="5127" max="5127" width="11.85546875" style="864" customWidth="1"/>
    <col min="5128" max="5128" width="12" style="864" customWidth="1"/>
    <col min="5129" max="5129" width="9.85546875" style="864" customWidth="1"/>
    <col min="5130" max="5130" width="13.85546875" style="864" bestFit="1" customWidth="1"/>
    <col min="5131" max="5376" width="8.85546875" style="864"/>
    <col min="5377" max="5377" width="11.5703125" style="864" bestFit="1" customWidth="1"/>
    <col min="5378" max="5378" width="12.5703125" style="864" customWidth="1"/>
    <col min="5379" max="5379" width="10.140625" style="864" customWidth="1"/>
    <col min="5380" max="5380" width="14.85546875" style="864" customWidth="1"/>
    <col min="5381" max="5381" width="13.140625" style="864" bestFit="1" customWidth="1"/>
    <col min="5382" max="5382" width="4.85546875" style="864" customWidth="1"/>
    <col min="5383" max="5383" width="11.85546875" style="864" customWidth="1"/>
    <col min="5384" max="5384" width="12" style="864" customWidth="1"/>
    <col min="5385" max="5385" width="9.85546875" style="864" customWidth="1"/>
    <col min="5386" max="5386" width="13.85546875" style="864" bestFit="1" customWidth="1"/>
    <col min="5387" max="5632" width="8.85546875" style="864"/>
    <col min="5633" max="5633" width="11.5703125" style="864" bestFit="1" customWidth="1"/>
    <col min="5634" max="5634" width="12.5703125" style="864" customWidth="1"/>
    <col min="5635" max="5635" width="10.140625" style="864" customWidth="1"/>
    <col min="5636" max="5636" width="14.85546875" style="864" customWidth="1"/>
    <col min="5637" max="5637" width="13.140625" style="864" bestFit="1" customWidth="1"/>
    <col min="5638" max="5638" width="4.85546875" style="864" customWidth="1"/>
    <col min="5639" max="5639" width="11.85546875" style="864" customWidth="1"/>
    <col min="5640" max="5640" width="12" style="864" customWidth="1"/>
    <col min="5641" max="5641" width="9.85546875" style="864" customWidth="1"/>
    <col min="5642" max="5642" width="13.85546875" style="864" bestFit="1" customWidth="1"/>
    <col min="5643" max="5888" width="8.85546875" style="864"/>
    <col min="5889" max="5889" width="11.5703125" style="864" bestFit="1" customWidth="1"/>
    <col min="5890" max="5890" width="12.5703125" style="864" customWidth="1"/>
    <col min="5891" max="5891" width="10.140625" style="864" customWidth="1"/>
    <col min="5892" max="5892" width="14.85546875" style="864" customWidth="1"/>
    <col min="5893" max="5893" width="13.140625" style="864" bestFit="1" customWidth="1"/>
    <col min="5894" max="5894" width="4.85546875" style="864" customWidth="1"/>
    <col min="5895" max="5895" width="11.85546875" style="864" customWidth="1"/>
    <col min="5896" max="5896" width="12" style="864" customWidth="1"/>
    <col min="5897" max="5897" width="9.85546875" style="864" customWidth="1"/>
    <col min="5898" max="5898" width="13.85546875" style="864" bestFit="1" customWidth="1"/>
    <col min="5899" max="6144" width="8.85546875" style="864"/>
    <col min="6145" max="6145" width="11.5703125" style="864" bestFit="1" customWidth="1"/>
    <col min="6146" max="6146" width="12.5703125" style="864" customWidth="1"/>
    <col min="6147" max="6147" width="10.140625" style="864" customWidth="1"/>
    <col min="6148" max="6148" width="14.85546875" style="864" customWidth="1"/>
    <col min="6149" max="6149" width="13.140625" style="864" bestFit="1" customWidth="1"/>
    <col min="6150" max="6150" width="4.85546875" style="864" customWidth="1"/>
    <col min="6151" max="6151" width="11.85546875" style="864" customWidth="1"/>
    <col min="6152" max="6152" width="12" style="864" customWidth="1"/>
    <col min="6153" max="6153" width="9.85546875" style="864" customWidth="1"/>
    <col min="6154" max="6154" width="13.85546875" style="864" bestFit="1" customWidth="1"/>
    <col min="6155" max="6400" width="8.85546875" style="864"/>
    <col min="6401" max="6401" width="11.5703125" style="864" bestFit="1" customWidth="1"/>
    <col min="6402" max="6402" width="12.5703125" style="864" customWidth="1"/>
    <col min="6403" max="6403" width="10.140625" style="864" customWidth="1"/>
    <col min="6404" max="6404" width="14.85546875" style="864" customWidth="1"/>
    <col min="6405" max="6405" width="13.140625" style="864" bestFit="1" customWidth="1"/>
    <col min="6406" max="6406" width="4.85546875" style="864" customWidth="1"/>
    <col min="6407" max="6407" width="11.85546875" style="864" customWidth="1"/>
    <col min="6408" max="6408" width="12" style="864" customWidth="1"/>
    <col min="6409" max="6409" width="9.85546875" style="864" customWidth="1"/>
    <col min="6410" max="6410" width="13.85546875" style="864" bestFit="1" customWidth="1"/>
    <col min="6411" max="6656" width="8.85546875" style="864"/>
    <col min="6657" max="6657" width="11.5703125" style="864" bestFit="1" customWidth="1"/>
    <col min="6658" max="6658" width="12.5703125" style="864" customWidth="1"/>
    <col min="6659" max="6659" width="10.140625" style="864" customWidth="1"/>
    <col min="6660" max="6660" width="14.85546875" style="864" customWidth="1"/>
    <col min="6661" max="6661" width="13.140625" style="864" bestFit="1" customWidth="1"/>
    <col min="6662" max="6662" width="4.85546875" style="864" customWidth="1"/>
    <col min="6663" max="6663" width="11.85546875" style="864" customWidth="1"/>
    <col min="6664" max="6664" width="12" style="864" customWidth="1"/>
    <col min="6665" max="6665" width="9.85546875" style="864" customWidth="1"/>
    <col min="6666" max="6666" width="13.85546875" style="864" bestFit="1" customWidth="1"/>
    <col min="6667" max="6912" width="8.85546875" style="864"/>
    <col min="6913" max="6913" width="11.5703125" style="864" bestFit="1" customWidth="1"/>
    <col min="6914" max="6914" width="12.5703125" style="864" customWidth="1"/>
    <col min="6915" max="6915" width="10.140625" style="864" customWidth="1"/>
    <col min="6916" max="6916" width="14.85546875" style="864" customWidth="1"/>
    <col min="6917" max="6917" width="13.140625" style="864" bestFit="1" customWidth="1"/>
    <col min="6918" max="6918" width="4.85546875" style="864" customWidth="1"/>
    <col min="6919" max="6919" width="11.85546875" style="864" customWidth="1"/>
    <col min="6920" max="6920" width="12" style="864" customWidth="1"/>
    <col min="6921" max="6921" width="9.85546875" style="864" customWidth="1"/>
    <col min="6922" max="6922" width="13.85546875" style="864" bestFit="1" customWidth="1"/>
    <col min="6923" max="7168" width="8.85546875" style="864"/>
    <col min="7169" max="7169" width="11.5703125" style="864" bestFit="1" customWidth="1"/>
    <col min="7170" max="7170" width="12.5703125" style="864" customWidth="1"/>
    <col min="7171" max="7171" width="10.140625" style="864" customWidth="1"/>
    <col min="7172" max="7172" width="14.85546875" style="864" customWidth="1"/>
    <col min="7173" max="7173" width="13.140625" style="864" bestFit="1" customWidth="1"/>
    <col min="7174" max="7174" width="4.85546875" style="864" customWidth="1"/>
    <col min="7175" max="7175" width="11.85546875" style="864" customWidth="1"/>
    <col min="7176" max="7176" width="12" style="864" customWidth="1"/>
    <col min="7177" max="7177" width="9.85546875" style="864" customWidth="1"/>
    <col min="7178" max="7178" width="13.85546875" style="864" bestFit="1" customWidth="1"/>
    <col min="7179" max="7424" width="8.85546875" style="864"/>
    <col min="7425" max="7425" width="11.5703125" style="864" bestFit="1" customWidth="1"/>
    <col min="7426" max="7426" width="12.5703125" style="864" customWidth="1"/>
    <col min="7427" max="7427" width="10.140625" style="864" customWidth="1"/>
    <col min="7428" max="7428" width="14.85546875" style="864" customWidth="1"/>
    <col min="7429" max="7429" width="13.140625" style="864" bestFit="1" customWidth="1"/>
    <col min="7430" max="7430" width="4.85546875" style="864" customWidth="1"/>
    <col min="7431" max="7431" width="11.85546875" style="864" customWidth="1"/>
    <col min="7432" max="7432" width="12" style="864" customWidth="1"/>
    <col min="7433" max="7433" width="9.85546875" style="864" customWidth="1"/>
    <col min="7434" max="7434" width="13.85546875" style="864" bestFit="1" customWidth="1"/>
    <col min="7435" max="7680" width="8.85546875" style="864"/>
    <col min="7681" max="7681" width="11.5703125" style="864" bestFit="1" customWidth="1"/>
    <col min="7682" max="7682" width="12.5703125" style="864" customWidth="1"/>
    <col min="7683" max="7683" width="10.140625" style="864" customWidth="1"/>
    <col min="7684" max="7684" width="14.85546875" style="864" customWidth="1"/>
    <col min="7685" max="7685" width="13.140625" style="864" bestFit="1" customWidth="1"/>
    <col min="7686" max="7686" width="4.85546875" style="864" customWidth="1"/>
    <col min="7687" max="7687" width="11.85546875" style="864" customWidth="1"/>
    <col min="7688" max="7688" width="12" style="864" customWidth="1"/>
    <col min="7689" max="7689" width="9.85546875" style="864" customWidth="1"/>
    <col min="7690" max="7690" width="13.85546875" style="864" bestFit="1" customWidth="1"/>
    <col min="7691" max="7936" width="8.85546875" style="864"/>
    <col min="7937" max="7937" width="11.5703125" style="864" bestFit="1" customWidth="1"/>
    <col min="7938" max="7938" width="12.5703125" style="864" customWidth="1"/>
    <col min="7939" max="7939" width="10.140625" style="864" customWidth="1"/>
    <col min="7940" max="7940" width="14.85546875" style="864" customWidth="1"/>
    <col min="7941" max="7941" width="13.140625" style="864" bestFit="1" customWidth="1"/>
    <col min="7942" max="7942" width="4.85546875" style="864" customWidth="1"/>
    <col min="7943" max="7943" width="11.85546875" style="864" customWidth="1"/>
    <col min="7944" max="7944" width="12" style="864" customWidth="1"/>
    <col min="7945" max="7945" width="9.85546875" style="864" customWidth="1"/>
    <col min="7946" max="7946" width="13.85546875" style="864" bestFit="1" customWidth="1"/>
    <col min="7947" max="8192" width="8.85546875" style="864"/>
    <col min="8193" max="8193" width="11.5703125" style="864" bestFit="1" customWidth="1"/>
    <col min="8194" max="8194" width="12.5703125" style="864" customWidth="1"/>
    <col min="8195" max="8195" width="10.140625" style="864" customWidth="1"/>
    <col min="8196" max="8196" width="14.85546875" style="864" customWidth="1"/>
    <col min="8197" max="8197" width="13.140625" style="864" bestFit="1" customWidth="1"/>
    <col min="8198" max="8198" width="4.85546875" style="864" customWidth="1"/>
    <col min="8199" max="8199" width="11.85546875" style="864" customWidth="1"/>
    <col min="8200" max="8200" width="12" style="864" customWidth="1"/>
    <col min="8201" max="8201" width="9.85546875" style="864" customWidth="1"/>
    <col min="8202" max="8202" width="13.85546875" style="864" bestFit="1" customWidth="1"/>
    <col min="8203" max="8448" width="8.85546875" style="864"/>
    <col min="8449" max="8449" width="11.5703125" style="864" bestFit="1" customWidth="1"/>
    <col min="8450" max="8450" width="12.5703125" style="864" customWidth="1"/>
    <col min="8451" max="8451" width="10.140625" style="864" customWidth="1"/>
    <col min="8452" max="8452" width="14.85546875" style="864" customWidth="1"/>
    <col min="8453" max="8453" width="13.140625" style="864" bestFit="1" customWidth="1"/>
    <col min="8454" max="8454" width="4.85546875" style="864" customWidth="1"/>
    <col min="8455" max="8455" width="11.85546875" style="864" customWidth="1"/>
    <col min="8456" max="8456" width="12" style="864" customWidth="1"/>
    <col min="8457" max="8457" width="9.85546875" style="864" customWidth="1"/>
    <col min="8458" max="8458" width="13.85546875" style="864" bestFit="1" customWidth="1"/>
    <col min="8459" max="8704" width="8.85546875" style="864"/>
    <col min="8705" max="8705" width="11.5703125" style="864" bestFit="1" customWidth="1"/>
    <col min="8706" max="8706" width="12.5703125" style="864" customWidth="1"/>
    <col min="8707" max="8707" width="10.140625" style="864" customWidth="1"/>
    <col min="8708" max="8708" width="14.85546875" style="864" customWidth="1"/>
    <col min="8709" max="8709" width="13.140625" style="864" bestFit="1" customWidth="1"/>
    <col min="8710" max="8710" width="4.85546875" style="864" customWidth="1"/>
    <col min="8711" max="8711" width="11.85546875" style="864" customWidth="1"/>
    <col min="8712" max="8712" width="12" style="864" customWidth="1"/>
    <col min="8713" max="8713" width="9.85546875" style="864" customWidth="1"/>
    <col min="8714" max="8714" width="13.85546875" style="864" bestFit="1" customWidth="1"/>
    <col min="8715" max="8960" width="8.85546875" style="864"/>
    <col min="8961" max="8961" width="11.5703125" style="864" bestFit="1" customWidth="1"/>
    <col min="8962" max="8962" width="12.5703125" style="864" customWidth="1"/>
    <col min="8963" max="8963" width="10.140625" style="864" customWidth="1"/>
    <col min="8964" max="8964" width="14.85546875" style="864" customWidth="1"/>
    <col min="8965" max="8965" width="13.140625" style="864" bestFit="1" customWidth="1"/>
    <col min="8966" max="8966" width="4.85546875" style="864" customWidth="1"/>
    <col min="8967" max="8967" width="11.85546875" style="864" customWidth="1"/>
    <col min="8968" max="8968" width="12" style="864" customWidth="1"/>
    <col min="8969" max="8969" width="9.85546875" style="864" customWidth="1"/>
    <col min="8970" max="8970" width="13.85546875" style="864" bestFit="1" customWidth="1"/>
    <col min="8971" max="9216" width="8.85546875" style="864"/>
    <col min="9217" max="9217" width="11.5703125" style="864" bestFit="1" customWidth="1"/>
    <col min="9218" max="9218" width="12.5703125" style="864" customWidth="1"/>
    <col min="9219" max="9219" width="10.140625" style="864" customWidth="1"/>
    <col min="9220" max="9220" width="14.85546875" style="864" customWidth="1"/>
    <col min="9221" max="9221" width="13.140625" style="864" bestFit="1" customWidth="1"/>
    <col min="9222" max="9222" width="4.85546875" style="864" customWidth="1"/>
    <col min="9223" max="9223" width="11.85546875" style="864" customWidth="1"/>
    <col min="9224" max="9224" width="12" style="864" customWidth="1"/>
    <col min="9225" max="9225" width="9.85546875" style="864" customWidth="1"/>
    <col min="9226" max="9226" width="13.85546875" style="864" bestFit="1" customWidth="1"/>
    <col min="9227" max="9472" width="8.85546875" style="864"/>
    <col min="9473" max="9473" width="11.5703125" style="864" bestFit="1" customWidth="1"/>
    <col min="9474" max="9474" width="12.5703125" style="864" customWidth="1"/>
    <col min="9475" max="9475" width="10.140625" style="864" customWidth="1"/>
    <col min="9476" max="9476" width="14.85546875" style="864" customWidth="1"/>
    <col min="9477" max="9477" width="13.140625" style="864" bestFit="1" customWidth="1"/>
    <col min="9478" max="9478" width="4.85546875" style="864" customWidth="1"/>
    <col min="9479" max="9479" width="11.85546875" style="864" customWidth="1"/>
    <col min="9480" max="9480" width="12" style="864" customWidth="1"/>
    <col min="9481" max="9481" width="9.85546875" style="864" customWidth="1"/>
    <col min="9482" max="9482" width="13.85546875" style="864" bestFit="1" customWidth="1"/>
    <col min="9483" max="9728" width="8.85546875" style="864"/>
    <col min="9729" max="9729" width="11.5703125" style="864" bestFit="1" customWidth="1"/>
    <col min="9730" max="9730" width="12.5703125" style="864" customWidth="1"/>
    <col min="9731" max="9731" width="10.140625" style="864" customWidth="1"/>
    <col min="9732" max="9732" width="14.85546875" style="864" customWidth="1"/>
    <col min="9733" max="9733" width="13.140625" style="864" bestFit="1" customWidth="1"/>
    <col min="9734" max="9734" width="4.85546875" style="864" customWidth="1"/>
    <col min="9735" max="9735" width="11.85546875" style="864" customWidth="1"/>
    <col min="9736" max="9736" width="12" style="864" customWidth="1"/>
    <col min="9737" max="9737" width="9.85546875" style="864" customWidth="1"/>
    <col min="9738" max="9738" width="13.85546875" style="864" bestFit="1" customWidth="1"/>
    <col min="9739" max="9984" width="8.85546875" style="864"/>
    <col min="9985" max="9985" width="11.5703125" style="864" bestFit="1" customWidth="1"/>
    <col min="9986" max="9986" width="12.5703125" style="864" customWidth="1"/>
    <col min="9987" max="9987" width="10.140625" style="864" customWidth="1"/>
    <col min="9988" max="9988" width="14.85546875" style="864" customWidth="1"/>
    <col min="9989" max="9989" width="13.140625" style="864" bestFit="1" customWidth="1"/>
    <col min="9990" max="9990" width="4.85546875" style="864" customWidth="1"/>
    <col min="9991" max="9991" width="11.85546875" style="864" customWidth="1"/>
    <col min="9992" max="9992" width="12" style="864" customWidth="1"/>
    <col min="9993" max="9993" width="9.85546875" style="864" customWidth="1"/>
    <col min="9994" max="9994" width="13.85546875" style="864" bestFit="1" customWidth="1"/>
    <col min="9995" max="10240" width="8.85546875" style="864"/>
    <col min="10241" max="10241" width="11.5703125" style="864" bestFit="1" customWidth="1"/>
    <col min="10242" max="10242" width="12.5703125" style="864" customWidth="1"/>
    <col min="10243" max="10243" width="10.140625" style="864" customWidth="1"/>
    <col min="10244" max="10244" width="14.85546875" style="864" customWidth="1"/>
    <col min="10245" max="10245" width="13.140625" style="864" bestFit="1" customWidth="1"/>
    <col min="10246" max="10246" width="4.85546875" style="864" customWidth="1"/>
    <col min="10247" max="10247" width="11.85546875" style="864" customWidth="1"/>
    <col min="10248" max="10248" width="12" style="864" customWidth="1"/>
    <col min="10249" max="10249" width="9.85546875" style="864" customWidth="1"/>
    <col min="10250" max="10250" width="13.85546875" style="864" bestFit="1" customWidth="1"/>
    <col min="10251" max="10496" width="8.85546875" style="864"/>
    <col min="10497" max="10497" width="11.5703125" style="864" bestFit="1" customWidth="1"/>
    <col min="10498" max="10498" width="12.5703125" style="864" customWidth="1"/>
    <col min="10499" max="10499" width="10.140625" style="864" customWidth="1"/>
    <col min="10500" max="10500" width="14.85546875" style="864" customWidth="1"/>
    <col min="10501" max="10501" width="13.140625" style="864" bestFit="1" customWidth="1"/>
    <col min="10502" max="10502" width="4.85546875" style="864" customWidth="1"/>
    <col min="10503" max="10503" width="11.85546875" style="864" customWidth="1"/>
    <col min="10504" max="10504" width="12" style="864" customWidth="1"/>
    <col min="10505" max="10505" width="9.85546875" style="864" customWidth="1"/>
    <col min="10506" max="10506" width="13.85546875" style="864" bestFit="1" customWidth="1"/>
    <col min="10507" max="10752" width="8.85546875" style="864"/>
    <col min="10753" max="10753" width="11.5703125" style="864" bestFit="1" customWidth="1"/>
    <col min="10754" max="10754" width="12.5703125" style="864" customWidth="1"/>
    <col min="10755" max="10755" width="10.140625" style="864" customWidth="1"/>
    <col min="10756" max="10756" width="14.85546875" style="864" customWidth="1"/>
    <col min="10757" max="10757" width="13.140625" style="864" bestFit="1" customWidth="1"/>
    <col min="10758" max="10758" width="4.85546875" style="864" customWidth="1"/>
    <col min="10759" max="10759" width="11.85546875" style="864" customWidth="1"/>
    <col min="10760" max="10760" width="12" style="864" customWidth="1"/>
    <col min="10761" max="10761" width="9.85546875" style="864" customWidth="1"/>
    <col min="10762" max="10762" width="13.85546875" style="864" bestFit="1" customWidth="1"/>
    <col min="10763" max="11008" width="8.85546875" style="864"/>
    <col min="11009" max="11009" width="11.5703125" style="864" bestFit="1" customWidth="1"/>
    <col min="11010" max="11010" width="12.5703125" style="864" customWidth="1"/>
    <col min="11011" max="11011" width="10.140625" style="864" customWidth="1"/>
    <col min="11012" max="11012" width="14.85546875" style="864" customWidth="1"/>
    <col min="11013" max="11013" width="13.140625" style="864" bestFit="1" customWidth="1"/>
    <col min="11014" max="11014" width="4.85546875" style="864" customWidth="1"/>
    <col min="11015" max="11015" width="11.85546875" style="864" customWidth="1"/>
    <col min="11016" max="11016" width="12" style="864" customWidth="1"/>
    <col min="11017" max="11017" width="9.85546875" style="864" customWidth="1"/>
    <col min="11018" max="11018" width="13.85546875" style="864" bestFit="1" customWidth="1"/>
    <col min="11019" max="11264" width="8.85546875" style="864"/>
    <col min="11265" max="11265" width="11.5703125" style="864" bestFit="1" customWidth="1"/>
    <col min="11266" max="11266" width="12.5703125" style="864" customWidth="1"/>
    <col min="11267" max="11267" width="10.140625" style="864" customWidth="1"/>
    <col min="11268" max="11268" width="14.85546875" style="864" customWidth="1"/>
    <col min="11269" max="11269" width="13.140625" style="864" bestFit="1" customWidth="1"/>
    <col min="11270" max="11270" width="4.85546875" style="864" customWidth="1"/>
    <col min="11271" max="11271" width="11.85546875" style="864" customWidth="1"/>
    <col min="11272" max="11272" width="12" style="864" customWidth="1"/>
    <col min="11273" max="11273" width="9.85546875" style="864" customWidth="1"/>
    <col min="11274" max="11274" width="13.85546875" style="864" bestFit="1" customWidth="1"/>
    <col min="11275" max="11520" width="8.85546875" style="864"/>
    <col min="11521" max="11521" width="11.5703125" style="864" bestFit="1" customWidth="1"/>
    <col min="11522" max="11522" width="12.5703125" style="864" customWidth="1"/>
    <col min="11523" max="11523" width="10.140625" style="864" customWidth="1"/>
    <col min="11524" max="11524" width="14.85546875" style="864" customWidth="1"/>
    <col min="11525" max="11525" width="13.140625" style="864" bestFit="1" customWidth="1"/>
    <col min="11526" max="11526" width="4.85546875" style="864" customWidth="1"/>
    <col min="11527" max="11527" width="11.85546875" style="864" customWidth="1"/>
    <col min="11528" max="11528" width="12" style="864" customWidth="1"/>
    <col min="11529" max="11529" width="9.85546875" style="864" customWidth="1"/>
    <col min="11530" max="11530" width="13.85546875" style="864" bestFit="1" customWidth="1"/>
    <col min="11531" max="11776" width="8.85546875" style="864"/>
    <col min="11777" max="11777" width="11.5703125" style="864" bestFit="1" customWidth="1"/>
    <col min="11778" max="11778" width="12.5703125" style="864" customWidth="1"/>
    <col min="11779" max="11779" width="10.140625" style="864" customWidth="1"/>
    <col min="11780" max="11780" width="14.85546875" style="864" customWidth="1"/>
    <col min="11781" max="11781" width="13.140625" style="864" bestFit="1" customWidth="1"/>
    <col min="11782" max="11782" width="4.85546875" style="864" customWidth="1"/>
    <col min="11783" max="11783" width="11.85546875" style="864" customWidth="1"/>
    <col min="11784" max="11784" width="12" style="864" customWidth="1"/>
    <col min="11785" max="11785" width="9.85546875" style="864" customWidth="1"/>
    <col min="11786" max="11786" width="13.85546875" style="864" bestFit="1" customWidth="1"/>
    <col min="11787" max="12032" width="8.85546875" style="864"/>
    <col min="12033" max="12033" width="11.5703125" style="864" bestFit="1" customWidth="1"/>
    <col min="12034" max="12034" width="12.5703125" style="864" customWidth="1"/>
    <col min="12035" max="12035" width="10.140625" style="864" customWidth="1"/>
    <col min="12036" max="12036" width="14.85546875" style="864" customWidth="1"/>
    <col min="12037" max="12037" width="13.140625" style="864" bestFit="1" customWidth="1"/>
    <col min="12038" max="12038" width="4.85546875" style="864" customWidth="1"/>
    <col min="12039" max="12039" width="11.85546875" style="864" customWidth="1"/>
    <col min="12040" max="12040" width="12" style="864" customWidth="1"/>
    <col min="12041" max="12041" width="9.85546875" style="864" customWidth="1"/>
    <col min="12042" max="12042" width="13.85546875" style="864" bestFit="1" customWidth="1"/>
    <col min="12043" max="12288" width="8.85546875" style="864"/>
    <col min="12289" max="12289" width="11.5703125" style="864" bestFit="1" customWidth="1"/>
    <col min="12290" max="12290" width="12.5703125" style="864" customWidth="1"/>
    <col min="12291" max="12291" width="10.140625" style="864" customWidth="1"/>
    <col min="12292" max="12292" width="14.85546875" style="864" customWidth="1"/>
    <col min="12293" max="12293" width="13.140625" style="864" bestFit="1" customWidth="1"/>
    <col min="12294" max="12294" width="4.85546875" style="864" customWidth="1"/>
    <col min="12295" max="12295" width="11.85546875" style="864" customWidth="1"/>
    <col min="12296" max="12296" width="12" style="864" customWidth="1"/>
    <col min="12297" max="12297" width="9.85546875" style="864" customWidth="1"/>
    <col min="12298" max="12298" width="13.85546875" style="864" bestFit="1" customWidth="1"/>
    <col min="12299" max="12544" width="8.85546875" style="864"/>
    <col min="12545" max="12545" width="11.5703125" style="864" bestFit="1" customWidth="1"/>
    <col min="12546" max="12546" width="12.5703125" style="864" customWidth="1"/>
    <col min="12547" max="12547" width="10.140625" style="864" customWidth="1"/>
    <col min="12548" max="12548" width="14.85546875" style="864" customWidth="1"/>
    <col min="12549" max="12549" width="13.140625" style="864" bestFit="1" customWidth="1"/>
    <col min="12550" max="12550" width="4.85546875" style="864" customWidth="1"/>
    <col min="12551" max="12551" width="11.85546875" style="864" customWidth="1"/>
    <col min="12552" max="12552" width="12" style="864" customWidth="1"/>
    <col min="12553" max="12553" width="9.85546875" style="864" customWidth="1"/>
    <col min="12554" max="12554" width="13.85546875" style="864" bestFit="1" customWidth="1"/>
    <col min="12555" max="12800" width="8.85546875" style="864"/>
    <col min="12801" max="12801" width="11.5703125" style="864" bestFit="1" customWidth="1"/>
    <col min="12802" max="12802" width="12.5703125" style="864" customWidth="1"/>
    <col min="12803" max="12803" width="10.140625" style="864" customWidth="1"/>
    <col min="12804" max="12804" width="14.85546875" style="864" customWidth="1"/>
    <col min="12805" max="12805" width="13.140625" style="864" bestFit="1" customWidth="1"/>
    <col min="12806" max="12806" width="4.85546875" style="864" customWidth="1"/>
    <col min="12807" max="12807" width="11.85546875" style="864" customWidth="1"/>
    <col min="12808" max="12808" width="12" style="864" customWidth="1"/>
    <col min="12809" max="12809" width="9.85546875" style="864" customWidth="1"/>
    <col min="12810" max="12810" width="13.85546875" style="864" bestFit="1" customWidth="1"/>
    <col min="12811" max="13056" width="8.85546875" style="864"/>
    <col min="13057" max="13057" width="11.5703125" style="864" bestFit="1" customWidth="1"/>
    <col min="13058" max="13058" width="12.5703125" style="864" customWidth="1"/>
    <col min="13059" max="13059" width="10.140625" style="864" customWidth="1"/>
    <col min="13060" max="13060" width="14.85546875" style="864" customWidth="1"/>
    <col min="13061" max="13061" width="13.140625" style="864" bestFit="1" customWidth="1"/>
    <col min="13062" max="13062" width="4.85546875" style="864" customWidth="1"/>
    <col min="13063" max="13063" width="11.85546875" style="864" customWidth="1"/>
    <col min="13064" max="13064" width="12" style="864" customWidth="1"/>
    <col min="13065" max="13065" width="9.85546875" style="864" customWidth="1"/>
    <col min="13066" max="13066" width="13.85546875" style="864" bestFit="1" customWidth="1"/>
    <col min="13067" max="13312" width="8.85546875" style="864"/>
    <col min="13313" max="13313" width="11.5703125" style="864" bestFit="1" customWidth="1"/>
    <col min="13314" max="13314" width="12.5703125" style="864" customWidth="1"/>
    <col min="13315" max="13315" width="10.140625" style="864" customWidth="1"/>
    <col min="13316" max="13316" width="14.85546875" style="864" customWidth="1"/>
    <col min="13317" max="13317" width="13.140625" style="864" bestFit="1" customWidth="1"/>
    <col min="13318" max="13318" width="4.85546875" style="864" customWidth="1"/>
    <col min="13319" max="13319" width="11.85546875" style="864" customWidth="1"/>
    <col min="13320" max="13320" width="12" style="864" customWidth="1"/>
    <col min="13321" max="13321" width="9.85546875" style="864" customWidth="1"/>
    <col min="13322" max="13322" width="13.85546875" style="864" bestFit="1" customWidth="1"/>
    <col min="13323" max="13568" width="8.85546875" style="864"/>
    <col min="13569" max="13569" width="11.5703125" style="864" bestFit="1" customWidth="1"/>
    <col min="13570" max="13570" width="12.5703125" style="864" customWidth="1"/>
    <col min="13571" max="13571" width="10.140625" style="864" customWidth="1"/>
    <col min="13572" max="13572" width="14.85546875" style="864" customWidth="1"/>
    <col min="13573" max="13573" width="13.140625" style="864" bestFit="1" customWidth="1"/>
    <col min="13574" max="13574" width="4.85546875" style="864" customWidth="1"/>
    <col min="13575" max="13575" width="11.85546875" style="864" customWidth="1"/>
    <col min="13576" max="13576" width="12" style="864" customWidth="1"/>
    <col min="13577" max="13577" width="9.85546875" style="864" customWidth="1"/>
    <col min="13578" max="13578" width="13.85546875" style="864" bestFit="1" customWidth="1"/>
    <col min="13579" max="13824" width="8.85546875" style="864"/>
    <col min="13825" max="13825" width="11.5703125" style="864" bestFit="1" customWidth="1"/>
    <col min="13826" max="13826" width="12.5703125" style="864" customWidth="1"/>
    <col min="13827" max="13827" width="10.140625" style="864" customWidth="1"/>
    <col min="13828" max="13828" width="14.85546875" style="864" customWidth="1"/>
    <col min="13829" max="13829" width="13.140625" style="864" bestFit="1" customWidth="1"/>
    <col min="13830" max="13830" width="4.85546875" style="864" customWidth="1"/>
    <col min="13831" max="13831" width="11.85546875" style="864" customWidth="1"/>
    <col min="13832" max="13832" width="12" style="864" customWidth="1"/>
    <col min="13833" max="13833" width="9.85546875" style="864" customWidth="1"/>
    <col min="13834" max="13834" width="13.85546875" style="864" bestFit="1" customWidth="1"/>
    <col min="13835" max="14080" width="8.85546875" style="864"/>
    <col min="14081" max="14081" width="11.5703125" style="864" bestFit="1" customWidth="1"/>
    <col min="14082" max="14082" width="12.5703125" style="864" customWidth="1"/>
    <col min="14083" max="14083" width="10.140625" style="864" customWidth="1"/>
    <col min="14084" max="14084" width="14.85546875" style="864" customWidth="1"/>
    <col min="14085" max="14085" width="13.140625" style="864" bestFit="1" customWidth="1"/>
    <col min="14086" max="14086" width="4.85546875" style="864" customWidth="1"/>
    <col min="14087" max="14087" width="11.85546875" style="864" customWidth="1"/>
    <col min="14088" max="14088" width="12" style="864" customWidth="1"/>
    <col min="14089" max="14089" width="9.85546875" style="864" customWidth="1"/>
    <col min="14090" max="14090" width="13.85546875" style="864" bestFit="1" customWidth="1"/>
    <col min="14091" max="14336" width="8.85546875" style="864"/>
    <col min="14337" max="14337" width="11.5703125" style="864" bestFit="1" customWidth="1"/>
    <col min="14338" max="14338" width="12.5703125" style="864" customWidth="1"/>
    <col min="14339" max="14339" width="10.140625" style="864" customWidth="1"/>
    <col min="14340" max="14340" width="14.85546875" style="864" customWidth="1"/>
    <col min="14341" max="14341" width="13.140625" style="864" bestFit="1" customWidth="1"/>
    <col min="14342" max="14342" width="4.85546875" style="864" customWidth="1"/>
    <col min="14343" max="14343" width="11.85546875" style="864" customWidth="1"/>
    <col min="14344" max="14344" width="12" style="864" customWidth="1"/>
    <col min="14345" max="14345" width="9.85546875" style="864" customWidth="1"/>
    <col min="14346" max="14346" width="13.85546875" style="864" bestFit="1" customWidth="1"/>
    <col min="14347" max="14592" width="8.85546875" style="864"/>
    <col min="14593" max="14593" width="11.5703125" style="864" bestFit="1" customWidth="1"/>
    <col min="14594" max="14594" width="12.5703125" style="864" customWidth="1"/>
    <col min="14595" max="14595" width="10.140625" style="864" customWidth="1"/>
    <col min="14596" max="14596" width="14.85546875" style="864" customWidth="1"/>
    <col min="14597" max="14597" width="13.140625" style="864" bestFit="1" customWidth="1"/>
    <col min="14598" max="14598" width="4.85546875" style="864" customWidth="1"/>
    <col min="14599" max="14599" width="11.85546875" style="864" customWidth="1"/>
    <col min="14600" max="14600" width="12" style="864" customWidth="1"/>
    <col min="14601" max="14601" width="9.85546875" style="864" customWidth="1"/>
    <col min="14602" max="14602" width="13.85546875" style="864" bestFit="1" customWidth="1"/>
    <col min="14603" max="14848" width="8.85546875" style="864"/>
    <col min="14849" max="14849" width="11.5703125" style="864" bestFit="1" customWidth="1"/>
    <col min="14850" max="14850" width="12.5703125" style="864" customWidth="1"/>
    <col min="14851" max="14851" width="10.140625" style="864" customWidth="1"/>
    <col min="14852" max="14852" width="14.85546875" style="864" customWidth="1"/>
    <col min="14853" max="14853" width="13.140625" style="864" bestFit="1" customWidth="1"/>
    <col min="14854" max="14854" width="4.85546875" style="864" customWidth="1"/>
    <col min="14855" max="14855" width="11.85546875" style="864" customWidth="1"/>
    <col min="14856" max="14856" width="12" style="864" customWidth="1"/>
    <col min="14857" max="14857" width="9.85546875" style="864" customWidth="1"/>
    <col min="14858" max="14858" width="13.85546875" style="864" bestFit="1" customWidth="1"/>
    <col min="14859" max="15104" width="8.85546875" style="864"/>
    <col min="15105" max="15105" width="11.5703125" style="864" bestFit="1" customWidth="1"/>
    <col min="15106" max="15106" width="12.5703125" style="864" customWidth="1"/>
    <col min="15107" max="15107" width="10.140625" style="864" customWidth="1"/>
    <col min="15108" max="15108" width="14.85546875" style="864" customWidth="1"/>
    <col min="15109" max="15109" width="13.140625" style="864" bestFit="1" customWidth="1"/>
    <col min="15110" max="15110" width="4.85546875" style="864" customWidth="1"/>
    <col min="15111" max="15111" width="11.85546875" style="864" customWidth="1"/>
    <col min="15112" max="15112" width="12" style="864" customWidth="1"/>
    <col min="15113" max="15113" width="9.85546875" style="864" customWidth="1"/>
    <col min="15114" max="15114" width="13.85546875" style="864" bestFit="1" customWidth="1"/>
    <col min="15115" max="15360" width="8.85546875" style="864"/>
    <col min="15361" max="15361" width="11.5703125" style="864" bestFit="1" customWidth="1"/>
    <col min="15362" max="15362" width="12.5703125" style="864" customWidth="1"/>
    <col min="15363" max="15363" width="10.140625" style="864" customWidth="1"/>
    <col min="15364" max="15364" width="14.85546875" style="864" customWidth="1"/>
    <col min="15365" max="15365" width="13.140625" style="864" bestFit="1" customWidth="1"/>
    <col min="15366" max="15366" width="4.85546875" style="864" customWidth="1"/>
    <col min="15367" max="15367" width="11.85546875" style="864" customWidth="1"/>
    <col min="15368" max="15368" width="12" style="864" customWidth="1"/>
    <col min="15369" max="15369" width="9.85546875" style="864" customWidth="1"/>
    <col min="15370" max="15370" width="13.85546875" style="864" bestFit="1" customWidth="1"/>
    <col min="15371" max="15616" width="8.85546875" style="864"/>
    <col min="15617" max="15617" width="11.5703125" style="864" bestFit="1" customWidth="1"/>
    <col min="15618" max="15618" width="12.5703125" style="864" customWidth="1"/>
    <col min="15619" max="15619" width="10.140625" style="864" customWidth="1"/>
    <col min="15620" max="15620" width="14.85546875" style="864" customWidth="1"/>
    <col min="15621" max="15621" width="13.140625" style="864" bestFit="1" customWidth="1"/>
    <col min="15622" max="15622" width="4.85546875" style="864" customWidth="1"/>
    <col min="15623" max="15623" width="11.85546875" style="864" customWidth="1"/>
    <col min="15624" max="15624" width="12" style="864" customWidth="1"/>
    <col min="15625" max="15625" width="9.85546875" style="864" customWidth="1"/>
    <col min="15626" max="15626" width="13.85546875" style="864" bestFit="1" customWidth="1"/>
    <col min="15627" max="15872" width="8.85546875" style="864"/>
    <col min="15873" max="15873" width="11.5703125" style="864" bestFit="1" customWidth="1"/>
    <col min="15874" max="15874" width="12.5703125" style="864" customWidth="1"/>
    <col min="15875" max="15875" width="10.140625" style="864" customWidth="1"/>
    <col min="15876" max="15876" width="14.85546875" style="864" customWidth="1"/>
    <col min="15877" max="15877" width="13.140625" style="864" bestFit="1" customWidth="1"/>
    <col min="15878" max="15878" width="4.85546875" style="864" customWidth="1"/>
    <col min="15879" max="15879" width="11.85546875" style="864" customWidth="1"/>
    <col min="15880" max="15880" width="12" style="864" customWidth="1"/>
    <col min="15881" max="15881" width="9.85546875" style="864" customWidth="1"/>
    <col min="15882" max="15882" width="13.85546875" style="864" bestFit="1" customWidth="1"/>
    <col min="15883" max="16128" width="8.85546875" style="864"/>
    <col min="16129" max="16129" width="11.5703125" style="864" bestFit="1" customWidth="1"/>
    <col min="16130" max="16130" width="12.5703125" style="864" customWidth="1"/>
    <col min="16131" max="16131" width="10.140625" style="864" customWidth="1"/>
    <col min="16132" max="16132" width="14.85546875" style="864" customWidth="1"/>
    <col min="16133" max="16133" width="13.140625" style="864" bestFit="1" customWidth="1"/>
    <col min="16134" max="16134" width="4.85546875" style="864" customWidth="1"/>
    <col min="16135" max="16135" width="11.85546875" style="864" customWidth="1"/>
    <col min="16136" max="16136" width="12" style="864" customWidth="1"/>
    <col min="16137" max="16137" width="9.85546875" style="864" customWidth="1"/>
    <col min="16138" max="16138" width="13.85546875" style="864" bestFit="1" customWidth="1"/>
    <col min="16139" max="16384" width="8.85546875" style="864"/>
  </cols>
  <sheetData>
    <row r="1" spans="1:11" ht="23.25">
      <c r="A1" s="4210" t="s">
        <v>3079</v>
      </c>
      <c r="B1" s="4210"/>
      <c r="C1" s="4210"/>
      <c r="D1" s="4210"/>
      <c r="E1" s="4210"/>
      <c r="F1" s="4210"/>
      <c r="G1" s="4210"/>
      <c r="H1" s="4210"/>
      <c r="I1" s="4210"/>
      <c r="J1" s="4210"/>
      <c r="K1" s="4210"/>
    </row>
    <row r="2" spans="1:11" ht="15">
      <c r="A2" s="4224" t="str">
        <f>Overview!C8</f>
        <v>55 Milton</v>
      </c>
      <c r="B2" s="4224"/>
      <c r="C2" s="4224"/>
      <c r="D2" s="4224"/>
      <c r="E2" s="4224"/>
      <c r="F2" s="4224"/>
      <c r="G2" s="4224"/>
      <c r="H2" s="4224"/>
      <c r="I2" s="4224"/>
      <c r="J2" s="4224"/>
      <c r="K2" s="4224"/>
    </row>
    <row r="3" spans="1:11" ht="9" customHeight="1">
      <c r="A3" s="865"/>
      <c r="B3" s="865"/>
      <c r="C3" s="865"/>
    </row>
    <row r="4" spans="1:11" ht="18">
      <c r="A4" s="866" t="s">
        <v>3552</v>
      </c>
      <c r="B4" s="865"/>
      <c r="C4" s="865"/>
      <c r="K4" s="867"/>
    </row>
    <row r="5" spans="1:11" s="822" customFormat="1" ht="42" customHeight="1">
      <c r="C5" s="4211" t="s">
        <v>4464</v>
      </c>
      <c r="D5" s="4212"/>
      <c r="E5" s="4213"/>
      <c r="F5" s="650"/>
      <c r="G5" s="4211" t="s">
        <v>4465</v>
      </c>
      <c r="H5" s="4212"/>
      <c r="I5" s="4213"/>
      <c r="J5" s="864"/>
      <c r="K5" s="4222" t="s">
        <v>4466</v>
      </c>
    </row>
    <row r="6" spans="1:11" s="869" customFormat="1" ht="15" customHeight="1">
      <c r="A6" s="868" t="s">
        <v>2713</v>
      </c>
      <c r="C6" s="870" t="s">
        <v>3535</v>
      </c>
      <c r="D6" s="870" t="s">
        <v>4467</v>
      </c>
      <c r="E6" s="870" t="s">
        <v>1989</v>
      </c>
      <c r="G6" s="870" t="s">
        <v>3536</v>
      </c>
      <c r="H6" s="870" t="s">
        <v>4468</v>
      </c>
      <c r="I6" s="870" t="s">
        <v>1989</v>
      </c>
      <c r="K6" s="4223"/>
    </row>
    <row r="7" spans="1:11" s="650" customFormat="1" ht="13.5" customHeight="1">
      <c r="A7" s="650" t="s">
        <v>3080</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2711</v>
      </c>
      <c r="C8" s="872"/>
      <c r="D8" s="1576">
        <f>'Part VI-Revenues &amp; Expenses'!$K$63</f>
        <v>61</v>
      </c>
      <c r="E8" s="874">
        <f>C8*D8</f>
        <v>0</v>
      </c>
      <c r="G8" s="872"/>
      <c r="H8" s="873">
        <f>'Part VI-Revenues &amp; Expenses'!$K$67</f>
        <v>61</v>
      </c>
      <c r="I8" s="874">
        <f>G8*H8</f>
        <v>0</v>
      </c>
      <c r="K8" s="871" t="s">
        <v>3537</v>
      </c>
    </row>
    <row r="9" spans="1:11" s="650" customFormat="1" ht="13.5" customHeight="1">
      <c r="A9" s="650" t="s">
        <v>2712</v>
      </c>
      <c r="C9" s="872"/>
      <c r="D9" s="1576">
        <f>'Part VI-Revenues &amp; Expenses'!$L$63</f>
        <v>68</v>
      </c>
      <c r="E9" s="874">
        <f>C9*D9</f>
        <v>0</v>
      </c>
      <c r="G9" s="872"/>
      <c r="H9" s="873">
        <f>'Part VI-Revenues &amp; Expenses'!$L$67</f>
        <v>68</v>
      </c>
      <c r="I9" s="874">
        <f>G9*H9</f>
        <v>0</v>
      </c>
      <c r="K9" s="1583">
        <f>'Part IV-A-Uses of Funds'!$G$132</f>
        <v>32698126.5</v>
      </c>
    </row>
    <row r="10" spans="1:11" s="650" customFormat="1" ht="13.5" customHeight="1">
      <c r="A10" s="650" t="s">
        <v>2715</v>
      </c>
      <c r="C10" s="872"/>
      <c r="D10" s="1576">
        <f>'Part VI-Revenues &amp; Expenses'!$M$63</f>
        <v>27</v>
      </c>
      <c r="E10" s="874">
        <f>C10*D10</f>
        <v>0</v>
      </c>
      <c r="G10" s="872"/>
      <c r="H10" s="873">
        <f>'Part VI-Revenues &amp; Expenses'!$M$67</f>
        <v>27</v>
      </c>
      <c r="I10" s="874">
        <f>G10*H10</f>
        <v>0</v>
      </c>
      <c r="K10" s="871" t="s">
        <v>3538</v>
      </c>
    </row>
    <row r="11" spans="1:11" s="650" customFormat="1" ht="13.5" customHeight="1">
      <c r="A11" s="876" t="s">
        <v>3534</v>
      </c>
      <c r="C11" s="877"/>
      <c r="D11" s="1577">
        <f>'Part VI-Revenues &amp; Expenses'!$N$63</f>
        <v>0</v>
      </c>
      <c r="E11" s="879">
        <f>C11*D11</f>
        <v>0</v>
      </c>
      <c r="G11" s="877"/>
      <c r="H11" s="878">
        <f>'Part VI-Revenues &amp; Expenses'!$N$67</f>
        <v>0</v>
      </c>
      <c r="I11" s="879">
        <f>G11*H11</f>
        <v>0</v>
      </c>
      <c r="K11" s="4214" t="s">
        <v>3542</v>
      </c>
    </row>
    <row r="12" spans="1:11" ht="13.5" customHeight="1" thickBot="1">
      <c r="A12" s="880" t="s">
        <v>3504</v>
      </c>
      <c r="D12" s="911">
        <f>SUM(D7:D11)</f>
        <v>156</v>
      </c>
      <c r="E12" s="881"/>
      <c r="G12" s="880" t="s">
        <v>1793</v>
      </c>
      <c r="H12" s="1582">
        <f>SUM(H7:H11)</f>
        <v>156</v>
      </c>
      <c r="I12" s="881"/>
      <c r="K12" s="4215"/>
    </row>
    <row r="13" spans="1:11" s="650" customFormat="1" ht="13.5" customHeight="1" thickBot="1">
      <c r="A13" s="880" t="s">
        <v>3081</v>
      </c>
      <c r="B13" s="882"/>
      <c r="E13" s="883">
        <f>SUM(E7:E11)</f>
        <v>0</v>
      </c>
      <c r="G13" s="880" t="s">
        <v>3316</v>
      </c>
      <c r="H13" s="882"/>
      <c r="I13" s="884">
        <f>SUM(I7:I11)</f>
        <v>0</v>
      </c>
      <c r="K13" s="1583">
        <f>'Part VIII-Threshold Criteria'!$P$63</f>
        <v>31486324</v>
      </c>
    </row>
    <row r="14" spans="1:11" ht="11.25" customHeight="1">
      <c r="G14" s="885" t="s">
        <v>3539</v>
      </c>
    </row>
    <row r="15" spans="1:11" s="650" customFormat="1" ht="9" customHeight="1"/>
    <row r="16" spans="1:11" ht="16.5" customHeight="1">
      <c r="A16" s="866" t="s">
        <v>3553</v>
      </c>
    </row>
    <row r="17" spans="1:11" ht="6" customHeight="1"/>
    <row r="18" spans="1:11" s="650" customFormat="1" ht="13.5" customHeight="1">
      <c r="A18" s="650" t="s">
        <v>3541</v>
      </c>
      <c r="E18" s="1584" t="s">
        <v>4252</v>
      </c>
      <c r="F18" s="1585"/>
      <c r="G18" s="1585"/>
      <c r="H18" s="1585"/>
      <c r="I18" s="1585"/>
      <c r="K18" s="1560">
        <f>Overview!$E$13</f>
        <v>156</v>
      </c>
    </row>
    <row r="19" spans="1:11" s="650" customFormat="1" ht="13.5" customHeight="1">
      <c r="A19" s="650" t="s">
        <v>3082</v>
      </c>
      <c r="E19" s="1579"/>
      <c r="K19" s="739">
        <f>Overview!$C$13</f>
        <v>156</v>
      </c>
    </row>
    <row r="20" spans="1:11" ht="3" customHeight="1">
      <c r="A20" s="886"/>
      <c r="E20" s="1580"/>
    </row>
    <row r="21" spans="1:11" s="650" customFormat="1" ht="13.5" customHeight="1">
      <c r="A21" s="650" t="s">
        <v>3083</v>
      </c>
      <c r="E21" s="1578" t="s">
        <v>3540</v>
      </c>
      <c r="K21" s="887">
        <f>K18/K19</f>
        <v>1</v>
      </c>
    </row>
    <row r="22" spans="1:11" ht="6.75" customHeight="1">
      <c r="E22" s="1580"/>
    </row>
    <row r="23" spans="1:11" s="650" customFormat="1" ht="13.5" customHeight="1">
      <c r="A23" s="650" t="s">
        <v>3503</v>
      </c>
      <c r="C23" s="888"/>
      <c r="E23" s="1578" t="s">
        <v>3086</v>
      </c>
      <c r="K23" s="739">
        <f>K9</f>
        <v>32698126.5</v>
      </c>
    </row>
    <row r="24" spans="1:11" s="650" customFormat="1" ht="13.5" customHeight="1">
      <c r="A24" s="889" t="s">
        <v>1760</v>
      </c>
      <c r="E24" s="1579"/>
      <c r="K24" s="875">
        <f>'Part IV-A-Uses of Funds'!$G$122</f>
        <v>694940</v>
      </c>
    </row>
    <row r="25" spans="1:11" s="650" customFormat="1" ht="13.5" customHeight="1">
      <c r="A25" s="889" t="s">
        <v>3087</v>
      </c>
      <c r="E25" s="1579"/>
      <c r="K25" s="890">
        <v>0</v>
      </c>
    </row>
    <row r="26" spans="1:11" s="650" customFormat="1" ht="13.5" customHeight="1">
      <c r="A26" s="889" t="s">
        <v>3087</v>
      </c>
      <c r="E26" s="1579"/>
      <c r="K26" s="890">
        <v>0</v>
      </c>
    </row>
    <row r="27" spans="1:11" ht="3" customHeight="1">
      <c r="A27" s="891"/>
      <c r="E27" s="1580"/>
      <c r="K27" s="892">
        <v>0</v>
      </c>
    </row>
    <row r="28" spans="1:11" s="882" customFormat="1" ht="13.5" customHeight="1">
      <c r="A28" s="882" t="s">
        <v>3088</v>
      </c>
      <c r="E28" s="1581"/>
      <c r="K28" s="893">
        <f>K23-SUM(K24:K27)</f>
        <v>32003186.5</v>
      </c>
    </row>
    <row r="29" spans="1:11" ht="6.75" customHeight="1">
      <c r="A29" s="886"/>
      <c r="E29" s="1580"/>
      <c r="K29" s="894"/>
    </row>
    <row r="30" spans="1:11" s="650" customFormat="1" ht="15" customHeight="1">
      <c r="A30" s="882" t="s">
        <v>3089</v>
      </c>
      <c r="E30" s="1578" t="s">
        <v>3547</v>
      </c>
      <c r="F30" s="895"/>
      <c r="G30" s="895"/>
      <c r="H30" s="895"/>
      <c r="I30" s="895"/>
      <c r="K30" s="896">
        <f>K21*K28</f>
        <v>32003186.5</v>
      </c>
    </row>
    <row r="31" spans="1:11" ht="13.5" customHeight="1">
      <c r="E31" s="1580"/>
      <c r="K31" s="894"/>
    </row>
    <row r="32" spans="1:11" s="650" customFormat="1" ht="16.5" customHeight="1">
      <c r="A32" s="897" t="s">
        <v>3554</v>
      </c>
      <c r="B32" s="882"/>
      <c r="C32" s="882"/>
      <c r="D32" s="882"/>
      <c r="E32" s="1578"/>
    </row>
    <row r="33" spans="1:11" ht="6" customHeight="1" thickBot="1">
      <c r="E33" s="1580"/>
    </row>
    <row r="34" spans="1:11" s="650" customFormat="1" ht="18" customHeight="1" thickBot="1">
      <c r="A34" s="898" t="s">
        <v>3550</v>
      </c>
      <c r="B34" s="882"/>
      <c r="C34" s="882"/>
      <c r="D34" s="882"/>
      <c r="E34" s="1578" t="s">
        <v>3548</v>
      </c>
      <c r="K34" s="899">
        <f>MIN(E13,K30)</f>
        <v>0</v>
      </c>
    </row>
    <row r="35" spans="1:11" ht="6" customHeight="1">
      <c r="E35" s="1580"/>
    </row>
    <row r="36" spans="1:11" s="650" customFormat="1" ht="15" customHeight="1">
      <c r="A36" s="882" t="s">
        <v>3551</v>
      </c>
      <c r="E36" s="1578" t="s">
        <v>3549</v>
      </c>
      <c r="K36" s="900">
        <f>Overview!C25</f>
        <v>10392870</v>
      </c>
    </row>
    <row r="37" spans="1:11" s="650" customFormat="1" ht="9" customHeight="1" thickBot="1">
      <c r="E37" s="901"/>
      <c r="F37" s="901"/>
      <c r="G37" s="901"/>
      <c r="H37" s="901"/>
      <c r="K37" s="902"/>
    </row>
    <row r="38" spans="1:11" s="650" customFormat="1" ht="15.75" customHeight="1">
      <c r="A38" s="4216" t="s">
        <v>3545</v>
      </c>
      <c r="B38" s="4216"/>
      <c r="C38" s="4216"/>
      <c r="D38" s="4217" t="s">
        <v>3084</v>
      </c>
      <c r="E38" s="4217"/>
      <c r="F38" s="4217" t="s">
        <v>3085</v>
      </c>
      <c r="G38" s="4217"/>
      <c r="H38" s="4217"/>
      <c r="I38" s="2187" t="s">
        <v>2829</v>
      </c>
      <c r="K38" s="4218">
        <f>ROUND((D39/F39)*I39,0)</f>
        <v>51</v>
      </c>
    </row>
    <row r="39" spans="1:11" s="650" customFormat="1" ht="15.75" customHeight="1" thickBot="1">
      <c r="A39" s="4216"/>
      <c r="B39" s="4216"/>
      <c r="C39" s="4216"/>
      <c r="D39" s="4220">
        <f>K36</f>
        <v>10392870</v>
      </c>
      <c r="E39" s="4220"/>
      <c r="F39" s="4221">
        <f>K28</f>
        <v>32003186.5</v>
      </c>
      <c r="G39" s="4221"/>
      <c r="H39" s="4221"/>
      <c r="I39" s="903">
        <f>K19</f>
        <v>156</v>
      </c>
      <c r="K39" s="4219"/>
    </row>
    <row r="40" spans="1:11" ht="12.75" customHeight="1">
      <c r="D40" s="904" t="s">
        <v>3546</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4" customWidth="1"/>
    <col min="2" max="2" width="0.85546875" style="864" customWidth="1"/>
    <col min="3" max="3" width="16.42578125" style="864" customWidth="1"/>
    <col min="4" max="4" width="18.140625" style="864" customWidth="1"/>
    <col min="5" max="5" width="16.42578125" style="864" customWidth="1"/>
    <col min="6" max="6" width="13.140625" style="864" customWidth="1"/>
    <col min="7" max="7" width="14.42578125" style="864" customWidth="1"/>
    <col min="8" max="8" width="5.85546875" style="864" customWidth="1"/>
    <col min="9" max="16384" width="9.140625" style="864"/>
  </cols>
  <sheetData>
    <row r="1" spans="1:13" ht="12" customHeight="1">
      <c r="A1" s="4225" t="str">
        <f>CONCATENATE(Overview!E8,"  ",Overview!C8)</f>
        <v>2019-5  55 Milton</v>
      </c>
      <c r="B1" s="4225"/>
      <c r="C1" s="4225"/>
      <c r="D1" s="4225"/>
      <c r="E1" s="4225"/>
      <c r="F1" s="4225"/>
      <c r="G1" s="4225"/>
      <c r="H1" s="4225"/>
    </row>
    <row r="3" spans="1:13" ht="12" customHeight="1">
      <c r="A3" s="4226" t="s">
        <v>3506</v>
      </c>
      <c r="B3" s="4226"/>
      <c r="C3" s="4226"/>
      <c r="D3" s="4226"/>
      <c r="E3" s="4226"/>
      <c r="F3" s="4226"/>
      <c r="G3" s="4226"/>
      <c r="H3" s="4226"/>
      <c r="I3" s="2191"/>
      <c r="J3" s="4228" t="s">
        <v>4253</v>
      </c>
      <c r="K3" s="4228"/>
      <c r="L3" s="937"/>
      <c r="M3" s="937"/>
    </row>
    <row r="4" spans="1:13">
      <c r="J4" s="4228"/>
      <c r="K4" s="4228"/>
    </row>
    <row r="5" spans="1:13" ht="12" customHeight="1">
      <c r="A5" s="864">
        <v>1</v>
      </c>
      <c r="C5" s="864" t="s">
        <v>3091</v>
      </c>
      <c r="E5" s="919" t="str">
        <f>Overview!H9</f>
        <v>Milton Family I, LP</v>
      </c>
      <c r="J5" s="4228"/>
      <c r="K5" s="4228"/>
    </row>
    <row r="6" spans="1:13" ht="3" customHeight="1">
      <c r="H6" s="881"/>
      <c r="J6" s="4228"/>
      <c r="K6" s="4228"/>
    </row>
    <row r="7" spans="1:13" ht="12" customHeight="1">
      <c r="A7" s="864">
        <v>2</v>
      </c>
      <c r="C7" s="864" t="s">
        <v>3092</v>
      </c>
      <c r="E7" s="919" t="str">
        <f>'Part II-Development Team'!H6</f>
        <v>3715 Northside Pkwy Bldg 200 Ste 175</v>
      </c>
      <c r="J7" s="4228"/>
      <c r="K7" s="4228"/>
    </row>
    <row r="8" spans="1:13" ht="12" customHeight="1">
      <c r="E8" s="919" t="str">
        <f>+'Part II-Development Team'!H7&amp;","&amp;" "&amp;'Part II-Development Team'!H8&amp;" "&amp;LEFT('Part II-Development Team'!J8,5)</f>
        <v>Atlanta, GA 30327</v>
      </c>
      <c r="J8" s="4228"/>
      <c r="K8" s="4228"/>
    </row>
    <row r="9" spans="1:13" ht="12" customHeight="1">
      <c r="C9" s="864" t="s">
        <v>3093</v>
      </c>
      <c r="E9" s="4227" t="str">
        <f>'Part II-Development Team'!L7</f>
        <v>83-0567133</v>
      </c>
      <c r="F9" s="4227"/>
      <c r="J9" s="4228"/>
      <c r="K9" s="4228"/>
    </row>
    <row r="10" spans="1:13" ht="12" customHeight="1">
      <c r="C10" s="864" t="s">
        <v>3094</v>
      </c>
      <c r="E10" s="919" t="str">
        <f>'Part II-Development Team'!Q5</f>
        <v>Wiley A. Tucker, III</v>
      </c>
    </row>
    <row r="11" spans="1:13" ht="12" customHeight="1">
      <c r="C11" s="864" t="s">
        <v>4258</v>
      </c>
      <c r="E11" s="919" t="str">
        <f>'Part II-Development Team'!L9</f>
        <v>jody@prestwickcompanies.com</v>
      </c>
    </row>
    <row r="12" spans="1:13" ht="12" customHeight="1">
      <c r="C12" s="864" t="s">
        <v>4254</v>
      </c>
      <c r="E12" s="2192">
        <f>'Part II-Development Team'!H9</f>
        <v>4049493871</v>
      </c>
    </row>
    <row r="13" spans="1:13" ht="12" customHeight="1">
      <c r="C13" s="864" t="s">
        <v>4257</v>
      </c>
      <c r="E13" s="2192">
        <f>'Part II-Development Team'!Q7</f>
        <v>4049493871</v>
      </c>
    </row>
    <row r="14" spans="1:13" ht="3" customHeight="1"/>
    <row r="15" spans="1:13" ht="12" customHeight="1">
      <c r="A15" s="864">
        <v>3</v>
      </c>
      <c r="C15" s="864" t="s">
        <v>3095</v>
      </c>
      <c r="E15" s="919" t="str">
        <f>Overview!C8</f>
        <v>55 Milton</v>
      </c>
    </row>
    <row r="16" spans="1:13" ht="12" customHeight="1">
      <c r="C16" s="864" t="s">
        <v>3096</v>
      </c>
      <c r="E16" s="919" t="str">
        <f>'Part I-Project Information'!$F$35</f>
        <v>55 Milton Avenue</v>
      </c>
    </row>
    <row r="17" spans="1:8" ht="12" customHeight="1">
      <c r="E17" s="919" t="str">
        <f>+'Part I-Project Information'!$F$38&amp;","&amp;" GA "&amp;LEFT('Part I-Project Information'!$J$38,5)</f>
        <v>Atlanta, GA 30315</v>
      </c>
    </row>
    <row r="18" spans="1:8" ht="3" customHeight="1"/>
    <row r="19" spans="1:8" ht="12" customHeight="1">
      <c r="A19" s="864">
        <v>4</v>
      </c>
      <c r="C19" s="864" t="s">
        <v>3097</v>
      </c>
      <c r="E19" s="919" t="str">
        <f>'Part II-Development Team'!H92</f>
        <v>Elmington Property Management</v>
      </c>
    </row>
    <row r="20" spans="1:8" ht="12" customHeight="1">
      <c r="C20" s="864" t="s">
        <v>3098</v>
      </c>
      <c r="E20" s="919" t="str">
        <f>'Part II-Development Team'!H93</f>
        <v>118 16th Ave S #200</v>
      </c>
    </row>
    <row r="21" spans="1:8" ht="12" customHeight="1">
      <c r="E21" s="919" t="str">
        <f>+'Part II-Development Team'!H94&amp;","&amp;" "&amp;'Part II-Development Team'!H95&amp;" "&amp;LEFT('Part II-Development Team'!L95,5)</f>
        <v>Nashville, TN 37203</v>
      </c>
    </row>
    <row r="22" spans="1:8" ht="12" customHeight="1">
      <c r="C22" s="864" t="s">
        <v>4254</v>
      </c>
      <c r="E22" s="2192">
        <f>'Part II-Development Team'!H96</f>
        <v>6154906700</v>
      </c>
    </row>
    <row r="23" spans="1:8" ht="12" customHeight="1">
      <c r="C23" s="864" t="s">
        <v>4257</v>
      </c>
      <c r="E23" s="2192">
        <f>'Part II-Development Team'!Q94</f>
        <v>6154906721</v>
      </c>
    </row>
    <row r="24" spans="1:8" ht="12" customHeight="1">
      <c r="C24" s="864" t="s">
        <v>4258</v>
      </c>
      <c r="E24" s="2192" t="str">
        <f>'Part II-Development Team'!L96</f>
        <v>bcather@elmingtonpm.com</v>
      </c>
    </row>
    <row r="25" spans="1:8" ht="3" customHeight="1">
      <c r="E25" s="919"/>
    </row>
    <row r="26" spans="1:8" ht="12" customHeight="1">
      <c r="A26" s="864">
        <v>5</v>
      </c>
      <c r="C26" s="864" t="s">
        <v>3099</v>
      </c>
      <c r="E26" s="919" t="str">
        <f>Overview!$H$7</f>
        <v>New Construction</v>
      </c>
    </row>
    <row r="27" spans="1:8" ht="12" customHeight="1">
      <c r="E27" s="2190" t="s">
        <v>1771</v>
      </c>
    </row>
    <row r="28" spans="1:8" ht="12" customHeight="1">
      <c r="C28" s="864" t="s">
        <v>3505</v>
      </c>
      <c r="E28" s="864" t="str">
        <f>Overview!$C$9</f>
        <v>&lt;&lt;Select&gt;&gt;</v>
      </c>
    </row>
    <row r="29" spans="1:8" ht="3" customHeight="1">
      <c r="H29" s="941"/>
    </row>
    <row r="30" spans="1:8" ht="12" customHeight="1">
      <c r="A30" s="864">
        <v>6</v>
      </c>
      <c r="C30" s="864" t="s">
        <v>3100</v>
      </c>
      <c r="E30" s="864" t="s">
        <v>2408</v>
      </c>
      <c r="F30" s="2193">
        <f>'Part III-Sources of Funds'!L20</f>
        <v>21630000</v>
      </c>
      <c r="G30" s="864" t="s">
        <v>3101</v>
      </c>
    </row>
    <row r="31" spans="1:8" ht="12" customHeight="1">
      <c r="F31" s="2193" t="s">
        <v>3102</v>
      </c>
      <c r="G31" s="864" t="s">
        <v>3103</v>
      </c>
    </row>
    <row r="32" spans="1:8" ht="3" customHeight="1">
      <c r="F32" s="909"/>
    </row>
    <row r="33" spans="1:7" ht="12" customHeight="1">
      <c r="A33" s="864">
        <v>7</v>
      </c>
      <c r="C33" s="864" t="s">
        <v>3104</v>
      </c>
      <c r="F33" s="2194">
        <v>0</v>
      </c>
    </row>
    <row r="34" spans="1:7" ht="3" customHeight="1">
      <c r="F34" s="909"/>
    </row>
    <row r="35" spans="1:7" ht="12" customHeight="1">
      <c r="A35" s="864">
        <v>8</v>
      </c>
      <c r="C35" s="864" t="s">
        <v>3105</v>
      </c>
      <c r="E35" s="864" t="s">
        <v>2408</v>
      </c>
      <c r="F35" s="2195">
        <v>0.01</v>
      </c>
    </row>
    <row r="36" spans="1:7" ht="3" customHeight="1">
      <c r="F36" s="2194"/>
    </row>
    <row r="37" spans="1:7" ht="12" customHeight="1">
      <c r="A37" s="864">
        <v>9</v>
      </c>
      <c r="C37" s="864" t="s">
        <v>3106</v>
      </c>
      <c r="F37" s="2196">
        <v>24</v>
      </c>
      <c r="G37" s="864" t="s">
        <v>3107</v>
      </c>
    </row>
    <row r="38" spans="1:7" ht="3" customHeight="1">
      <c r="F38" s="2194"/>
    </row>
    <row r="39" spans="1:7" ht="12" customHeight="1">
      <c r="A39" s="864">
        <v>10</v>
      </c>
      <c r="C39" s="864" t="s">
        <v>3108</v>
      </c>
      <c r="E39" s="864" t="s">
        <v>2408</v>
      </c>
      <c r="F39" s="909">
        <f>'Part III-Sources of Funds'!L38*12</f>
        <v>216</v>
      </c>
      <c r="G39" s="864" t="s">
        <v>3107</v>
      </c>
    </row>
    <row r="40" spans="1:7" ht="3" customHeight="1">
      <c r="F40" s="909"/>
    </row>
    <row r="41" spans="1:7" ht="12" customHeight="1">
      <c r="A41" s="864">
        <v>11</v>
      </c>
      <c r="C41" s="864" t="s">
        <v>3109</v>
      </c>
      <c r="F41" s="2197">
        <v>24</v>
      </c>
      <c r="G41" s="864" t="s">
        <v>3107</v>
      </c>
    </row>
    <row r="42" spans="1:7" ht="3" customHeight="1"/>
    <row r="43" spans="1:7" ht="12" customHeight="1">
      <c r="A43" s="864">
        <v>12</v>
      </c>
      <c r="C43" s="864" t="s">
        <v>3110</v>
      </c>
      <c r="F43" s="2198" t="s">
        <v>3111</v>
      </c>
    </row>
    <row r="44" spans="1:7" ht="3" customHeight="1"/>
    <row r="45" spans="1:7" ht="12" customHeight="1">
      <c r="A45" s="864">
        <v>13</v>
      </c>
      <c r="C45" s="864" t="s">
        <v>3112</v>
      </c>
      <c r="E45" s="864" t="s">
        <v>2408</v>
      </c>
      <c r="F45" s="919" t="s">
        <v>3113</v>
      </c>
    </row>
    <row r="46" spans="1:7" ht="3" customHeight="1">
      <c r="F46" s="881"/>
    </row>
    <row r="47" spans="1:7" ht="12" customHeight="1">
      <c r="A47" s="864">
        <v>14</v>
      </c>
      <c r="C47" s="864" t="s">
        <v>3114</v>
      </c>
      <c r="E47" s="919" t="str">
        <f>'Part II-Development Team'!H14</f>
        <v>Milton Family I GP, LLC</v>
      </c>
    </row>
    <row r="48" spans="1:7" ht="3" customHeight="1">
      <c r="E48" s="919"/>
    </row>
    <row r="49" spans="1:7" ht="12" customHeight="1">
      <c r="A49" s="864">
        <v>15</v>
      </c>
      <c r="C49" s="864" t="s">
        <v>4260</v>
      </c>
      <c r="E49" s="919" t="str">
        <f>'Part II-Development Team'!Q98</f>
        <v>Jeff Adams</v>
      </c>
      <c r="G49" s="919" t="str">
        <f>'Part II-Development Team'!H98</f>
        <v>Arnall Golden Gregory</v>
      </c>
    </row>
    <row r="50" spans="1:7" ht="12" customHeight="1">
      <c r="C50" s="864" t="s">
        <v>3115</v>
      </c>
      <c r="E50" s="919">
        <f>'Part II-Development Team'!O102</f>
        <v>0</v>
      </c>
      <c r="F50" s="909"/>
    </row>
    <row r="51" spans="1:7" ht="3" customHeight="1">
      <c r="F51" s="909"/>
    </row>
    <row r="52" spans="1:7" ht="12" customHeight="1">
      <c r="A52" s="864">
        <v>16</v>
      </c>
      <c r="C52" s="864" t="s">
        <v>3116</v>
      </c>
      <c r="F52" s="2197">
        <f>Overview!C13</f>
        <v>156</v>
      </c>
    </row>
    <row r="53" spans="1:7" ht="3" customHeight="1">
      <c r="F53" s="909"/>
    </row>
    <row r="54" spans="1:7" ht="12" customHeight="1">
      <c r="A54" s="937">
        <v>17</v>
      </c>
      <c r="B54" s="937"/>
      <c r="C54" s="937" t="s">
        <v>3117</v>
      </c>
      <c r="D54" s="937"/>
      <c r="E54" s="937"/>
      <c r="F54" s="2199">
        <f>'HOME Allocation Limit WS'!K18</f>
        <v>156</v>
      </c>
      <c r="G54" s="937"/>
    </row>
    <row r="55" spans="1:7" ht="3" customHeight="1">
      <c r="F55" s="909"/>
    </row>
    <row r="56" spans="1:7" ht="12" customHeight="1">
      <c r="A56" s="864">
        <v>18</v>
      </c>
      <c r="C56" s="864" t="s">
        <v>3118</v>
      </c>
      <c r="F56" s="2199">
        <f>'Part VI-Revenues &amp; Expenses'!O66</f>
        <v>0</v>
      </c>
      <c r="G56" s="864" t="s">
        <v>4259</v>
      </c>
    </row>
    <row r="57" spans="1:7" ht="3" customHeight="1">
      <c r="F57" s="909"/>
    </row>
    <row r="58" spans="1:7" ht="12" customHeight="1">
      <c r="A58" s="864">
        <v>19</v>
      </c>
      <c r="C58" s="864" t="s">
        <v>3119</v>
      </c>
      <c r="F58" s="2200"/>
      <c r="G58" s="864" t="s">
        <v>3507</v>
      </c>
    </row>
    <row r="59" spans="1:7" ht="3" customHeight="1">
      <c r="F59" s="909"/>
    </row>
    <row r="60" spans="1:7" ht="12" customHeight="1">
      <c r="A60" s="864">
        <v>20</v>
      </c>
      <c r="C60" s="864" t="s">
        <v>3120</v>
      </c>
      <c r="F60" s="2201" t="s">
        <v>970</v>
      </c>
      <c r="G60" s="937"/>
    </row>
    <row r="61" spans="1:7" ht="3" customHeight="1"/>
    <row r="62" spans="1:7" ht="12" customHeight="1">
      <c r="A62" s="864">
        <v>21</v>
      </c>
      <c r="C62" s="864" t="s">
        <v>3522</v>
      </c>
      <c r="E62" s="2202" t="s">
        <v>3508</v>
      </c>
      <c r="F62" s="2203" t="s">
        <v>3509</v>
      </c>
      <c r="G62" s="2202" t="s">
        <v>3121</v>
      </c>
    </row>
    <row r="63" spans="1:7" ht="12" customHeight="1">
      <c r="E63" s="2202" t="s">
        <v>3508</v>
      </c>
      <c r="F63" s="2203" t="s">
        <v>3509</v>
      </c>
      <c r="G63" s="2202"/>
    </row>
    <row r="64" spans="1:7" ht="3" customHeight="1"/>
    <row r="65" spans="1:7" ht="12" customHeight="1">
      <c r="A65" s="864">
        <v>22</v>
      </c>
      <c r="C65" s="864" t="s">
        <v>3122</v>
      </c>
      <c r="E65" s="919" t="str">
        <f>Overview!H9</f>
        <v>Milton Family I, LP</v>
      </c>
    </row>
    <row r="66" spans="1:7" ht="3" customHeight="1"/>
    <row r="67" spans="1:7" ht="12" customHeight="1">
      <c r="A67" s="864">
        <v>23</v>
      </c>
      <c r="C67" s="864" t="s">
        <v>3123</v>
      </c>
      <c r="F67" s="909" t="s">
        <v>3124</v>
      </c>
    </row>
    <row r="68" spans="1:7" ht="3" customHeight="1"/>
    <row r="69" spans="1:7" ht="12" customHeight="1">
      <c r="A69" s="864">
        <v>24</v>
      </c>
      <c r="C69" s="864" t="s">
        <v>3125</v>
      </c>
      <c r="E69" s="864" t="s">
        <v>2408</v>
      </c>
      <c r="F69" s="909">
        <v>20</v>
      </c>
      <c r="G69" s="864" t="s">
        <v>2468</v>
      </c>
    </row>
    <row r="70" spans="1:7" ht="3" customHeight="1"/>
    <row r="71" spans="1:7" ht="12" customHeight="1">
      <c r="A71" s="864">
        <v>25</v>
      </c>
      <c r="C71" s="864" t="s">
        <v>3126</v>
      </c>
      <c r="F71" s="2204">
        <f>'Part IV-A-Uses of Funds'!$G$122</f>
        <v>694940</v>
      </c>
    </row>
    <row r="72" spans="1:7" ht="3" customHeight="1">
      <c r="F72" s="2204"/>
    </row>
    <row r="73" spans="1:7" ht="12" customHeight="1">
      <c r="A73" s="864">
        <v>26</v>
      </c>
      <c r="C73" s="864" t="s">
        <v>3127</v>
      </c>
      <c r="F73" s="2204">
        <f>'Part IV-A-Uses of Funds'!$G$123</f>
        <v>0</v>
      </c>
    </row>
    <row r="74" spans="1:7" ht="3" customHeight="1">
      <c r="F74" s="2204"/>
    </row>
    <row r="75" spans="1:7" ht="12" customHeight="1">
      <c r="A75" s="864">
        <v>27</v>
      </c>
      <c r="C75" s="864" t="s">
        <v>3128</v>
      </c>
      <c r="F75" s="2205">
        <f>'Part IV-A-Uses of Funds'!$G$121</f>
        <v>210295</v>
      </c>
    </row>
    <row r="76" spans="1:7" ht="3" customHeight="1">
      <c r="F76" s="2204"/>
    </row>
    <row r="77" spans="1:7" ht="12" customHeight="1">
      <c r="A77" s="864">
        <v>28</v>
      </c>
      <c r="C77" s="864" t="s">
        <v>3129</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4" customWidth="1"/>
    <col min="2" max="2" width="11" style="864" customWidth="1"/>
    <col min="3" max="3" width="31" style="864" customWidth="1"/>
    <col min="4" max="4" width="14" style="864" customWidth="1"/>
    <col min="5" max="10" width="11.140625" style="864" customWidth="1"/>
    <col min="11" max="16384" width="9.140625" style="864"/>
  </cols>
  <sheetData>
    <row r="1" spans="1:13" ht="15">
      <c r="A1" s="4229" t="s">
        <v>3318</v>
      </c>
      <c r="B1" s="4229"/>
      <c r="C1" s="4229"/>
      <c r="D1" s="4229"/>
      <c r="E1" s="4229"/>
      <c r="F1" s="4229"/>
      <c r="G1" s="4229"/>
      <c r="H1" s="4229"/>
      <c r="I1" s="4229"/>
      <c r="J1" s="4229"/>
    </row>
    <row r="2" spans="1:13" ht="15">
      <c r="A2" s="4229" t="str">
        <f>Overview!E8&amp;"  "&amp;Overview!C8</f>
        <v>2019-5  55 Milton</v>
      </c>
      <c r="B2" s="4229"/>
      <c r="C2" s="4229"/>
      <c r="D2" s="4229"/>
      <c r="E2" s="4229"/>
      <c r="F2" s="4229"/>
      <c r="G2" s="4229"/>
      <c r="H2" s="4229"/>
      <c r="I2" s="4229"/>
      <c r="J2" s="4229"/>
    </row>
    <row r="3" spans="1:13" ht="6" customHeight="1">
      <c r="K3" s="4228" t="s">
        <v>4253</v>
      </c>
      <c r="L3" s="4228"/>
      <c r="M3" s="4228"/>
    </row>
    <row r="4" spans="1:13" ht="12" customHeight="1">
      <c r="A4" s="905" t="s">
        <v>3130</v>
      </c>
      <c r="K4" s="4228"/>
      <c r="L4" s="4228"/>
      <c r="M4" s="4228"/>
    </row>
    <row r="5" spans="1:13" ht="12" customHeight="1">
      <c r="A5" s="864" t="s">
        <v>3131</v>
      </c>
      <c r="C5" s="906" t="str">
        <f>'Subsidy Layering Memo'!D6</f>
        <v>(Underwriter)</v>
      </c>
      <c r="I5" s="906"/>
      <c r="K5" s="4228"/>
      <c r="L5" s="4228"/>
      <c r="M5" s="4228"/>
    </row>
    <row r="6" spans="1:13" ht="6" customHeight="1">
      <c r="C6" s="801"/>
      <c r="D6" s="906"/>
      <c r="I6" s="906"/>
      <c r="K6" s="4228"/>
      <c r="L6" s="4228"/>
      <c r="M6" s="4228"/>
    </row>
    <row r="7" spans="1:13" ht="12" customHeight="1">
      <c r="A7" s="905" t="s">
        <v>3132</v>
      </c>
      <c r="C7" s="801"/>
      <c r="D7" s="906"/>
      <c r="I7" s="906"/>
      <c r="K7" s="4228"/>
      <c r="L7" s="4228"/>
      <c r="M7" s="4228"/>
    </row>
    <row r="8" spans="1:13" ht="12" customHeight="1">
      <c r="A8" s="864" t="s">
        <v>3133</v>
      </c>
      <c r="C8" s="906" t="str">
        <f>Overview!$H$9</f>
        <v>Milton Family I, LP</v>
      </c>
      <c r="I8" s="906"/>
      <c r="K8" s="4228"/>
      <c r="L8" s="4228"/>
      <c r="M8" s="4228"/>
    </row>
    <row r="9" spans="1:13" ht="3" customHeight="1">
      <c r="C9" s="801"/>
      <c r="D9" s="906"/>
      <c r="I9" s="906"/>
    </row>
    <row r="10" spans="1:13" ht="12" customHeight="1">
      <c r="A10" s="864" t="s">
        <v>3134</v>
      </c>
      <c r="C10" s="1588" t="s">
        <v>1771</v>
      </c>
      <c r="I10" s="906"/>
    </row>
    <row r="11" spans="1:13" ht="12" customHeight="1">
      <c r="C11" s="1588" t="s">
        <v>1771</v>
      </c>
      <c r="I11" s="906"/>
    </row>
    <row r="12" spans="1:13" ht="12" customHeight="1">
      <c r="C12" s="906" t="s">
        <v>2678</v>
      </c>
      <c r="D12" s="927" t="s">
        <v>1771</v>
      </c>
      <c r="I12" s="906"/>
    </row>
    <row r="13" spans="1:13" ht="12" customHeight="1">
      <c r="C13" s="906" t="s">
        <v>3135</v>
      </c>
      <c r="D13" s="4232"/>
      <c r="E13" s="4232"/>
      <c r="F13" s="4232"/>
      <c r="G13" s="4232"/>
      <c r="H13" s="4232"/>
      <c r="I13" s="4232"/>
      <c r="J13" s="4232"/>
    </row>
    <row r="14" spans="1:13" ht="3" customHeight="1">
      <c r="G14" s="801"/>
      <c r="H14" s="906"/>
      <c r="I14" s="906"/>
    </row>
    <row r="15" spans="1:13" ht="12" customHeight="1">
      <c r="A15" s="864" t="s">
        <v>3136</v>
      </c>
      <c r="C15" s="908" t="str">
        <f>'Preview term'!E10</f>
        <v>Wiley A. Tucker, III</v>
      </c>
      <c r="G15" s="801"/>
      <c r="I15" s="906"/>
    </row>
    <row r="16" spans="1:13" ht="12" customHeight="1">
      <c r="A16" s="919" t="s">
        <v>4469</v>
      </c>
      <c r="C16" s="908" t="str">
        <f>'Part II-Development Team'!Q6</f>
        <v>Manager</v>
      </c>
      <c r="G16" s="801"/>
      <c r="I16" s="906"/>
    </row>
    <row r="17" spans="1:9" ht="3" customHeight="1">
      <c r="G17" s="801"/>
      <c r="H17" s="906"/>
      <c r="I17" s="906"/>
    </row>
    <row r="18" spans="1:9" ht="12" customHeight="1">
      <c r="A18" s="864" t="s">
        <v>3137</v>
      </c>
      <c r="C18" s="908" t="str">
        <f>'Preview term'!$E$7</f>
        <v>3715 Northside Pkwy Bldg 200 Ste 175</v>
      </c>
      <c r="G18" s="801"/>
      <c r="I18" s="906"/>
    </row>
    <row r="19" spans="1:9" ht="12" customHeight="1">
      <c r="C19" s="908" t="str">
        <f>'Preview term'!$E$8</f>
        <v>Atlanta, GA 30327</v>
      </c>
      <c r="G19" s="801"/>
      <c r="I19" s="906"/>
    </row>
    <row r="20" spans="1:9" ht="3" customHeight="1">
      <c r="G20" s="801"/>
      <c r="H20" s="906"/>
      <c r="I20" s="906"/>
    </row>
    <row r="21" spans="1:9" ht="12" customHeight="1">
      <c r="A21" s="864" t="s">
        <v>3138</v>
      </c>
      <c r="C21" s="908" t="str">
        <f>CONCATENATE('Preview term'!E49," of  ",'Preview term'!G49)</f>
        <v>Jeff Adams of  Arnall Golden Gregory</v>
      </c>
      <c r="G21" s="801"/>
      <c r="I21" s="906"/>
    </row>
    <row r="22" spans="1:9" ht="3" customHeight="1">
      <c r="C22" s="908"/>
      <c r="G22" s="801"/>
      <c r="I22" s="906"/>
    </row>
    <row r="23" spans="1:9" ht="12" customHeight="1">
      <c r="A23" s="864" t="s">
        <v>3139</v>
      </c>
      <c r="C23" s="908">
        <f>'Preview term'!E12</f>
        <v>4049493871</v>
      </c>
      <c r="G23" s="801"/>
      <c r="I23" s="906"/>
    </row>
    <row r="24" spans="1:9" ht="3" customHeight="1">
      <c r="C24" s="908"/>
      <c r="G24" s="801"/>
      <c r="I24" s="906"/>
    </row>
    <row r="25" spans="1:9" ht="12" customHeight="1">
      <c r="A25" s="864" t="s">
        <v>3140</v>
      </c>
      <c r="C25" s="1590" t="str">
        <f>'Preview term'!E11</f>
        <v>jody@prestwickcompanies.com</v>
      </c>
      <c r="G25" s="801"/>
    </row>
    <row r="26" spans="1:9" ht="6" customHeight="1">
      <c r="G26" s="801"/>
      <c r="H26" s="906"/>
      <c r="I26" s="906"/>
    </row>
    <row r="27" spans="1:9" ht="12" customHeight="1">
      <c r="A27" s="905" t="s">
        <v>3141</v>
      </c>
      <c r="G27" s="801"/>
      <c r="H27" s="906"/>
      <c r="I27" s="906"/>
    </row>
    <row r="28" spans="1:9" ht="12" customHeight="1">
      <c r="A28" s="864" t="s">
        <v>3142</v>
      </c>
      <c r="C28" s="908" t="str">
        <f>Overview!$C$8</f>
        <v>55 Milton</v>
      </c>
      <c r="I28" s="906"/>
    </row>
    <row r="29" spans="1:9" ht="3" customHeight="1">
      <c r="C29" s="908"/>
      <c r="I29" s="906"/>
    </row>
    <row r="30" spans="1:9" ht="12" customHeight="1">
      <c r="A30" s="864" t="s">
        <v>3143</v>
      </c>
      <c r="C30" s="908" t="str">
        <f>'Preview term'!E16</f>
        <v>55 Milton Avenue</v>
      </c>
      <c r="I30" s="906"/>
    </row>
    <row r="31" spans="1:9">
      <c r="C31" s="906" t="str">
        <f>'Preview term'!E17</f>
        <v>Atlanta, GA 30315</v>
      </c>
      <c r="I31" s="906"/>
    </row>
    <row r="32" spans="1:9" ht="3" customHeight="1">
      <c r="C32" s="801"/>
      <c r="D32" s="801"/>
      <c r="I32" s="801"/>
    </row>
    <row r="33" spans="1:10" ht="12" customHeight="1">
      <c r="A33" s="864" t="s">
        <v>3144</v>
      </c>
      <c r="C33" s="801" t="s">
        <v>3145</v>
      </c>
      <c r="D33" s="1589">
        <f>'Preview term'!F54</f>
        <v>156</v>
      </c>
      <c r="I33" s="801"/>
    </row>
    <row r="34" spans="1:10" ht="12" customHeight="1">
      <c r="C34" s="801" t="s">
        <v>3146</v>
      </c>
      <c r="D34" s="910">
        <f>'HOME Allocation Limit WS'!H12-'HOME Allocation Limit WS'!D12</f>
        <v>0</v>
      </c>
      <c r="I34" s="801"/>
    </row>
    <row r="35" spans="1:10" ht="12" customHeight="1">
      <c r="C35" s="801" t="s">
        <v>3147</v>
      </c>
      <c r="D35" s="911">
        <f>SUM(D33:D34)</f>
        <v>156</v>
      </c>
      <c r="I35" s="801"/>
    </row>
    <row r="36" spans="1:10" ht="3" customHeight="1">
      <c r="C36" s="801"/>
      <c r="D36" s="801"/>
      <c r="I36" s="801"/>
    </row>
    <row r="37" spans="1:10" ht="12" customHeight="1">
      <c r="A37" s="864" t="s">
        <v>3148</v>
      </c>
      <c r="C37" s="2202" t="s">
        <v>1771</v>
      </c>
      <c r="D37" s="1587">
        <f>'Preview term'!F56</f>
        <v>0</v>
      </c>
      <c r="E37" s="801" t="s">
        <v>3149</v>
      </c>
      <c r="I37" s="801"/>
    </row>
    <row r="38" spans="1:10" ht="3" customHeight="1">
      <c r="G38" s="912"/>
      <c r="H38" s="801"/>
      <c r="I38" s="801"/>
    </row>
    <row r="39" spans="1:10" ht="25.5" customHeight="1">
      <c r="A39" s="913" t="s">
        <v>3150</v>
      </c>
      <c r="C39" s="4230"/>
      <c r="D39" s="4230"/>
      <c r="E39" s="4230"/>
      <c r="F39" s="4230"/>
      <c r="G39" s="4230"/>
      <c r="H39" s="4230"/>
      <c r="I39" s="4230"/>
      <c r="J39" s="4230"/>
    </row>
    <row r="40" spans="1:10" ht="3" customHeight="1">
      <c r="G40" s="801"/>
      <c r="H40" s="801"/>
      <c r="I40" s="801"/>
    </row>
    <row r="41" spans="1:10" ht="25.5" customHeight="1">
      <c r="A41" s="913" t="s">
        <v>3151</v>
      </c>
      <c r="C41" s="4231" t="s">
        <v>3510</v>
      </c>
      <c r="D41" s="4231"/>
      <c r="E41" s="4231"/>
      <c r="F41" s="4231"/>
      <c r="G41" s="4231"/>
      <c r="H41" s="4231"/>
      <c r="I41" s="4231"/>
      <c r="J41" s="4231"/>
    </row>
    <row r="42" spans="1:10" ht="3" customHeight="1">
      <c r="C42" s="648"/>
      <c r="D42" s="648"/>
      <c r="E42" s="648"/>
      <c r="F42" s="648"/>
      <c r="G42" s="648"/>
      <c r="H42" s="649"/>
      <c r="I42" s="650"/>
      <c r="J42" s="649"/>
    </row>
    <row r="43" spans="1:10" ht="12" customHeight="1">
      <c r="A43" s="864" t="s">
        <v>3152</v>
      </c>
      <c r="C43" s="737" t="str">
        <f>'Part I-Project Information'!J39</f>
        <v>Fulton</v>
      </c>
      <c r="D43" s="648"/>
      <c r="F43" s="649"/>
      <c r="I43" s="650"/>
      <c r="J43" s="649"/>
    </row>
    <row r="44" spans="1:10" ht="3" customHeight="1">
      <c r="C44" s="648"/>
      <c r="D44" s="648"/>
      <c r="E44" s="648"/>
      <c r="F44" s="649"/>
      <c r="I44" s="650"/>
      <c r="J44" s="649"/>
    </row>
    <row r="45" spans="1:10" ht="12" customHeight="1">
      <c r="A45" s="864" t="s">
        <v>3153</v>
      </c>
      <c r="C45" s="927" t="s">
        <v>1771</v>
      </c>
      <c r="I45" s="650"/>
      <c r="J45" s="649"/>
    </row>
    <row r="46" spans="1:10" ht="3" customHeight="1">
      <c r="C46" s="801"/>
      <c r="D46" s="914"/>
      <c r="I46" s="801"/>
    </row>
    <row r="47" spans="1:10" ht="12" customHeight="1">
      <c r="A47" s="864" t="s">
        <v>3154</v>
      </c>
      <c r="C47" s="915"/>
      <c r="I47" s="916"/>
      <c r="J47" s="916"/>
    </row>
    <row r="48" spans="1:10" ht="3" customHeight="1">
      <c r="D48" s="916"/>
      <c r="E48" s="916"/>
      <c r="F48" s="916"/>
      <c r="G48" s="917"/>
      <c r="H48" s="801"/>
      <c r="I48" s="916"/>
      <c r="J48" s="916"/>
    </row>
    <row r="49" spans="1:10" ht="12" customHeight="1">
      <c r="A49" s="801"/>
      <c r="B49" s="864" t="s">
        <v>3155</v>
      </c>
      <c r="C49" s="4231" t="s">
        <v>575</v>
      </c>
      <c r="D49" s="4231"/>
      <c r="E49" s="4231"/>
      <c r="F49" s="4231"/>
      <c r="G49" s="4231"/>
      <c r="H49" s="4231"/>
      <c r="I49" s="4231"/>
      <c r="J49" s="4231"/>
    </row>
    <row r="50" spans="1:10" ht="12" customHeight="1">
      <c r="C50" s="4236" t="s">
        <v>1808</v>
      </c>
      <c r="D50" s="4236"/>
      <c r="E50" s="4236"/>
      <c r="F50" s="4236"/>
      <c r="G50" s="4236"/>
      <c r="H50" s="4236"/>
      <c r="I50" s="4236"/>
      <c r="J50" s="4236"/>
    </row>
    <row r="51" spans="1:10" ht="3" customHeight="1">
      <c r="D51" s="916"/>
      <c r="E51" s="916"/>
      <c r="F51" s="916"/>
      <c r="G51" s="917"/>
      <c r="H51" s="801"/>
      <c r="I51" s="916"/>
      <c r="J51" s="916"/>
    </row>
    <row r="52" spans="1:10" ht="12" customHeight="1">
      <c r="A52" s="913" t="s">
        <v>3156</v>
      </c>
      <c r="B52" s="913"/>
      <c r="C52" s="918" t="s">
        <v>3157</v>
      </c>
      <c r="D52" s="918" t="s">
        <v>3511</v>
      </c>
      <c r="E52" s="4237"/>
      <c r="F52" s="4237"/>
      <c r="G52" s="4237"/>
      <c r="H52" s="4237"/>
      <c r="I52" s="4237"/>
      <c r="J52" s="4237"/>
    </row>
    <row r="53" spans="1:10" ht="12" customHeight="1">
      <c r="A53" s="913"/>
      <c r="B53" s="913"/>
      <c r="C53" s="913"/>
      <c r="D53" s="918" t="s">
        <v>3512</v>
      </c>
      <c r="E53" s="4238"/>
      <c r="F53" s="4238"/>
      <c r="G53" s="4238"/>
      <c r="H53" s="4238"/>
      <c r="I53" s="4238"/>
      <c r="J53" s="4238"/>
    </row>
    <row r="54" spans="1:10" ht="12" customHeight="1">
      <c r="A54" s="905" t="s">
        <v>3158</v>
      </c>
      <c r="G54" s="801"/>
      <c r="H54" s="801"/>
      <c r="I54" s="801"/>
    </row>
    <row r="55" spans="1:10" ht="18" customHeight="1">
      <c r="A55" s="864" t="s">
        <v>3159</v>
      </c>
      <c r="C55" s="907" t="str">
        <f>Overview!C10</f>
        <v>Milton Family I GP, LLC</v>
      </c>
      <c r="G55" s="801"/>
      <c r="I55" s="801"/>
    </row>
    <row r="56" spans="1:10" ht="3" customHeight="1">
      <c r="C56" s="907"/>
      <c r="G56" s="801"/>
      <c r="I56" s="801"/>
    </row>
    <row r="57" spans="1:10" ht="12" customHeight="1">
      <c r="A57" s="864" t="s">
        <v>3160</v>
      </c>
      <c r="C57" s="907" t="str">
        <f>Overview!C11</f>
        <v/>
      </c>
      <c r="E57" s="907" t="str">
        <f>Overview!E11</f>
        <v/>
      </c>
      <c r="G57" s="801"/>
      <c r="I57" s="801"/>
    </row>
    <row r="58" spans="1:10" ht="3" customHeight="1">
      <c r="C58" s="907"/>
      <c r="G58" s="801"/>
      <c r="I58" s="801"/>
    </row>
    <row r="59" spans="1:10" ht="12" customHeight="1">
      <c r="A59" s="864" t="s">
        <v>3161</v>
      </c>
      <c r="C59" s="907" t="s">
        <v>2823</v>
      </c>
      <c r="G59" s="801"/>
      <c r="I59" s="801"/>
    </row>
    <row r="60" spans="1:10" ht="6" customHeight="1">
      <c r="G60" s="801"/>
      <c r="H60" s="801"/>
      <c r="I60" s="801"/>
    </row>
    <row r="61" spans="1:10" ht="12" customHeight="1">
      <c r="A61" s="905" t="s">
        <v>3162</v>
      </c>
      <c r="G61" s="801"/>
      <c r="H61" s="801"/>
      <c r="I61" s="801"/>
    </row>
    <row r="62" spans="1:10" ht="12" customHeight="1">
      <c r="A62" s="864" t="s">
        <v>3163</v>
      </c>
      <c r="C62" s="864" t="s">
        <v>3164</v>
      </c>
      <c r="D62" s="1591">
        <f>'Preview term'!F30</f>
        <v>21630000</v>
      </c>
      <c r="G62" s="801"/>
      <c r="I62" s="801"/>
    </row>
    <row r="63" spans="1:10" ht="3" customHeight="1">
      <c r="D63" s="919"/>
      <c r="G63" s="801"/>
      <c r="H63" s="920"/>
      <c r="I63" s="801"/>
    </row>
    <row r="64" spans="1:10" ht="12" customHeight="1">
      <c r="A64" s="864" t="s">
        <v>3165</v>
      </c>
      <c r="C64" s="864" t="s">
        <v>3167</v>
      </c>
      <c r="D64" s="907" t="s">
        <v>970</v>
      </c>
      <c r="G64" s="801"/>
      <c r="I64" s="801"/>
    </row>
    <row r="65" spans="1:10" ht="3" customHeight="1">
      <c r="D65" s="919"/>
      <c r="G65" s="801"/>
      <c r="H65" s="801"/>
      <c r="I65" s="801"/>
    </row>
    <row r="66" spans="1:10" ht="12" customHeight="1">
      <c r="A66" s="864" t="s">
        <v>3168</v>
      </c>
      <c r="C66" s="1592" t="s">
        <v>1771</v>
      </c>
      <c r="D66" s="933"/>
      <c r="I66" s="801"/>
    </row>
    <row r="67" spans="1:10" ht="12" customHeight="1">
      <c r="C67" s="864" t="s">
        <v>3169</v>
      </c>
      <c r="D67" s="2189" t="s">
        <v>1771</v>
      </c>
      <c r="I67" s="801"/>
    </row>
    <row r="68" spans="1:10" ht="12" customHeight="1">
      <c r="C68" s="864" t="s">
        <v>3135</v>
      </c>
      <c r="D68" s="4232"/>
      <c r="E68" s="4232"/>
      <c r="F68" s="4232"/>
      <c r="G68" s="4232"/>
      <c r="H68" s="4232"/>
      <c r="I68" s="4232"/>
      <c r="J68" s="4232"/>
    </row>
    <row r="69" spans="1:10" ht="3" customHeight="1">
      <c r="D69" s="919"/>
      <c r="E69" s="801"/>
      <c r="F69" s="801"/>
      <c r="I69" s="801"/>
    </row>
    <row r="70" spans="1:10" ht="12" customHeight="1">
      <c r="A70" s="864" t="s">
        <v>3170</v>
      </c>
      <c r="C70" s="864" t="s">
        <v>2408</v>
      </c>
      <c r="D70" s="927" t="s">
        <v>1771</v>
      </c>
      <c r="I70" s="801"/>
    </row>
    <row r="71" spans="1:10" ht="3" customHeight="1">
      <c r="D71" s="801"/>
      <c r="E71" s="801"/>
      <c r="I71" s="801"/>
    </row>
    <row r="72" spans="1:10" ht="12" customHeight="1">
      <c r="A72" s="864" t="s">
        <v>3171</v>
      </c>
      <c r="C72" s="1592" t="s">
        <v>1771</v>
      </c>
      <c r="I72" s="801"/>
    </row>
    <row r="73" spans="1:10" ht="3" customHeight="1">
      <c r="C73" s="919"/>
      <c r="G73" s="921"/>
      <c r="H73" s="801"/>
      <c r="I73" s="801"/>
    </row>
    <row r="74" spans="1:10" ht="12" customHeight="1">
      <c r="A74" s="864" t="s">
        <v>3172</v>
      </c>
      <c r="C74" s="919" t="s">
        <v>3173</v>
      </c>
      <c r="D74" s="1594">
        <v>0</v>
      </c>
      <c r="J74" s="801"/>
    </row>
    <row r="75" spans="1:10" ht="12" customHeight="1">
      <c r="C75" s="922" t="s">
        <v>3330</v>
      </c>
      <c r="D75" s="1595">
        <v>0.01</v>
      </c>
      <c r="J75" s="801"/>
    </row>
    <row r="76" spans="1:10" ht="3" customHeight="1">
      <c r="C76" s="919"/>
      <c r="D76" s="919"/>
      <c r="G76" s="801"/>
      <c r="H76" s="801"/>
      <c r="I76" s="801"/>
    </row>
    <row r="77" spans="1:10" ht="12" customHeight="1">
      <c r="A77" s="864" t="s">
        <v>3174</v>
      </c>
      <c r="C77" s="919" t="s">
        <v>3561</v>
      </c>
      <c r="D77" s="924">
        <v>24</v>
      </c>
      <c r="I77" s="801"/>
    </row>
    <row r="78" spans="1:10" ht="3" customHeight="1">
      <c r="D78" s="919"/>
      <c r="E78" s="801"/>
      <c r="F78" s="801"/>
      <c r="I78" s="801"/>
    </row>
    <row r="79" spans="1:10" ht="12" customHeight="1">
      <c r="A79" s="864" t="s">
        <v>3175</v>
      </c>
      <c r="C79" s="864" t="s">
        <v>2408</v>
      </c>
      <c r="D79" s="925">
        <f>'Preview term'!F39</f>
        <v>216</v>
      </c>
      <c r="E79" s="801" t="s">
        <v>3515</v>
      </c>
      <c r="I79" s="801"/>
    </row>
    <row r="80" spans="1:10" ht="3" customHeight="1">
      <c r="D80" s="919"/>
      <c r="G80" s="801"/>
      <c r="H80" s="801"/>
      <c r="I80" s="801"/>
    </row>
    <row r="81" spans="1:9" ht="12" customHeight="1">
      <c r="A81" s="864" t="s">
        <v>3176</v>
      </c>
      <c r="D81" s="1593">
        <v>0</v>
      </c>
      <c r="E81" s="926">
        <f>D81*12</f>
        <v>0</v>
      </c>
      <c r="F81" s="801" t="s">
        <v>3562</v>
      </c>
    </row>
    <row r="82" spans="1:9" ht="3" customHeight="1">
      <c r="D82" s="907"/>
      <c r="E82" s="801"/>
      <c r="G82" s="801"/>
    </row>
    <row r="83" spans="1:9" ht="12" customHeight="1">
      <c r="A83" s="864" t="s">
        <v>3177</v>
      </c>
      <c r="D83" s="2189" t="s">
        <v>970</v>
      </c>
      <c r="E83" s="801" t="s">
        <v>3178</v>
      </c>
      <c r="G83" s="801"/>
    </row>
    <row r="84" spans="1:9" ht="3" customHeight="1">
      <c r="G84" s="801"/>
      <c r="H84" s="801"/>
      <c r="I84" s="801"/>
    </row>
    <row r="85" spans="1:9" ht="12" customHeight="1">
      <c r="A85" s="864" t="s">
        <v>3179</v>
      </c>
      <c r="C85" s="1591">
        <f>'Part VII-Pro Forma'!K71</f>
        <v>7320927.4902975103</v>
      </c>
      <c r="D85" s="928" t="s">
        <v>3513</v>
      </c>
      <c r="I85" s="801"/>
    </row>
    <row r="86" spans="1:9" ht="3" customHeight="1">
      <c r="C86" s="801" t="s">
        <v>1771</v>
      </c>
      <c r="D86" s="801"/>
      <c r="E86" s="801"/>
      <c r="I86" s="801"/>
    </row>
    <row r="87" spans="1:9" ht="12" customHeight="1">
      <c r="A87" s="864" t="s">
        <v>3180</v>
      </c>
      <c r="B87" s="929"/>
      <c r="C87" s="1592" t="s">
        <v>1771</v>
      </c>
      <c r="D87" s="1597"/>
      <c r="I87" s="801"/>
    </row>
    <row r="88" spans="1:9" ht="3" customHeight="1">
      <c r="G88" s="801"/>
      <c r="H88" s="801"/>
      <c r="I88" s="801"/>
    </row>
    <row r="89" spans="1:9" ht="12" customHeight="1">
      <c r="A89" s="864" t="s">
        <v>3181</v>
      </c>
      <c r="C89" s="919" t="s">
        <v>3182</v>
      </c>
      <c r="D89" s="907" t="s">
        <v>3111</v>
      </c>
      <c r="I89" s="801"/>
    </row>
    <row r="90" spans="1:9" ht="12" customHeight="1">
      <c r="C90" s="919" t="s">
        <v>3183</v>
      </c>
      <c r="D90" s="907" t="s">
        <v>970</v>
      </c>
      <c r="I90" s="801"/>
    </row>
    <row r="91" spans="1:9" ht="3" customHeight="1">
      <c r="G91" s="801"/>
      <c r="H91" s="801"/>
      <c r="I91" s="801"/>
    </row>
    <row r="92" spans="1:9" ht="12" customHeight="1">
      <c r="A92" s="864" t="s">
        <v>3184</v>
      </c>
      <c r="C92" s="919" t="s">
        <v>3173</v>
      </c>
      <c r="D92" s="801" t="s">
        <v>3185</v>
      </c>
      <c r="E92" s="919" t="str">
        <f>'Part III-Sources of Funds'!H20</f>
        <v>ORIX Real Estate Capital Private Plcmnt Bond</v>
      </c>
      <c r="I92" s="801"/>
    </row>
    <row r="93" spans="1:9" ht="12" customHeight="1">
      <c r="C93" s="933"/>
      <c r="D93" s="801"/>
      <c r="E93" s="919" t="s">
        <v>1797</v>
      </c>
      <c r="F93" s="4239"/>
      <c r="G93" s="4239"/>
      <c r="H93" s="4239"/>
      <c r="I93" s="801"/>
    </row>
    <row r="94" spans="1:9" ht="12" customHeight="1">
      <c r="C94" s="919"/>
      <c r="D94" s="801"/>
      <c r="E94" s="919" t="s">
        <v>1981</v>
      </c>
      <c r="F94" s="4240"/>
      <c r="G94" s="4240"/>
      <c r="H94" s="4240"/>
      <c r="I94" s="801"/>
    </row>
    <row r="95" spans="1:9" ht="12" customHeight="1">
      <c r="C95" s="919"/>
      <c r="D95" s="801"/>
      <c r="E95" s="919" t="s">
        <v>1800</v>
      </c>
      <c r="F95" s="4235"/>
      <c r="G95" s="4235"/>
      <c r="H95" s="4235"/>
      <c r="I95" s="801"/>
    </row>
    <row r="96" spans="1:9" ht="12" customHeight="1">
      <c r="B96" s="909"/>
      <c r="C96" s="922" t="s">
        <v>3330</v>
      </c>
      <c r="D96" s="801" t="s">
        <v>3185</v>
      </c>
      <c r="E96" s="919" t="str">
        <f>'Part III-Sources of Funds'!E38</f>
        <v>ORIX Real Estate Capital Private Plcmnt Bond</v>
      </c>
      <c r="I96" s="801"/>
    </row>
    <row r="97" spans="1:10" ht="12" customHeight="1">
      <c r="C97" s="919"/>
      <c r="D97" s="801"/>
      <c r="E97" s="919" t="s">
        <v>1797</v>
      </c>
      <c r="F97" s="4239"/>
      <c r="G97" s="4239"/>
      <c r="H97" s="4239"/>
      <c r="I97" s="801"/>
    </row>
    <row r="98" spans="1:10" ht="12" customHeight="1">
      <c r="C98" s="919"/>
      <c r="D98" s="801"/>
      <c r="E98" s="919" t="s">
        <v>1981</v>
      </c>
      <c r="F98" s="4240"/>
      <c r="G98" s="4240"/>
      <c r="H98" s="4240"/>
      <c r="I98" s="801"/>
    </row>
    <row r="99" spans="1:10" ht="12" customHeight="1">
      <c r="C99" s="919"/>
      <c r="D99" s="801"/>
      <c r="E99" s="919" t="s">
        <v>1800</v>
      </c>
      <c r="F99" s="4235"/>
      <c r="G99" s="4235"/>
      <c r="H99" s="4235"/>
      <c r="I99" s="801"/>
    </row>
    <row r="100" spans="1:10" ht="3" customHeight="1">
      <c r="D100" s="930"/>
      <c r="G100" s="801"/>
      <c r="H100" s="801"/>
      <c r="I100" s="801"/>
    </row>
    <row r="101" spans="1:10" ht="12" customHeight="1">
      <c r="A101" s="864" t="s">
        <v>3186</v>
      </c>
      <c r="D101" s="2189">
        <f>'Part IX Scoring Criteria'!O333</f>
        <v>0</v>
      </c>
      <c r="E101" s="801" t="s">
        <v>3166</v>
      </c>
      <c r="G101" s="864">
        <f>'Part IX Scoring Criteria'!O329</f>
        <v>0</v>
      </c>
      <c r="H101" s="864" t="s">
        <v>3514</v>
      </c>
      <c r="I101" s="801"/>
    </row>
    <row r="102" spans="1:10" ht="3" customHeight="1">
      <c r="E102" s="801"/>
      <c r="F102" s="801"/>
      <c r="I102" s="801"/>
    </row>
    <row r="103" spans="1:10" ht="12" customHeight="1">
      <c r="A103" s="801" t="s">
        <v>3331</v>
      </c>
      <c r="D103" s="864" t="s">
        <v>970</v>
      </c>
      <c r="E103" s="801"/>
      <c r="I103" s="801"/>
    </row>
    <row r="104" spans="1:10" ht="6" customHeight="1">
      <c r="G104" s="801"/>
      <c r="H104" s="801"/>
      <c r="I104" s="801"/>
    </row>
    <row r="105" spans="1:10" ht="12" customHeight="1">
      <c r="A105" s="905" t="s">
        <v>3332</v>
      </c>
      <c r="I105" s="801"/>
    </row>
    <row r="106" spans="1:10" ht="12" customHeight="1">
      <c r="A106" s="864" t="s">
        <v>3187</v>
      </c>
      <c r="C106" s="1596" t="s">
        <v>1771</v>
      </c>
      <c r="D106" s="4242"/>
      <c r="E106" s="4242"/>
      <c r="F106" s="4242"/>
      <c r="G106" s="4242"/>
      <c r="H106" s="4242"/>
      <c r="I106" s="4242"/>
      <c r="J106" s="4243"/>
    </row>
    <row r="107" spans="1:10" ht="3" customHeight="1">
      <c r="C107" s="919"/>
      <c r="D107" s="801"/>
      <c r="I107" s="801"/>
    </row>
    <row r="108" spans="1:10" ht="12" customHeight="1">
      <c r="A108" s="864" t="s">
        <v>3188</v>
      </c>
      <c r="C108" s="2189" t="s">
        <v>1771</v>
      </c>
    </row>
    <row r="109" spans="1:10" ht="3" customHeight="1">
      <c r="C109" s="919"/>
      <c r="E109" s="801"/>
      <c r="F109" s="801"/>
      <c r="I109" s="801"/>
    </row>
    <row r="110" spans="1:10" ht="12" customHeight="1">
      <c r="A110" s="864" t="s">
        <v>3189</v>
      </c>
      <c r="C110" s="2189" t="s">
        <v>1771</v>
      </c>
      <c r="I110" s="801"/>
    </row>
    <row r="111" spans="1:10" ht="3" customHeight="1">
      <c r="D111" s="912"/>
      <c r="I111" s="801"/>
    </row>
    <row r="112" spans="1:10" ht="12" customHeight="1">
      <c r="A112" s="864" t="s">
        <v>3190</v>
      </c>
      <c r="D112" s="925">
        <v>24</v>
      </c>
      <c r="E112" s="801" t="s">
        <v>3191</v>
      </c>
      <c r="I112" s="801"/>
    </row>
    <row r="113" spans="1:10" ht="12" customHeight="1">
      <c r="C113" s="907" t="s">
        <v>4262</v>
      </c>
      <c r="I113" s="801"/>
    </row>
    <row r="114" spans="1:10" ht="12" customHeight="1">
      <c r="C114" s="907" t="s">
        <v>4261</v>
      </c>
      <c r="G114" s="801"/>
      <c r="I114" s="801"/>
    </row>
    <row r="115" spans="1:10" ht="3" customHeight="1">
      <c r="G115" s="801"/>
      <c r="H115" s="801"/>
      <c r="I115" s="801"/>
    </row>
    <row r="116" spans="1:10" ht="12" customHeight="1">
      <c r="A116" s="864" t="s">
        <v>3192</v>
      </c>
      <c r="D116" s="931">
        <v>0</v>
      </c>
      <c r="E116" s="932" t="s">
        <v>3193</v>
      </c>
      <c r="I116" s="801"/>
    </row>
    <row r="117" spans="1:10" ht="3" customHeight="1">
      <c r="D117" s="919"/>
      <c r="E117" s="801"/>
      <c r="F117" s="801"/>
      <c r="I117" s="801"/>
    </row>
    <row r="118" spans="1:10" ht="12" customHeight="1">
      <c r="A118" s="864" t="s">
        <v>3194</v>
      </c>
      <c r="C118" s="1592" t="s">
        <v>1771</v>
      </c>
      <c r="D118" s="933"/>
      <c r="I118" s="801"/>
    </row>
    <row r="119" spans="1:10" ht="12" customHeight="1">
      <c r="C119" s="801" t="s">
        <v>3195</v>
      </c>
      <c r="D119" s="923"/>
      <c r="E119" s="4245" t="s">
        <v>4263</v>
      </c>
      <c r="F119" s="4245"/>
      <c r="G119" s="4245"/>
      <c r="H119" s="4245"/>
      <c r="I119" s="4245"/>
      <c r="J119" s="4245"/>
    </row>
    <row r="120" spans="1:10" ht="12" customHeight="1">
      <c r="C120" s="801" t="s">
        <v>3196</v>
      </c>
      <c r="D120" s="1598"/>
      <c r="E120" s="4245"/>
      <c r="F120" s="4245"/>
      <c r="G120" s="4245"/>
      <c r="H120" s="4245"/>
      <c r="I120" s="4245"/>
      <c r="J120" s="4245"/>
    </row>
    <row r="121" spans="1:10" ht="12" customHeight="1">
      <c r="C121" s="801" t="s">
        <v>3197</v>
      </c>
      <c r="D121" s="1598"/>
      <c r="E121" s="4245"/>
      <c r="F121" s="4245"/>
      <c r="G121" s="4245"/>
      <c r="H121" s="4245"/>
      <c r="I121" s="4245"/>
      <c r="J121" s="4245"/>
    </row>
    <row r="122" spans="1:10" ht="3" customHeight="1">
      <c r="E122" s="801"/>
      <c r="F122" s="801"/>
      <c r="I122" s="801"/>
    </row>
    <row r="123" spans="1:10" ht="12" customHeight="1">
      <c r="A123" s="864" t="s">
        <v>3198</v>
      </c>
      <c r="D123" s="934" t="s">
        <v>3166</v>
      </c>
      <c r="I123" s="801"/>
    </row>
    <row r="124" spans="1:10" ht="3" customHeight="1">
      <c r="D124" s="801"/>
      <c r="I124" s="801"/>
    </row>
    <row r="125" spans="1:10" ht="12" customHeight="1">
      <c r="A125" s="864" t="s">
        <v>3199</v>
      </c>
      <c r="D125" s="801" t="s">
        <v>3166</v>
      </c>
      <c r="I125" s="801"/>
    </row>
    <row r="126" spans="1:10" ht="3" customHeight="1">
      <c r="G126" s="801"/>
      <c r="H126" s="801"/>
      <c r="I126" s="801"/>
    </row>
    <row r="127" spans="1:10" ht="12" customHeight="1">
      <c r="A127" s="864" t="s">
        <v>3200</v>
      </c>
      <c r="D127" s="801" t="s">
        <v>3201</v>
      </c>
      <c r="G127" s="801"/>
      <c r="I127" s="801"/>
    </row>
    <row r="128" spans="1:10" ht="7.5" customHeight="1">
      <c r="G128" s="801"/>
      <c r="H128" s="801"/>
      <c r="I128" s="801"/>
    </row>
    <row r="129" spans="1:10" ht="12" customHeight="1">
      <c r="A129" s="905" t="s">
        <v>3202</v>
      </c>
      <c r="G129" s="801"/>
      <c r="H129" s="801"/>
      <c r="I129" s="801"/>
    </row>
    <row r="130" spans="1:10" ht="12" customHeight="1">
      <c r="A130" s="864" t="s">
        <v>3203</v>
      </c>
      <c r="C130" s="907" t="str">
        <f>Overview!H11</f>
        <v>Prestwick Development Company, LLC</v>
      </c>
      <c r="D130" s="907">
        <f>Overview!K11</f>
        <v>0</v>
      </c>
      <c r="G130" s="907">
        <f>Overview!M11</f>
        <v>0</v>
      </c>
      <c r="I130" s="801"/>
    </row>
    <row r="131" spans="1:10" ht="12" customHeight="1">
      <c r="G131" s="801"/>
      <c r="I131" s="801"/>
    </row>
    <row r="132" spans="1:10" ht="3" customHeight="1">
      <c r="C132" s="801"/>
      <c r="G132" s="801"/>
      <c r="I132" s="801"/>
    </row>
    <row r="133" spans="1:10" ht="12" customHeight="1">
      <c r="A133" s="864" t="s">
        <v>3204</v>
      </c>
      <c r="C133" s="935">
        <f>('Part IV-A-Uses of Funds'!G118-'Part III-Sources of Funds'!I43)/2</f>
        <v>1430181</v>
      </c>
      <c r="G133" s="801"/>
      <c r="I133" s="801"/>
    </row>
    <row r="134" spans="1:10" ht="3" customHeight="1">
      <c r="C134" s="801"/>
      <c r="G134" s="801"/>
      <c r="I134" s="801"/>
    </row>
    <row r="135" spans="1:10" ht="12" customHeight="1">
      <c r="A135" s="864" t="s">
        <v>3205</v>
      </c>
      <c r="C135" s="2189" t="s">
        <v>3206</v>
      </c>
      <c r="G135" s="801"/>
      <c r="I135" s="801"/>
    </row>
    <row r="136" spans="1:10" ht="3" customHeight="1">
      <c r="C136" s="907"/>
      <c r="G136" s="801"/>
      <c r="I136" s="801"/>
    </row>
    <row r="137" spans="1:10" ht="12" customHeight="1">
      <c r="A137" s="864" t="s">
        <v>3207</v>
      </c>
      <c r="C137" s="907" t="str">
        <f>'Preview term'!E19</f>
        <v>Elmington Property Management</v>
      </c>
      <c r="G137" s="801"/>
      <c r="I137" s="801"/>
      <c r="J137" s="936"/>
    </row>
    <row r="138" spans="1:10" ht="3" customHeight="1">
      <c r="C138" s="907"/>
      <c r="G138" s="801"/>
      <c r="I138" s="801"/>
    </row>
    <row r="139" spans="1:10" ht="12" customHeight="1">
      <c r="A139" s="864" t="s">
        <v>3208</v>
      </c>
      <c r="C139" s="908" t="str">
        <f>C8</f>
        <v>Milton Family I, LP</v>
      </c>
      <c r="G139" s="801"/>
      <c r="I139" s="906"/>
      <c r="J139" s="937"/>
    </row>
    <row r="140" spans="1:10" ht="3" customHeight="1">
      <c r="C140" s="908"/>
      <c r="G140" s="801"/>
      <c r="I140" s="906"/>
      <c r="J140" s="937"/>
    </row>
    <row r="141" spans="1:10" ht="12" customHeight="1">
      <c r="A141" s="864" t="s">
        <v>3209</v>
      </c>
      <c r="C141" s="908" t="str">
        <f>C18</f>
        <v>3715 Northside Pkwy Bldg 200 Ste 175</v>
      </c>
      <c r="G141" s="801"/>
      <c r="I141" s="906"/>
      <c r="J141" s="937"/>
    </row>
    <row r="142" spans="1:10">
      <c r="C142" s="908" t="str">
        <f>C19</f>
        <v>Atlanta, GA 30327</v>
      </c>
      <c r="G142" s="801"/>
      <c r="I142" s="906"/>
      <c r="J142" s="937"/>
    </row>
    <row r="143" spans="1:10" ht="3" customHeight="1">
      <c r="C143" s="938"/>
      <c r="G143" s="801"/>
      <c r="I143" s="906"/>
      <c r="J143" s="937"/>
    </row>
    <row r="144" spans="1:10" ht="12" customHeight="1">
      <c r="A144" s="864" t="s">
        <v>3210</v>
      </c>
      <c r="C144" s="908" t="str">
        <f>Overview!H10</f>
        <v>SunTrust Community Capital</v>
      </c>
      <c r="G144" s="801"/>
      <c r="I144" s="906"/>
      <c r="J144" s="936"/>
    </row>
    <row r="145" spans="1:10" ht="3" customHeight="1">
      <c r="C145" s="908"/>
      <c r="G145" s="801"/>
      <c r="I145" s="906"/>
      <c r="J145" s="937"/>
    </row>
    <row r="146" spans="1:10" ht="12" customHeight="1">
      <c r="A146" s="864" t="s">
        <v>3211</v>
      </c>
      <c r="C146" s="908" t="str">
        <f>Overview!K10</f>
        <v>SunTrust Community Capital</v>
      </c>
      <c r="G146" s="801"/>
      <c r="I146" s="906"/>
      <c r="J146" s="936"/>
    </row>
    <row r="147" spans="1:10" ht="3" customHeight="1">
      <c r="C147" s="938"/>
      <c r="G147" s="801"/>
      <c r="I147" s="906"/>
      <c r="J147" s="937"/>
    </row>
    <row r="148" spans="1:10" ht="12" customHeight="1">
      <c r="A148" s="864" t="s">
        <v>3212</v>
      </c>
      <c r="C148" s="939" t="s">
        <v>3166</v>
      </c>
      <c r="G148" s="801"/>
      <c r="I148" s="801"/>
    </row>
    <row r="149" spans="1:10" ht="3" customHeight="1">
      <c r="C149" s="939"/>
      <c r="G149" s="801"/>
      <c r="I149" s="801"/>
    </row>
    <row r="150" spans="1:10" ht="12" customHeight="1">
      <c r="A150" s="864" t="s">
        <v>3213</v>
      </c>
      <c r="C150" s="939" t="s">
        <v>3166</v>
      </c>
      <c r="G150" s="801"/>
      <c r="I150" s="801"/>
    </row>
    <row r="151" spans="1:10" ht="7.5" customHeight="1">
      <c r="G151" s="801"/>
      <c r="H151" s="801"/>
      <c r="I151" s="801"/>
    </row>
    <row r="152" spans="1:10" ht="12" customHeight="1">
      <c r="A152" s="905" t="s">
        <v>3214</v>
      </c>
      <c r="G152" s="801"/>
      <c r="H152" s="801"/>
      <c r="I152" s="801"/>
    </row>
    <row r="153" spans="1:10" ht="3" customHeight="1">
      <c r="D153" s="801"/>
      <c r="E153" s="801"/>
      <c r="G153" s="801"/>
    </row>
    <row r="154" spans="1:10" ht="12" customHeight="1">
      <c r="A154" s="864" t="s">
        <v>3215</v>
      </c>
      <c r="C154" s="801" t="s">
        <v>3516</v>
      </c>
      <c r="D154" s="801"/>
      <c r="G154" s="801"/>
      <c r="H154" s="801"/>
      <c r="I154" s="801"/>
    </row>
    <row r="155" spans="1:10" ht="3" customHeight="1">
      <c r="D155" s="801"/>
      <c r="E155" s="801"/>
      <c r="G155" s="801"/>
    </row>
    <row r="156" spans="1:10" ht="12" customHeight="1">
      <c r="A156" s="864" t="s">
        <v>3216</v>
      </c>
      <c r="D156" s="2189">
        <v>20</v>
      </c>
      <c r="E156" s="801" t="s">
        <v>2408</v>
      </c>
    </row>
    <row r="157" spans="1:10" ht="3" customHeight="1">
      <c r="D157" s="801"/>
      <c r="E157" s="801"/>
      <c r="G157" s="801"/>
    </row>
    <row r="158" spans="1:10" ht="12" customHeight="1">
      <c r="A158" s="864" t="s">
        <v>3217</v>
      </c>
      <c r="C158" s="1592" t="s">
        <v>1771</v>
      </c>
      <c r="D158" s="801" t="s">
        <v>3563</v>
      </c>
      <c r="G158" s="801"/>
    </row>
    <row r="159" spans="1:10" ht="3" customHeight="1">
      <c r="G159" s="801"/>
      <c r="H159" s="801"/>
      <c r="I159" s="801"/>
    </row>
    <row r="160" spans="1:10" ht="12" customHeight="1">
      <c r="A160" s="864" t="s">
        <v>3218</v>
      </c>
      <c r="G160" s="801"/>
      <c r="H160" s="801"/>
      <c r="I160" s="801"/>
    </row>
    <row r="161" spans="1:13" ht="7.5" customHeight="1">
      <c r="G161" s="801"/>
      <c r="H161" s="801"/>
      <c r="I161" s="801"/>
    </row>
    <row r="162" spans="1:13" ht="12" customHeight="1">
      <c r="A162" s="905" t="s">
        <v>3219</v>
      </c>
      <c r="G162" s="801"/>
      <c r="H162" s="801"/>
      <c r="I162" s="801"/>
    </row>
    <row r="163" spans="1:13" ht="12" customHeight="1">
      <c r="A163" s="864" t="s">
        <v>3322</v>
      </c>
      <c r="C163" s="864" t="s">
        <v>3323</v>
      </c>
      <c r="E163" s="927">
        <f>'Preview term'!F77</f>
        <v>0</v>
      </c>
      <c r="G163" s="801"/>
      <c r="I163" s="801"/>
    </row>
    <row r="164" spans="1:13" ht="12" customHeight="1">
      <c r="C164" s="864" t="s">
        <v>3517</v>
      </c>
      <c r="E164" s="4232"/>
      <c r="F164" s="4232"/>
      <c r="G164" s="4232"/>
      <c r="I164" s="801"/>
    </row>
    <row r="165" spans="1:13" ht="3" customHeight="1">
      <c r="E165" s="801"/>
      <c r="G165" s="801"/>
      <c r="I165" s="801"/>
    </row>
    <row r="166" spans="1:13" ht="12" customHeight="1">
      <c r="A166" s="864" t="s">
        <v>3220</v>
      </c>
      <c r="C166" s="864" t="s">
        <v>3221</v>
      </c>
      <c r="E166" s="940">
        <f>'Preview term'!F71</f>
        <v>694940</v>
      </c>
      <c r="G166" s="801"/>
      <c r="I166" s="801"/>
    </row>
    <row r="167" spans="1:13" ht="12" customHeight="1">
      <c r="C167" s="864" t="s">
        <v>3517</v>
      </c>
      <c r="E167" s="4232"/>
      <c r="F167" s="4232"/>
      <c r="G167" s="4232"/>
      <c r="I167" s="801"/>
    </row>
    <row r="168" spans="1:13" ht="12" customHeight="1">
      <c r="C168" s="864" t="s">
        <v>3222</v>
      </c>
      <c r="E168" s="907" t="s">
        <v>2823</v>
      </c>
      <c r="G168" s="801"/>
      <c r="I168" s="801"/>
    </row>
    <row r="169" spans="1:13" ht="3" customHeight="1">
      <c r="E169" s="907"/>
      <c r="G169" s="801"/>
      <c r="I169" s="801"/>
    </row>
    <row r="170" spans="1:13" ht="12" customHeight="1">
      <c r="A170" s="864" t="s">
        <v>3324</v>
      </c>
      <c r="C170" s="864" t="s">
        <v>3325</v>
      </c>
      <c r="E170" s="940">
        <f>'Preview term'!F73</f>
        <v>0</v>
      </c>
      <c r="G170" s="801"/>
      <c r="I170" s="801"/>
    </row>
    <row r="171" spans="1:13" ht="12" customHeight="1">
      <c r="C171" s="864" t="s">
        <v>3223</v>
      </c>
      <c r="E171" s="940">
        <f>'Preview term'!F73</f>
        <v>0</v>
      </c>
      <c r="G171" s="801"/>
      <c r="I171" s="906"/>
      <c r="J171" s="937"/>
      <c r="K171" s="937"/>
      <c r="L171" s="937"/>
      <c r="M171" s="937"/>
    </row>
    <row r="172" spans="1:13" ht="12" customHeight="1">
      <c r="C172" s="864" t="s">
        <v>3224</v>
      </c>
      <c r="E172" s="935">
        <f>'Part VI-Revenues &amp; Expenses'!P230</f>
        <v>46800</v>
      </c>
      <c r="F172" s="906" t="s">
        <v>3225</v>
      </c>
      <c r="J172" s="937"/>
      <c r="K172" s="937"/>
      <c r="L172" s="937"/>
      <c r="M172" s="937"/>
    </row>
    <row r="173" spans="1:13">
      <c r="E173" s="940">
        <f>E172/12</f>
        <v>3900</v>
      </c>
      <c r="F173" s="801" t="s">
        <v>3077</v>
      </c>
    </row>
    <row r="174" spans="1:13" ht="12" customHeight="1">
      <c r="C174" s="864" t="s">
        <v>3518</v>
      </c>
      <c r="E174" s="4232"/>
      <c r="F174" s="4232"/>
      <c r="G174" s="4232"/>
      <c r="I174" s="801"/>
    </row>
    <row r="175" spans="1:13" ht="12" customHeight="1">
      <c r="C175" s="864" t="s">
        <v>3226</v>
      </c>
      <c r="E175" s="801" t="s">
        <v>2989</v>
      </c>
      <c r="I175" s="801"/>
    </row>
    <row r="176" spans="1:13" ht="12" customHeight="1">
      <c r="C176" s="864" t="s">
        <v>3227</v>
      </c>
      <c r="E176" s="801" t="s">
        <v>2823</v>
      </c>
      <c r="I176" s="801"/>
    </row>
    <row r="177" spans="1:10" ht="3" customHeight="1">
      <c r="E177" s="801"/>
      <c r="F177" s="801"/>
      <c r="I177" s="801"/>
    </row>
    <row r="178" spans="1:10" ht="12" customHeight="1">
      <c r="A178" s="864" t="s">
        <v>3320</v>
      </c>
      <c r="C178" s="864" t="s">
        <v>3321</v>
      </c>
      <c r="E178" s="927" t="s">
        <v>1771</v>
      </c>
      <c r="F178" s="941"/>
      <c r="I178" s="801"/>
    </row>
    <row r="179" spans="1:10" ht="12" customHeight="1">
      <c r="C179" s="864" t="s">
        <v>3228</v>
      </c>
      <c r="E179" s="927" t="s">
        <v>1771</v>
      </c>
      <c r="F179" s="4232"/>
      <c r="G179" s="4232"/>
      <c r="H179" s="4232"/>
      <c r="I179" s="4232"/>
      <c r="J179" s="4232"/>
    </row>
    <row r="180" spans="1:10" ht="12" customHeight="1">
      <c r="C180" s="864" t="s">
        <v>3519</v>
      </c>
      <c r="E180" s="801" t="s">
        <v>3166</v>
      </c>
      <c r="I180" s="801"/>
    </row>
    <row r="181" spans="1:10" ht="12" customHeight="1">
      <c r="C181" s="864" t="s">
        <v>3229</v>
      </c>
      <c r="E181" s="801" t="s">
        <v>2823</v>
      </c>
      <c r="I181" s="801"/>
    </row>
    <row r="182" spans="1:10" ht="3" customHeight="1">
      <c r="G182" s="801"/>
      <c r="H182" s="801"/>
      <c r="I182" s="801"/>
    </row>
    <row r="183" spans="1:10" ht="12" customHeight="1">
      <c r="A183" s="864" t="s">
        <v>3326</v>
      </c>
      <c r="C183" s="864" t="s">
        <v>3327</v>
      </c>
      <c r="E183" s="940">
        <f>'Preview term'!F75</f>
        <v>210295</v>
      </c>
      <c r="G183" s="801"/>
      <c r="I183" s="801"/>
    </row>
    <row r="184" spans="1:10" ht="12" customHeight="1">
      <c r="C184" s="864" t="s">
        <v>3517</v>
      </c>
      <c r="E184" s="907">
        <f>E167</f>
        <v>0</v>
      </c>
      <c r="G184" s="801"/>
      <c r="I184" s="801"/>
    </row>
    <row r="185" spans="1:10" ht="12" customHeight="1">
      <c r="C185" s="864" t="s">
        <v>3230</v>
      </c>
      <c r="E185" s="907" t="s">
        <v>3166</v>
      </c>
      <c r="G185" s="801"/>
      <c r="I185" s="801"/>
    </row>
    <row r="186" spans="1:10" ht="3" customHeight="1">
      <c r="E186" s="907"/>
      <c r="G186" s="801"/>
      <c r="I186" s="801"/>
    </row>
    <row r="187" spans="1:10" ht="12" customHeight="1">
      <c r="A187" s="864" t="s">
        <v>3328</v>
      </c>
      <c r="C187" s="864" t="s">
        <v>3329</v>
      </c>
      <c r="E187" s="907" t="s">
        <v>3166</v>
      </c>
      <c r="G187" s="801"/>
      <c r="I187" s="801"/>
    </row>
    <row r="188" spans="1:10" ht="12" customHeight="1">
      <c r="C188" s="864" t="s">
        <v>3221</v>
      </c>
      <c r="E188" s="919"/>
      <c r="G188" s="801"/>
      <c r="H188" s="926"/>
      <c r="I188" s="801"/>
    </row>
    <row r="189" spans="1:10" ht="12" customHeight="1">
      <c r="C189" s="864" t="s">
        <v>3517</v>
      </c>
      <c r="E189" s="919"/>
      <c r="I189" s="907"/>
    </row>
    <row r="190" spans="1:10" ht="12" customHeight="1">
      <c r="C190" s="864" t="s">
        <v>3222</v>
      </c>
      <c r="E190" s="919"/>
      <c r="G190" s="801"/>
      <c r="H190" s="801"/>
      <c r="I190" s="801"/>
    </row>
    <row r="191" spans="1:10" ht="9" customHeight="1">
      <c r="G191" s="801"/>
      <c r="H191" s="801"/>
      <c r="I191" s="801"/>
    </row>
    <row r="192" spans="1:10" ht="12" customHeight="1">
      <c r="A192" s="905" t="s">
        <v>3231</v>
      </c>
      <c r="C192" s="801" t="s">
        <v>3232</v>
      </c>
      <c r="E192" s="801"/>
      <c r="I192" s="801"/>
    </row>
    <row r="193" spans="1:10" ht="9" customHeight="1">
      <c r="E193" s="801"/>
      <c r="F193" s="801"/>
      <c r="I193" s="801"/>
    </row>
    <row r="194" spans="1:10" ht="12" customHeight="1">
      <c r="A194" s="905" t="s">
        <v>3233</v>
      </c>
      <c r="E194" s="801"/>
      <c r="F194" s="801"/>
      <c r="I194" s="801"/>
    </row>
    <row r="195" spans="1:10" ht="12" customHeight="1">
      <c r="A195" s="864" t="s">
        <v>3234</v>
      </c>
      <c r="C195" s="1588" t="s">
        <v>1771</v>
      </c>
      <c r="E195" s="801"/>
      <c r="F195" s="801"/>
      <c r="I195" s="801"/>
    </row>
    <row r="196" spans="1:10" ht="3" customHeight="1">
      <c r="G196" s="801"/>
      <c r="H196" s="801"/>
      <c r="I196" s="801"/>
    </row>
    <row r="197" spans="1:10">
      <c r="A197" s="913" t="s">
        <v>3521</v>
      </c>
      <c r="B197" s="913"/>
      <c r="C197" s="913"/>
      <c r="D197" s="913"/>
      <c r="E197" s="918" t="s">
        <v>3520</v>
      </c>
      <c r="F197" s="4244">
        <f>'Part VIII-Threshold Criteria'!E400</f>
        <v>0</v>
      </c>
      <c r="G197" s="4244"/>
      <c r="H197" s="4244"/>
      <c r="I197" s="4244"/>
      <c r="J197" s="4244"/>
    </row>
    <row r="198" spans="1:10" ht="9" customHeight="1">
      <c r="G198" s="801"/>
      <c r="H198" s="801"/>
      <c r="I198" s="801"/>
    </row>
    <row r="199" spans="1:10" ht="12" customHeight="1">
      <c r="A199" s="942" t="s">
        <v>3319</v>
      </c>
      <c r="G199" s="801"/>
      <c r="H199" s="801"/>
      <c r="I199" s="926"/>
    </row>
    <row r="200" spans="1:10" ht="25.5" hidden="1" customHeight="1">
      <c r="A200" s="4233" t="str">
        <f>'Subsidy Layering Memo'!A98</f>
        <v>Include any reserve requirements; explain any reserves far in excess of 6 month ODR, 3 mo lease up, 1 year RR, 6 mo T&amp;I standards.</v>
      </c>
      <c r="B200" s="4233"/>
      <c r="C200" s="4233"/>
      <c r="D200" s="4233"/>
      <c r="E200" s="4233"/>
      <c r="F200" s="4233"/>
      <c r="G200" s="4233"/>
      <c r="H200" s="4233"/>
      <c r="I200" s="4233"/>
      <c r="J200" s="4233"/>
    </row>
    <row r="201" spans="1:10">
      <c r="A201" s="801"/>
      <c r="G201" s="801"/>
      <c r="H201" s="801"/>
      <c r="I201" s="801"/>
    </row>
    <row r="202" spans="1:10">
      <c r="A202" s="905" t="s">
        <v>3235</v>
      </c>
      <c r="G202" s="801"/>
      <c r="H202" s="801"/>
      <c r="I202" s="801"/>
    </row>
    <row r="203" spans="1:10" ht="3" customHeight="1">
      <c r="G203" s="801"/>
      <c r="H203" s="801"/>
      <c r="I203" s="801"/>
    </row>
    <row r="204" spans="1:10" ht="76.5" customHeight="1">
      <c r="A204" s="4234" t="s">
        <v>2942</v>
      </c>
      <c r="B204" s="4234"/>
      <c r="C204" s="4234"/>
      <c r="D204" s="4234"/>
      <c r="E204" s="4234"/>
      <c r="F204" s="4234"/>
      <c r="G204" s="4234"/>
      <c r="H204" s="4234"/>
      <c r="I204" s="4234"/>
      <c r="J204" s="4234"/>
    </row>
    <row r="205" spans="1:10">
      <c r="A205" s="801" t="s">
        <v>2943</v>
      </c>
      <c r="G205" s="801"/>
      <c r="H205" s="801"/>
      <c r="I205" s="801"/>
    </row>
    <row r="206" spans="1:10" ht="38.25" customHeight="1">
      <c r="A206" s="4234" t="str">
        <f>'Subsidy Layering Memo'!A37&amp;".  "&amp;'Subsidy Layering Memo'!A38</f>
        <v xml:space="preserve">.  </v>
      </c>
      <c r="B206" s="4241"/>
      <c r="C206" s="4241"/>
      <c r="D206" s="4241"/>
      <c r="E206" s="4241"/>
      <c r="F206" s="4241"/>
      <c r="G206" s="4241"/>
      <c r="H206" s="4241"/>
      <c r="I206" s="4241"/>
      <c r="J206" s="4241"/>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4" customWidth="1"/>
    <col min="2" max="2" width="4.140625" style="864" customWidth="1"/>
    <col min="3" max="3" width="18.5703125" style="864" customWidth="1"/>
    <col min="4" max="4" width="2.85546875" style="864" customWidth="1"/>
    <col min="5" max="5" width="6.5703125" style="864" customWidth="1"/>
    <col min="6" max="6" width="39.140625" style="864" customWidth="1"/>
    <col min="7" max="8" width="8.42578125" style="864" customWidth="1"/>
    <col min="9" max="9" width="9.140625" style="864"/>
    <col min="10" max="10" width="14.140625" style="864" customWidth="1"/>
    <col min="11" max="16384" width="9.140625" style="864"/>
  </cols>
  <sheetData>
    <row r="1" spans="1:11">
      <c r="A1" s="801" t="s">
        <v>3236</v>
      </c>
      <c r="H1" s="909" t="str">
        <f>Overview!C8</f>
        <v>55 Milton</v>
      </c>
    </row>
    <row r="2" spans="1:11">
      <c r="A2" s="801" t="s">
        <v>3237</v>
      </c>
      <c r="H2" s="864" t="str">
        <f>Overview!E8</f>
        <v>2019-5</v>
      </c>
    </row>
    <row r="3" spans="1:11" ht="3" customHeight="1"/>
    <row r="4" spans="1:11" ht="51.75" customHeight="1">
      <c r="A4" s="4241" t="s">
        <v>3336</v>
      </c>
      <c r="B4" s="4241"/>
      <c r="C4" s="4241"/>
      <c r="D4" s="4241"/>
      <c r="E4" s="4241"/>
      <c r="F4" s="4241"/>
      <c r="G4" s="4241"/>
      <c r="H4" s="4241"/>
      <c r="J4" s="1616">
        <f>SUM('Part VII-Pro Forma'!B14:B16)/12</f>
        <v>131575.56299999999</v>
      </c>
      <c r="K4" s="1615" t="s">
        <v>4470</v>
      </c>
    </row>
    <row r="5" spans="1:11" ht="1.5" customHeight="1">
      <c r="C5" s="943"/>
      <c r="D5" s="943"/>
      <c r="E5" s="943"/>
      <c r="F5" s="943"/>
      <c r="G5" s="943"/>
      <c r="H5" s="943"/>
    </row>
    <row r="6" spans="1:11" ht="12.75" customHeight="1">
      <c r="B6" s="944" t="s">
        <v>2434</v>
      </c>
      <c r="C6" s="4241" t="s">
        <v>3238</v>
      </c>
      <c r="D6" s="4241"/>
      <c r="E6" s="4241"/>
      <c r="F6" s="4241"/>
      <c r="G6" s="4241"/>
      <c r="H6" s="4241"/>
    </row>
    <row r="7" spans="1:11" ht="12.75" customHeight="1">
      <c r="B7" s="944" t="s">
        <v>2435</v>
      </c>
      <c r="C7" s="4241" t="s">
        <v>3239</v>
      </c>
      <c r="D7" s="4241"/>
      <c r="E7" s="4241"/>
      <c r="F7" s="4241"/>
      <c r="G7" s="4241"/>
      <c r="H7" s="4241"/>
    </row>
    <row r="8" spans="1:11" ht="3" customHeight="1"/>
    <row r="9" spans="1:11">
      <c r="A9" s="864" t="s">
        <v>3240</v>
      </c>
    </row>
    <row r="10" spans="1:11" ht="1.5" customHeight="1"/>
    <row r="11" spans="1:11" ht="26.25" customHeight="1">
      <c r="A11" s="945" t="s">
        <v>1982</v>
      </c>
      <c r="B11" s="4247" t="s">
        <v>3333</v>
      </c>
      <c r="C11" s="4247"/>
      <c r="D11" s="4247"/>
      <c r="E11" s="4247"/>
      <c r="F11" s="4247"/>
      <c r="G11" s="4248">
        <f>'Part III-Sources of Funds'!I49+'Part III-Sources of Funds'!I50</f>
        <v>19292778.093334343</v>
      </c>
      <c r="H11" s="4248"/>
    </row>
    <row r="12" spans="1:11" ht="1.5" customHeight="1">
      <c r="G12" s="913"/>
      <c r="H12" s="913"/>
    </row>
    <row r="13" spans="1:11" ht="26.25" customHeight="1">
      <c r="A13" s="945" t="s">
        <v>1984</v>
      </c>
      <c r="B13" s="4247" t="s">
        <v>3334</v>
      </c>
      <c r="C13" s="4247"/>
      <c r="D13" s="4247"/>
      <c r="E13" s="4247"/>
      <c r="F13" s="4247"/>
      <c r="G13" s="4249" t="s">
        <v>3166</v>
      </c>
      <c r="H13" s="4249"/>
    </row>
    <row r="14" spans="1:11" ht="12" hidden="1" customHeight="1">
      <c r="A14" s="945"/>
      <c r="B14" s="4230"/>
      <c r="C14" s="4230"/>
      <c r="D14" s="4230"/>
      <c r="E14" s="4230"/>
      <c r="F14" s="4230"/>
      <c r="G14" s="4230"/>
      <c r="H14" s="4230"/>
    </row>
    <row r="15" spans="1:11" ht="1.5" customHeight="1"/>
    <row r="16" spans="1:11" ht="12" customHeight="1">
      <c r="A16" s="945" t="s">
        <v>749</v>
      </c>
      <c r="B16" s="864" t="s">
        <v>3338</v>
      </c>
      <c r="F16" s="937"/>
      <c r="G16" s="4227" t="s">
        <v>2992</v>
      </c>
      <c r="H16" s="4227"/>
    </row>
    <row r="17" spans="1:8" ht="1.5" customHeight="1">
      <c r="G17" s="919"/>
    </row>
    <row r="18" spans="1:8" ht="12" customHeight="1">
      <c r="A18" s="945" t="s">
        <v>2114</v>
      </c>
      <c r="B18" s="913" t="s">
        <v>3335</v>
      </c>
      <c r="C18" s="945"/>
      <c r="D18" s="945"/>
      <c r="E18" s="945"/>
      <c r="G18" s="4230" t="s">
        <v>2823</v>
      </c>
      <c r="H18" s="4230"/>
    </row>
    <row r="19" spans="1:8" ht="12" hidden="1" customHeight="1">
      <c r="B19" s="4230"/>
      <c r="C19" s="4230"/>
      <c r="D19" s="4230"/>
      <c r="E19" s="4230"/>
      <c r="F19" s="4230"/>
      <c r="G19" s="4230"/>
      <c r="H19" s="4230"/>
    </row>
    <row r="20" spans="1:8" ht="13.5" customHeight="1"/>
    <row r="21" spans="1:8" ht="12" customHeight="1">
      <c r="A21" s="801" t="s">
        <v>3241</v>
      </c>
    </row>
    <row r="22" spans="1:8" ht="3" customHeight="1"/>
    <row r="23" spans="1:8" ht="26.25" customHeight="1">
      <c r="A23" s="4250" t="s">
        <v>3337</v>
      </c>
      <c r="B23" s="4250"/>
      <c r="C23" s="4250"/>
      <c r="D23" s="4250"/>
      <c r="E23" s="4250"/>
      <c r="F23" s="4250"/>
      <c r="G23" s="4250"/>
      <c r="H23" s="4250"/>
    </row>
    <row r="24" spans="1:8" ht="26.25" customHeight="1">
      <c r="A24" s="4246" t="s">
        <v>3242</v>
      </c>
      <c r="B24" s="4246"/>
      <c r="C24" s="4246"/>
      <c r="D24" s="4246"/>
      <c r="E24" s="4246"/>
      <c r="F24" s="4246"/>
      <c r="G24" s="4246"/>
      <c r="H24" s="4246"/>
    </row>
    <row r="25" spans="1:8" ht="9" customHeight="1">
      <c r="A25" s="886"/>
    </row>
    <row r="26" spans="1:8">
      <c r="A26" s="919" t="s">
        <v>3339</v>
      </c>
      <c r="B26" s="946"/>
      <c r="C26" s="919" t="s">
        <v>3340</v>
      </c>
      <c r="D26" s="947" t="s">
        <v>3527</v>
      </c>
    </row>
    <row r="27" spans="1:8" ht="6" customHeight="1"/>
    <row r="28" spans="1:8" ht="12.75" customHeight="1">
      <c r="C28" s="913" t="s">
        <v>3243</v>
      </c>
      <c r="D28" s="948" t="s">
        <v>1985</v>
      </c>
      <c r="E28" s="949"/>
      <c r="F28" s="4241" t="s">
        <v>3244</v>
      </c>
      <c r="G28" s="4241"/>
      <c r="H28" s="4241"/>
    </row>
    <row r="29" spans="1:8" ht="12.75" customHeight="1">
      <c r="C29" s="950" t="s">
        <v>1353</v>
      </c>
      <c r="D29" s="948" t="s">
        <v>1987</v>
      </c>
      <c r="E29" s="4241" t="s">
        <v>3344</v>
      </c>
      <c r="F29" s="4241"/>
      <c r="G29" s="4241"/>
      <c r="H29" s="4241"/>
    </row>
    <row r="30" spans="1:8" ht="12.75" customHeight="1">
      <c r="E30" s="4241" t="s">
        <v>3523</v>
      </c>
      <c r="F30" s="4241"/>
      <c r="G30" s="4241"/>
      <c r="H30" s="4241"/>
    </row>
    <row r="31" spans="1:8" ht="12.75" customHeight="1">
      <c r="D31" s="951" t="s">
        <v>3343</v>
      </c>
      <c r="E31" s="4241" t="s">
        <v>3524</v>
      </c>
      <c r="F31" s="4241"/>
      <c r="G31" s="4241"/>
      <c r="H31" s="4241"/>
    </row>
    <row r="32" spans="1:8" ht="3" customHeight="1">
      <c r="D32" s="948"/>
      <c r="E32" s="2188"/>
      <c r="F32" s="2188"/>
      <c r="G32" s="2188"/>
      <c r="H32" s="2188"/>
    </row>
    <row r="33" spans="1:11">
      <c r="A33" s="919" t="s">
        <v>3339</v>
      </c>
      <c r="B33" s="946"/>
      <c r="C33" s="919" t="s">
        <v>3341</v>
      </c>
      <c r="D33" s="947" t="s">
        <v>3528</v>
      </c>
    </row>
    <row r="34" spans="1:11" ht="4.5" customHeight="1"/>
    <row r="35" spans="1:11" ht="12.75" customHeight="1">
      <c r="C35" s="913" t="s">
        <v>3243</v>
      </c>
      <c r="D35" s="948" t="s">
        <v>1985</v>
      </c>
      <c r="E35" s="949"/>
      <c r="F35" s="4241" t="s">
        <v>3244</v>
      </c>
      <c r="G35" s="4241"/>
      <c r="H35" s="4241"/>
    </row>
    <row r="36" spans="1:11" ht="12.75" customHeight="1">
      <c r="C36" s="950" t="s">
        <v>1353</v>
      </c>
      <c r="D36" s="948" t="s">
        <v>1987</v>
      </c>
      <c r="E36" s="4241" t="s">
        <v>3345</v>
      </c>
      <c r="F36" s="4241"/>
      <c r="G36" s="4241"/>
      <c r="H36" s="4241"/>
    </row>
    <row r="37" spans="1:11" ht="12.75" customHeight="1">
      <c r="E37" s="4241" t="s">
        <v>3523</v>
      </c>
      <c r="F37" s="4241"/>
      <c r="G37" s="4241"/>
      <c r="H37" s="4241"/>
    </row>
    <row r="38" spans="1:11" ht="12.75" customHeight="1">
      <c r="D38" s="951" t="s">
        <v>3343</v>
      </c>
      <c r="E38" s="4241" t="s">
        <v>3524</v>
      </c>
      <c r="F38" s="4241"/>
      <c r="G38" s="4241"/>
      <c r="H38" s="4241"/>
    </row>
    <row r="39" spans="1:11" ht="3" customHeight="1">
      <c r="D39" s="948"/>
      <c r="E39" s="2188"/>
      <c r="F39" s="2188"/>
      <c r="G39" s="2188"/>
      <c r="H39" s="2188"/>
    </row>
    <row r="40" spans="1:11">
      <c r="A40" s="919" t="s">
        <v>3339</v>
      </c>
      <c r="B40" s="946"/>
      <c r="C40" s="919" t="s">
        <v>3342</v>
      </c>
      <c r="D40" s="947" t="s">
        <v>3529</v>
      </c>
    </row>
    <row r="41" spans="1:11" ht="4.5" customHeight="1"/>
    <row r="42" spans="1:11" ht="12.75" customHeight="1">
      <c r="C42" s="913" t="s">
        <v>3243</v>
      </c>
      <c r="D42" s="948" t="s">
        <v>1985</v>
      </c>
      <c r="E42" s="949"/>
      <c r="F42" s="4241" t="s">
        <v>3244</v>
      </c>
      <c r="G42" s="4241"/>
      <c r="H42" s="4241"/>
      <c r="K42" s="864" t="s">
        <v>243</v>
      </c>
    </row>
    <row r="43" spans="1:11" ht="12.75" customHeight="1">
      <c r="C43" s="950" t="s">
        <v>1353</v>
      </c>
      <c r="D43" s="948" t="s">
        <v>1987</v>
      </c>
      <c r="E43" s="4241" t="s">
        <v>3345</v>
      </c>
      <c r="F43" s="4241"/>
      <c r="G43" s="4241"/>
      <c r="H43" s="4241"/>
    </row>
    <row r="44" spans="1:11" ht="12.75" customHeight="1">
      <c r="E44" s="4241" t="s">
        <v>3523</v>
      </c>
      <c r="F44" s="4241"/>
      <c r="G44" s="4241"/>
      <c r="H44" s="4241"/>
    </row>
    <row r="45" spans="1:11" ht="12.75" customHeight="1">
      <c r="D45" s="951" t="s">
        <v>3343</v>
      </c>
      <c r="E45" s="4241" t="s">
        <v>3524</v>
      </c>
      <c r="F45" s="4241"/>
      <c r="G45" s="4241"/>
      <c r="H45" s="4241"/>
    </row>
    <row r="46" spans="1:11" ht="9" customHeight="1"/>
    <row r="47" spans="1:11" ht="7.5" customHeight="1">
      <c r="E47" s="4241"/>
      <c r="F47" s="4241"/>
      <c r="G47" s="4241"/>
      <c r="H47" s="4241"/>
    </row>
    <row r="48" spans="1:11" ht="24.75" customHeight="1">
      <c r="A48" s="4251" t="s">
        <v>4238</v>
      </c>
      <c r="B48" s="4251"/>
      <c r="C48" s="4251"/>
      <c r="D48" s="4251"/>
      <c r="E48" s="4251"/>
      <c r="F48" s="4251"/>
      <c r="G48" s="4251"/>
      <c r="H48" s="4251"/>
    </row>
    <row r="49" spans="1:11" ht="9" customHeight="1"/>
    <row r="50" spans="1:11" ht="26.25" customHeight="1">
      <c r="A50" s="4250" t="s">
        <v>3525</v>
      </c>
      <c r="B50" s="4250"/>
      <c r="C50" s="4250"/>
      <c r="D50" s="4250"/>
      <c r="E50" s="4250"/>
      <c r="F50" s="4250"/>
      <c r="G50" s="4250"/>
      <c r="H50" s="4250"/>
    </row>
    <row r="51" spans="1:11" ht="9" customHeight="1">
      <c r="A51" s="886"/>
    </row>
    <row r="52" spans="1:11">
      <c r="A52" s="919" t="s">
        <v>3339</v>
      </c>
      <c r="B52" s="946"/>
      <c r="C52" s="919" t="s">
        <v>3340</v>
      </c>
      <c r="D52" s="947" t="s">
        <v>3526</v>
      </c>
    </row>
    <row r="53" spans="1:11" ht="4.5" customHeight="1"/>
    <row r="54" spans="1:11" ht="12.75" customHeight="1">
      <c r="C54" s="913" t="s">
        <v>3243</v>
      </c>
      <c r="D54" s="948" t="s">
        <v>1985</v>
      </c>
      <c r="E54" s="949"/>
      <c r="F54" s="4241" t="s">
        <v>3244</v>
      </c>
      <c r="G54" s="4241"/>
      <c r="H54" s="4241"/>
    </row>
    <row r="55" spans="1:11" ht="12.75" customHeight="1">
      <c r="C55" s="950" t="s">
        <v>1353</v>
      </c>
      <c r="D55" s="948" t="s">
        <v>1987</v>
      </c>
      <c r="E55" s="4241" t="s">
        <v>3532</v>
      </c>
      <c r="F55" s="4241"/>
      <c r="G55" s="4241"/>
      <c r="H55" s="4241"/>
    </row>
    <row r="56" spans="1:11" ht="3" customHeight="1">
      <c r="D56" s="948"/>
      <c r="E56" s="2188"/>
      <c r="F56" s="2188"/>
      <c r="G56" s="2188"/>
      <c r="H56" s="2188"/>
    </row>
    <row r="57" spans="1:11">
      <c r="A57" s="919" t="s">
        <v>3339</v>
      </c>
      <c r="B57" s="946"/>
      <c r="C57" s="919" t="s">
        <v>3341</v>
      </c>
      <c r="D57" s="947" t="s">
        <v>3530</v>
      </c>
    </row>
    <row r="58" spans="1:11" ht="4.5" customHeight="1"/>
    <row r="59" spans="1:11">
      <c r="C59" s="913" t="s">
        <v>3243</v>
      </c>
      <c r="D59" s="948" t="s">
        <v>1985</v>
      </c>
      <c r="E59" s="949"/>
      <c r="F59" s="4241" t="s">
        <v>3244</v>
      </c>
      <c r="G59" s="4241"/>
      <c r="H59" s="4241"/>
    </row>
    <row r="60" spans="1:11" ht="12.75" customHeight="1">
      <c r="C60" s="950" t="s">
        <v>1353</v>
      </c>
      <c r="D60" s="948" t="s">
        <v>1987</v>
      </c>
      <c r="E60" s="4241" t="s">
        <v>3532</v>
      </c>
      <c r="F60" s="4241"/>
      <c r="G60" s="4241"/>
      <c r="H60" s="4241"/>
    </row>
    <row r="61" spans="1:11" ht="3" customHeight="1">
      <c r="D61" s="948"/>
      <c r="E61" s="2188"/>
      <c r="F61" s="2188"/>
      <c r="G61" s="2188"/>
      <c r="H61" s="2188"/>
    </row>
    <row r="62" spans="1:11">
      <c r="A62" s="919" t="s">
        <v>3339</v>
      </c>
      <c r="B62" s="946"/>
      <c r="C62" s="919" t="s">
        <v>3342</v>
      </c>
      <c r="D62" s="947" t="s">
        <v>3531</v>
      </c>
    </row>
    <row r="63" spans="1:11" ht="4.5" customHeight="1"/>
    <row r="64" spans="1:11">
      <c r="C64" s="913" t="s">
        <v>3243</v>
      </c>
      <c r="D64" s="948" t="s">
        <v>1985</v>
      </c>
      <c r="E64" s="949"/>
      <c r="F64" s="4241" t="s">
        <v>3244</v>
      </c>
      <c r="G64" s="4241"/>
      <c r="H64" s="4241"/>
      <c r="K64" s="864" t="s">
        <v>243</v>
      </c>
    </row>
    <row r="65" spans="3:8" ht="12.75" customHeight="1">
      <c r="C65" s="950" t="s">
        <v>1353</v>
      </c>
      <c r="D65" s="948" t="s">
        <v>1987</v>
      </c>
      <c r="E65" s="4241" t="s">
        <v>3532</v>
      </c>
      <c r="F65" s="4241"/>
      <c r="G65" s="4241"/>
      <c r="H65" s="4241"/>
    </row>
    <row r="66" spans="3:8" ht="7.5" customHeight="1">
      <c r="E66" s="4241"/>
      <c r="F66" s="4241"/>
      <c r="G66" s="4241"/>
      <c r="H66" s="4241"/>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7" customWidth="1"/>
    <col min="2" max="2" width="12.42578125" style="2207" customWidth="1"/>
    <col min="3" max="3" width="12.140625" style="2207" customWidth="1"/>
    <col min="4" max="4" width="9.85546875" style="2207" customWidth="1"/>
    <col min="5" max="5" width="10.42578125" style="2207" customWidth="1"/>
    <col min="6" max="6" width="9.140625" style="2207"/>
    <col min="7" max="7" width="11" style="2207" customWidth="1"/>
    <col min="8" max="8" width="14.42578125" style="2207" customWidth="1"/>
    <col min="9" max="9" width="10.140625" style="2207" customWidth="1"/>
    <col min="10" max="16384" width="9.140625" style="2207"/>
  </cols>
  <sheetData>
    <row r="1" spans="2:13" ht="15.75">
      <c r="B1" s="4263" t="s">
        <v>4277</v>
      </c>
      <c r="C1" s="4263"/>
      <c r="D1" s="4263"/>
      <c r="E1" s="4263"/>
      <c r="F1" s="4263"/>
      <c r="G1" s="4263"/>
      <c r="H1" s="4263"/>
      <c r="I1" s="4263"/>
    </row>
    <row r="2" spans="2:13" ht="15">
      <c r="B2" s="2208" t="s">
        <v>4265</v>
      </c>
      <c r="C2" s="912"/>
      <c r="D2" s="912"/>
      <c r="E2" s="912"/>
      <c r="F2" s="912"/>
      <c r="G2" s="912"/>
      <c r="H2" s="912"/>
      <c r="I2" s="912"/>
    </row>
    <row r="3" spans="2:13" ht="14.25">
      <c r="B3" s="2209" t="s">
        <v>4272</v>
      </c>
      <c r="C3" s="912"/>
      <c r="D3" s="912"/>
      <c r="E3" s="912"/>
      <c r="F3" s="912"/>
      <c r="G3" s="912"/>
      <c r="H3" s="912"/>
      <c r="I3" s="912"/>
    </row>
    <row r="4" spans="2:13">
      <c r="B4" s="4264" t="s">
        <v>3245</v>
      </c>
      <c r="C4" s="4264"/>
      <c r="D4" s="4264"/>
      <c r="E4" s="4269" t="s">
        <v>3246</v>
      </c>
      <c r="F4" s="4271"/>
      <c r="G4" s="4269" t="s">
        <v>617</v>
      </c>
      <c r="H4" s="4270"/>
      <c r="I4" s="4271"/>
      <c r="J4" s="2202" t="s">
        <v>3090</v>
      </c>
      <c r="K4" s="2202"/>
      <c r="L4" s="2210"/>
      <c r="M4" s="2210"/>
    </row>
    <row r="5" spans="2:13">
      <c r="B5" s="4265" t="str">
        <f>'Closing term sheet'!C8</f>
        <v>Milton Family I, LP</v>
      </c>
      <c r="C5" s="4266"/>
      <c r="D5" s="4266"/>
      <c r="E5" s="4275"/>
      <c r="F5" s="4276"/>
      <c r="G5" s="4272" t="str">
        <f>'Closing term sheet'!C28</f>
        <v>55 Milton</v>
      </c>
      <c r="H5" s="4273"/>
      <c r="I5" s="4274"/>
      <c r="K5" s="864"/>
    </row>
    <row r="6" spans="2:13" ht="4.5" customHeight="1">
      <c r="D6" s="2211"/>
      <c r="E6" s="2211"/>
      <c r="F6" s="2211"/>
      <c r="G6" s="2211"/>
      <c r="H6" s="2211"/>
      <c r="I6" s="2211"/>
      <c r="K6" s="864"/>
    </row>
    <row r="7" spans="2:13">
      <c r="B7" s="4258" t="s">
        <v>3247</v>
      </c>
      <c r="C7" s="4258"/>
      <c r="D7" s="2212"/>
      <c r="E7" s="2212"/>
      <c r="F7" s="2212"/>
      <c r="G7" s="2212"/>
      <c r="H7" s="4267" t="str">
        <f>'Preview term'!E9</f>
        <v>83-0567133</v>
      </c>
      <c r="I7" s="4268"/>
    </row>
    <row r="8" spans="2:13" ht="4.5" customHeight="1">
      <c r="B8" s="2212"/>
      <c r="C8" s="2212"/>
      <c r="D8" s="2212"/>
      <c r="E8" s="2212"/>
      <c r="F8" s="2212"/>
      <c r="G8" s="2212"/>
      <c r="H8" s="2212"/>
      <c r="I8" s="2212"/>
      <c r="J8" s="2212"/>
    </row>
    <row r="9" spans="2:13">
      <c r="B9" s="2213" t="s">
        <v>3248</v>
      </c>
      <c r="C9" s="2213"/>
      <c r="D9" s="2212"/>
      <c r="E9" s="921" t="s">
        <v>4267</v>
      </c>
      <c r="F9" s="2212"/>
      <c r="G9" s="2212"/>
      <c r="H9" s="2212"/>
      <c r="I9" s="2214" t="str">
        <f>'Closing term sheet'!D12</f>
        <v>&lt;&lt;Select&gt;&gt;</v>
      </c>
    </row>
    <row r="10" spans="2:13" ht="7.5" customHeight="1">
      <c r="B10" s="2212"/>
      <c r="C10" s="2212"/>
      <c r="D10" s="2212"/>
      <c r="E10" s="2212"/>
      <c r="F10" s="2212"/>
      <c r="G10" s="2212"/>
      <c r="H10" s="2212"/>
      <c r="I10" s="2212"/>
    </row>
    <row r="11" spans="2:13" ht="14.25">
      <c r="B11" s="2215" t="s">
        <v>4264</v>
      </c>
      <c r="C11" s="2212"/>
      <c r="D11" s="2216"/>
      <c r="E11" s="2212"/>
      <c r="F11" s="2212"/>
      <c r="G11" s="2212"/>
      <c r="H11" s="2212"/>
      <c r="I11" s="2212"/>
    </row>
    <row r="12" spans="2:13">
      <c r="B12" s="2217" t="s">
        <v>3249</v>
      </c>
      <c r="C12" s="2218"/>
      <c r="D12" s="2218"/>
      <c r="E12" s="2218"/>
      <c r="F12" s="2218"/>
      <c r="G12" s="2218"/>
      <c r="H12" s="2218"/>
      <c r="I12" s="2219" t="s">
        <v>1771</v>
      </c>
    </row>
    <row r="13" spans="2:13">
      <c r="B13" s="2220"/>
      <c r="C13" s="2221"/>
      <c r="D13" s="2212"/>
      <c r="E13" s="921" t="s">
        <v>3250</v>
      </c>
      <c r="F13" s="2212"/>
      <c r="G13" s="2212"/>
      <c r="H13" s="2212"/>
      <c r="I13" s="2222"/>
    </row>
    <row r="14" spans="2:13" ht="7.5" customHeight="1">
      <c r="B14" s="2223"/>
      <c r="C14" s="2212"/>
      <c r="D14" s="2212"/>
      <c r="E14" s="2212"/>
      <c r="F14" s="2216"/>
      <c r="G14" s="2212"/>
      <c r="H14" s="2212"/>
      <c r="I14" s="2222"/>
    </row>
    <row r="15" spans="2:13">
      <c r="B15" s="2223" t="s">
        <v>3346</v>
      </c>
      <c r="C15" s="2212"/>
      <c r="D15" s="2212"/>
      <c r="E15" s="2212"/>
      <c r="F15" s="941"/>
      <c r="G15" s="2212"/>
      <c r="H15" s="2212"/>
      <c r="I15" s="2224"/>
    </row>
    <row r="16" spans="2:13">
      <c r="B16" s="2225" t="s">
        <v>4268</v>
      </c>
      <c r="C16" s="2212"/>
      <c r="D16" s="2212"/>
      <c r="E16" s="2226" t="s">
        <v>3441</v>
      </c>
      <c r="F16" s="2212"/>
      <c r="G16" s="2212"/>
      <c r="H16" s="2212"/>
      <c r="I16" s="2224"/>
    </row>
    <row r="17" spans="2:9" ht="7.5" customHeight="1">
      <c r="B17" s="2220"/>
      <c r="C17" s="2212"/>
      <c r="D17" s="2212"/>
      <c r="E17" s="2212"/>
      <c r="F17" s="2212"/>
      <c r="G17" s="2212"/>
      <c r="H17" s="2212"/>
      <c r="I17" s="2222"/>
    </row>
    <row r="18" spans="2:9">
      <c r="B18" s="2223" t="s">
        <v>3251</v>
      </c>
      <c r="C18" s="2212"/>
      <c r="D18" s="2212"/>
      <c r="E18" s="2212"/>
      <c r="F18" s="2212"/>
      <c r="G18" s="2212"/>
      <c r="H18" s="2212"/>
      <c r="I18" s="2227" t="s">
        <v>1771</v>
      </c>
    </row>
    <row r="19" spans="2:9">
      <c r="B19" s="2228" t="s">
        <v>4269</v>
      </c>
      <c r="C19" s="2212"/>
      <c r="D19" s="2212"/>
      <c r="E19" s="2212"/>
      <c r="F19" s="2212"/>
      <c r="G19" s="2212"/>
      <c r="H19" s="2212"/>
      <c r="I19" s="2229"/>
    </row>
    <row r="20" spans="2:9" ht="7.5" customHeight="1">
      <c r="B20" s="2223"/>
      <c r="C20" s="2212"/>
      <c r="D20" s="2212"/>
      <c r="E20" s="2212"/>
      <c r="F20" s="2212"/>
      <c r="G20" s="2212"/>
      <c r="H20" s="2212"/>
      <c r="I20" s="2229"/>
    </row>
    <row r="21" spans="2:9">
      <c r="B21" s="2223" t="s">
        <v>4266</v>
      </c>
      <c r="C21" s="2212"/>
      <c r="D21" s="2212"/>
      <c r="E21" s="2212"/>
      <c r="F21" s="2212"/>
      <c r="G21" s="2212"/>
      <c r="H21" s="2212"/>
      <c r="I21" s="2224"/>
    </row>
    <row r="22" spans="2:9">
      <c r="B22" s="2228" t="s">
        <v>4270</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4271</v>
      </c>
      <c r="C25" s="2212"/>
      <c r="D25" s="2212"/>
      <c r="E25" s="2212"/>
      <c r="F25" s="2212"/>
      <c r="G25" s="2212"/>
      <c r="H25" s="2212"/>
      <c r="I25" s="2212"/>
    </row>
    <row r="26" spans="2:9" ht="3" customHeight="1">
      <c r="B26" s="2233"/>
      <c r="C26" s="2218"/>
      <c r="D26" s="2218"/>
      <c r="E26" s="2218"/>
      <c r="F26" s="2218"/>
      <c r="G26" s="2218"/>
      <c r="H26" s="2218"/>
      <c r="I26" s="2234"/>
    </row>
    <row r="27" spans="2:9">
      <c r="B27" s="2223" t="s">
        <v>3252</v>
      </c>
      <c r="C27" s="2212"/>
      <c r="D27" s="2235">
        <v>2</v>
      </c>
      <c r="F27" s="2212"/>
      <c r="G27" s="941" t="s">
        <v>3253</v>
      </c>
      <c r="H27" s="2212"/>
      <c r="I27" s="2236">
        <v>2</v>
      </c>
    </row>
    <row r="28" spans="2:9">
      <c r="B28" s="2220"/>
      <c r="C28" s="2226" t="s">
        <v>3254</v>
      </c>
      <c r="D28" s="2237"/>
      <c r="E28" s="2237"/>
      <c r="F28" s="2237"/>
      <c r="H28" s="2237" t="s">
        <v>3255</v>
      </c>
      <c r="I28" s="2222"/>
    </row>
    <row r="29" spans="2:9">
      <c r="B29" s="2220"/>
      <c r="C29" s="2226" t="s">
        <v>3256</v>
      </c>
      <c r="D29" s="2237"/>
      <c r="E29" s="2237"/>
      <c r="F29" s="2237"/>
      <c r="H29" s="2237" t="s">
        <v>3257</v>
      </c>
      <c r="I29" s="2222"/>
    </row>
    <row r="30" spans="2:9">
      <c r="B30" s="2220"/>
      <c r="C30" s="2226" t="s">
        <v>3258</v>
      </c>
      <c r="D30" s="2237"/>
      <c r="E30" s="2237"/>
      <c r="F30" s="2237"/>
      <c r="H30" s="2237" t="s">
        <v>3259</v>
      </c>
      <c r="I30" s="2222"/>
    </row>
    <row r="31" spans="2:9" ht="3" customHeight="1">
      <c r="B31" s="2230"/>
      <c r="C31" s="2231"/>
      <c r="D31" s="2231"/>
      <c r="E31" s="2231"/>
      <c r="F31" s="2231"/>
      <c r="G31" s="2231"/>
      <c r="H31" s="2231"/>
      <c r="I31" s="2232"/>
    </row>
    <row r="32" spans="2:9" ht="7.5" customHeight="1"/>
    <row r="33" spans="2:9" ht="15" customHeight="1">
      <c r="B33" s="860" t="s">
        <v>4273</v>
      </c>
    </row>
    <row r="34" spans="2:9" ht="3" customHeight="1">
      <c r="B34" s="2233"/>
      <c r="C34" s="2218"/>
      <c r="D34" s="2218"/>
      <c r="E34" s="2218"/>
      <c r="F34" s="2218"/>
      <c r="G34" s="2218"/>
      <c r="H34" s="2218"/>
      <c r="I34" s="2234"/>
    </row>
    <row r="35" spans="2:9">
      <c r="B35" s="2223" t="s">
        <v>4276</v>
      </c>
      <c r="C35" s="2212"/>
      <c r="D35" s="2212"/>
      <c r="F35" s="2238"/>
      <c r="H35" s="4277" t="s">
        <v>4285</v>
      </c>
      <c r="I35" s="4278"/>
    </row>
    <row r="36" spans="2:9">
      <c r="B36" s="2239" t="s">
        <v>4284</v>
      </c>
      <c r="C36" s="2237"/>
      <c r="D36" s="2237"/>
      <c r="E36" s="2212"/>
      <c r="F36" s="2668"/>
      <c r="G36" s="2240"/>
      <c r="H36" s="4277"/>
      <c r="I36" s="4278"/>
    </row>
    <row r="37" spans="2:9">
      <c r="B37" s="2239" t="s">
        <v>4282</v>
      </c>
      <c r="D37" s="2237"/>
      <c r="E37" s="2212"/>
      <c r="F37" s="2669"/>
      <c r="G37" s="2240"/>
      <c r="H37" s="4277"/>
      <c r="I37" s="4278"/>
    </row>
    <row r="38" spans="2:9">
      <c r="B38" s="2239" t="s">
        <v>4283</v>
      </c>
      <c r="D38" s="2212"/>
      <c r="E38" s="2212"/>
      <c r="F38" s="2669"/>
      <c r="G38" s="2240"/>
      <c r="H38" s="2240"/>
      <c r="I38" s="2241"/>
    </row>
    <row r="39" spans="2:9" ht="12.75" customHeight="1">
      <c r="B39" s="2239" t="s">
        <v>4281</v>
      </c>
      <c r="C39" s="2212"/>
      <c r="D39" s="2212"/>
      <c r="E39" s="2212"/>
      <c r="F39" s="2669"/>
      <c r="G39" s="2240"/>
      <c r="H39" s="2240"/>
      <c r="I39" s="2241"/>
    </row>
    <row r="40" spans="2:9">
      <c r="B40" s="2242" t="s">
        <v>4280</v>
      </c>
      <c r="C40" s="2243"/>
      <c r="D40" s="2244"/>
      <c r="E40" s="2245"/>
      <c r="F40" s="2669"/>
      <c r="G40" s="2245"/>
      <c r="H40" s="2667"/>
      <c r="I40" s="2222"/>
    </row>
    <row r="41" spans="2:9">
      <c r="B41" s="2242" t="s">
        <v>4279</v>
      </c>
      <c r="C41" s="2243"/>
      <c r="D41" s="2244"/>
      <c r="E41" s="2212"/>
      <c r="F41" s="2669"/>
      <c r="G41" s="2212"/>
      <c r="H41" s="2212"/>
      <c r="I41" s="2222"/>
    </row>
    <row r="42" spans="2:9">
      <c r="B42" s="2246" t="s">
        <v>4278</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4275</v>
      </c>
    </row>
    <row r="46" spans="2:9" ht="3" customHeight="1">
      <c r="B46" s="2233"/>
      <c r="C46" s="2218"/>
      <c r="D46" s="2218"/>
      <c r="E46" s="2218"/>
      <c r="F46" s="2218"/>
      <c r="G46" s="2218"/>
      <c r="H46" s="2218"/>
      <c r="I46" s="2234"/>
    </row>
    <row r="47" spans="2:9" ht="18">
      <c r="B47" s="2223" t="s">
        <v>4274</v>
      </c>
      <c r="C47" s="2212"/>
      <c r="D47" s="2248"/>
      <c r="E47" s="2249" t="str">
        <f>Overview!H7</f>
        <v>New Construction</v>
      </c>
      <c r="F47" s="888" t="s">
        <v>4286</v>
      </c>
      <c r="H47" s="2212"/>
      <c r="I47" s="2222"/>
    </row>
    <row r="48" spans="2:9">
      <c r="B48" s="2228" t="s">
        <v>3260</v>
      </c>
      <c r="C48" s="2237"/>
      <c r="D48" s="2237" t="s">
        <v>3261</v>
      </c>
      <c r="E48" s="2212"/>
      <c r="F48" s="4286" t="str">
        <f>'Closing term sheet'!$C$30</f>
        <v>55 Milton Avenue</v>
      </c>
      <c r="G48" s="4287"/>
      <c r="H48" s="4287"/>
      <c r="I48" s="4288"/>
    </row>
    <row r="49" spans="2:9">
      <c r="B49" s="2228" t="s">
        <v>3262</v>
      </c>
      <c r="D49" s="2237" t="s">
        <v>3263</v>
      </c>
      <c r="E49" s="2212"/>
      <c r="F49" s="4289"/>
      <c r="G49" s="4290"/>
      <c r="H49" s="4290"/>
      <c r="I49" s="4291"/>
    </row>
    <row r="50" spans="2:9">
      <c r="B50" s="2228" t="s">
        <v>3264</v>
      </c>
      <c r="D50" s="2212"/>
      <c r="E50" s="2212"/>
      <c r="F50" s="2250"/>
      <c r="G50" s="2251"/>
      <c r="H50" s="2251"/>
      <c r="I50" s="2252"/>
    </row>
    <row r="51" spans="2:9" ht="7.5" customHeight="1">
      <c r="B51" s="2220"/>
      <c r="C51" s="2212"/>
      <c r="D51" s="2212"/>
      <c r="E51" s="2212"/>
      <c r="F51" s="2212"/>
      <c r="G51" s="2212"/>
      <c r="H51" s="2212"/>
      <c r="I51" s="2222"/>
    </row>
    <row r="52" spans="2:9">
      <c r="B52" s="2253" t="s">
        <v>4287</v>
      </c>
      <c r="C52" s="4254" t="str">
        <f>'Part I-Project Information'!F38</f>
        <v>Atlanta</v>
      </c>
      <c r="D52" s="4255"/>
      <c r="E52" s="2254" t="s">
        <v>4288</v>
      </c>
      <c r="F52" s="2214" t="s">
        <v>848</v>
      </c>
      <c r="G52" s="2254" t="s">
        <v>4289</v>
      </c>
      <c r="H52" s="2255">
        <f>'Part I-Project Information'!J38</f>
        <v>303152303</v>
      </c>
      <c r="I52" s="2222"/>
    </row>
    <row r="53" spans="2:9">
      <c r="B53" s="2253" t="s">
        <v>4451</v>
      </c>
      <c r="D53" s="2256" t="e">
        <f>VLOOKUP("='Part I-Project Information'!$J$39",'DCA Underwriting Assumptions'!$G$158:$O$317,9)</f>
        <v>#N/A</v>
      </c>
      <c r="I53" s="2222"/>
    </row>
    <row r="54" spans="2:9">
      <c r="B54" s="2253" t="s">
        <v>4452</v>
      </c>
      <c r="D54" s="2212"/>
      <c r="E54" s="2212"/>
      <c r="F54" s="2212"/>
      <c r="G54" s="2212"/>
      <c r="I54" s="2222"/>
    </row>
    <row r="55" spans="2:9">
      <c r="B55" s="2246" t="s">
        <v>4453</v>
      </c>
      <c r="D55" s="2257">
        <f>'Closing term sheet'!$D$33</f>
        <v>156</v>
      </c>
      <c r="E55" s="2258"/>
      <c r="F55" s="921" t="s">
        <v>3265</v>
      </c>
      <c r="G55" s="2212"/>
      <c r="H55" s="2212"/>
      <c r="I55" s="2222"/>
    </row>
    <row r="56" spans="2:9">
      <c r="B56" s="2246" t="s">
        <v>4455</v>
      </c>
      <c r="D56" s="2259">
        <f>'Closing term sheet'!$D$62</f>
        <v>21630000</v>
      </c>
      <c r="E56" s="2260"/>
      <c r="F56" s="921" t="s">
        <v>3266</v>
      </c>
      <c r="G56" s="2212"/>
      <c r="H56" s="2212"/>
      <c r="I56" s="2222"/>
    </row>
    <row r="57" spans="2:9">
      <c r="B57" s="2239" t="s">
        <v>4454</v>
      </c>
      <c r="D57" s="2261"/>
      <c r="F57" s="921" t="s">
        <v>3267</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260" t="s">
        <v>3268</v>
      </c>
      <c r="C61" s="4261"/>
      <c r="D61" s="4261"/>
      <c r="E61" s="4261"/>
      <c r="F61" s="4261"/>
      <c r="G61" s="4261"/>
      <c r="H61" s="4261"/>
      <c r="I61" s="4262"/>
    </row>
    <row r="62" spans="2:9" ht="7.5" customHeight="1">
      <c r="B62" s="4256"/>
      <c r="C62" s="4257"/>
      <c r="D62" s="4257"/>
      <c r="E62" s="2212"/>
      <c r="F62" s="2212"/>
      <c r="G62" s="2262"/>
      <c r="H62" s="2212"/>
      <c r="I62" s="2222"/>
    </row>
    <row r="63" spans="2:9">
      <c r="B63" s="2263" t="s">
        <v>3270</v>
      </c>
      <c r="C63" s="2212"/>
      <c r="D63" s="2257">
        <v>4</v>
      </c>
      <c r="F63" s="2212"/>
      <c r="G63" s="4258" t="s">
        <v>3269</v>
      </c>
      <c r="H63" s="4258"/>
      <c r="I63" s="4259"/>
    </row>
    <row r="64" spans="2:9">
      <c r="B64" s="2220"/>
      <c r="C64" s="2237" t="s">
        <v>3273</v>
      </c>
      <c r="D64" s="2237" t="s">
        <v>3274</v>
      </c>
      <c r="F64" s="2212"/>
      <c r="G64" s="933" t="s">
        <v>3271</v>
      </c>
      <c r="H64" s="2212"/>
      <c r="I64" s="2264">
        <f>'Closing term sheet'!$D$35</f>
        <v>156</v>
      </c>
    </row>
    <row r="65" spans="2:9">
      <c r="B65" s="2220"/>
      <c r="C65" s="2237" t="s">
        <v>3275</v>
      </c>
      <c r="D65" s="2237" t="s">
        <v>3276</v>
      </c>
      <c r="F65" s="2212"/>
      <c r="G65" s="2265" t="s">
        <v>3272</v>
      </c>
      <c r="H65" s="2212"/>
      <c r="I65" s="2264">
        <f>C42</f>
        <v>0</v>
      </c>
    </row>
    <row r="66" spans="2:9">
      <c r="B66" s="2228"/>
      <c r="C66" s="2237" t="s">
        <v>3277</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3278</v>
      </c>
      <c r="C70" s="2212"/>
      <c r="D70" s="2212"/>
      <c r="E70" s="2212"/>
      <c r="F70" s="2212"/>
      <c r="G70" s="2212"/>
      <c r="H70" s="2212"/>
      <c r="I70" s="2222"/>
    </row>
    <row r="71" spans="2:9" ht="7.5" customHeight="1">
      <c r="B71" s="2220"/>
      <c r="C71" s="2212"/>
      <c r="D71" s="2212"/>
      <c r="E71" s="2212"/>
      <c r="F71" s="2212"/>
      <c r="G71" s="2212"/>
      <c r="H71" s="2212"/>
      <c r="I71" s="2222"/>
    </row>
    <row r="72" spans="2:9">
      <c r="B72" s="2223" t="s">
        <v>3279</v>
      </c>
      <c r="D72" s="2212"/>
      <c r="E72" s="2212"/>
      <c r="F72" s="2212"/>
      <c r="G72" s="2212"/>
      <c r="H72" s="2212"/>
      <c r="I72" s="2248"/>
    </row>
    <row r="73" spans="2:9" ht="7.5" customHeight="1">
      <c r="B73" s="2220"/>
      <c r="C73" s="2212"/>
      <c r="D73" s="2212"/>
      <c r="E73" s="2212"/>
      <c r="F73" s="2212"/>
      <c r="G73" s="2212"/>
      <c r="H73" s="2212"/>
      <c r="I73" s="2222"/>
    </row>
    <row r="74" spans="2:9">
      <c r="B74" s="2220" t="s">
        <v>3280</v>
      </c>
      <c r="D74" s="2212"/>
      <c r="E74" s="2212"/>
      <c r="F74" s="2212" t="s">
        <v>3347</v>
      </c>
      <c r="G74" s="2212"/>
      <c r="H74" s="2212"/>
      <c r="I74" s="2267"/>
    </row>
    <row r="75" spans="2:9">
      <c r="B75" s="2220"/>
      <c r="E75" s="2212"/>
      <c r="F75" s="2212" t="s">
        <v>3348</v>
      </c>
      <c r="G75" s="2212"/>
      <c r="H75" s="2212"/>
      <c r="I75" s="2267"/>
    </row>
    <row r="76" spans="2:9">
      <c r="B76" s="2220"/>
      <c r="E76" s="2212"/>
      <c r="F76" s="2212" t="s">
        <v>3349</v>
      </c>
      <c r="G76" s="2212"/>
      <c r="H76" s="2212"/>
      <c r="I76" s="2267"/>
    </row>
    <row r="77" spans="2:9">
      <c r="B77" s="2220"/>
      <c r="E77" s="2212"/>
      <c r="F77" s="941" t="s">
        <v>3350</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260" t="s">
        <v>3281</v>
      </c>
      <c r="C81" s="4261"/>
      <c r="D81" s="4261"/>
      <c r="E81" s="4261"/>
      <c r="F81" s="4261"/>
      <c r="G81" s="4261"/>
      <c r="H81" s="4261"/>
      <c r="I81" s="4262"/>
    </row>
    <row r="82" spans="2:9">
      <c r="B82" s="2220"/>
      <c r="C82" s="2212"/>
      <c r="D82" s="2212"/>
      <c r="E82" s="2212"/>
      <c r="F82" s="2212"/>
      <c r="G82" s="2212"/>
      <c r="H82" s="2212"/>
      <c r="I82" s="2222"/>
    </row>
    <row r="83" spans="2:9">
      <c r="B83" s="2223" t="s">
        <v>3282</v>
      </c>
      <c r="C83" s="2212"/>
      <c r="D83" s="2212"/>
      <c r="E83" s="2212"/>
      <c r="F83" s="2212"/>
      <c r="G83" s="2212"/>
      <c r="H83" s="2212"/>
      <c r="I83" s="2222"/>
    </row>
    <row r="84" spans="2:9">
      <c r="B84" s="2220"/>
      <c r="C84" s="941" t="s">
        <v>3283</v>
      </c>
      <c r="D84" s="2212"/>
      <c r="E84" s="2212"/>
      <c r="F84" s="4282">
        <f>'Closing term sheet'!D62</f>
        <v>21630000</v>
      </c>
      <c r="G84" s="4282"/>
      <c r="H84" s="2212"/>
      <c r="I84" s="2222"/>
    </row>
    <row r="85" spans="2:9">
      <c r="B85" s="2220"/>
      <c r="C85" s="941" t="s">
        <v>3284</v>
      </c>
      <c r="D85" s="2212"/>
      <c r="E85" s="2212"/>
      <c r="F85" s="4253" t="e">
        <f>'Part III-Sources of Funds'!I45+'Part III-Sources of Funds'!L45</f>
        <v>#N/A</v>
      </c>
      <c r="G85" s="4253"/>
      <c r="H85" s="2212"/>
      <c r="I85" s="2222"/>
    </row>
    <row r="86" spans="2:9">
      <c r="B86" s="2220"/>
      <c r="C86" s="941" t="s">
        <v>3285</v>
      </c>
      <c r="D86" s="2212"/>
      <c r="E86" s="2212"/>
      <c r="F86" s="4252"/>
      <c r="G86" s="4252"/>
      <c r="H86" s="2212"/>
      <c r="I86" s="2222"/>
    </row>
    <row r="87" spans="2:9">
      <c r="B87" s="2220"/>
      <c r="C87" s="2237" t="s">
        <v>3286</v>
      </c>
      <c r="D87" s="2212"/>
      <c r="E87" s="2212"/>
      <c r="F87" s="4253">
        <v>11000</v>
      </c>
      <c r="G87" s="4253"/>
      <c r="H87" s="2212"/>
      <c r="I87" s="2222"/>
    </row>
    <row r="88" spans="2:9">
      <c r="B88" s="2220"/>
      <c r="C88" s="941" t="s">
        <v>3287</v>
      </c>
      <c r="D88" s="2212"/>
      <c r="E88" s="2212"/>
      <c r="F88" s="4285"/>
      <c r="G88" s="4285"/>
      <c r="H88" s="2212"/>
      <c r="I88" s="2222"/>
    </row>
    <row r="89" spans="2:9">
      <c r="B89" s="2220"/>
      <c r="C89" s="921" t="s">
        <v>3288</v>
      </c>
      <c r="D89" s="2212"/>
      <c r="E89" s="2212"/>
      <c r="F89" s="4280" t="e">
        <f>SUM(F84:G88)</f>
        <v>#N/A</v>
      </c>
      <c r="G89" s="4280"/>
      <c r="H89" s="2212"/>
      <c r="I89" s="2222"/>
    </row>
    <row r="90" spans="2:9">
      <c r="B90" s="2220"/>
      <c r="C90" s="2212"/>
      <c r="D90" s="2212"/>
      <c r="E90" s="2212"/>
      <c r="F90" s="4281"/>
      <c r="G90" s="4281"/>
      <c r="H90" s="2212"/>
      <c r="I90" s="2222"/>
    </row>
    <row r="91" spans="2:9">
      <c r="B91" s="2223" t="s">
        <v>3289</v>
      </c>
      <c r="C91" s="2212"/>
      <c r="D91" s="2212"/>
      <c r="E91" s="2212"/>
      <c r="F91" s="2212"/>
      <c r="G91" s="2212"/>
      <c r="H91" s="2212"/>
      <c r="I91" s="2222"/>
    </row>
    <row r="92" spans="2:9">
      <c r="B92" s="2220"/>
      <c r="C92" s="941" t="s">
        <v>3290</v>
      </c>
      <c r="D92" s="2212"/>
      <c r="E92" s="2212"/>
      <c r="F92" s="4282"/>
      <c r="G92" s="4282"/>
      <c r="H92" s="2212"/>
      <c r="I92" s="2222"/>
    </row>
    <row r="93" spans="2:9">
      <c r="B93" s="2220"/>
      <c r="C93" s="941" t="s">
        <v>3291</v>
      </c>
      <c r="D93" s="2212"/>
      <c r="E93" s="2212"/>
      <c r="F93" s="4283"/>
      <c r="G93" s="4283"/>
      <c r="H93" s="2212"/>
      <c r="I93" s="2222"/>
    </row>
    <row r="94" spans="2:9">
      <c r="B94" s="2220"/>
      <c r="C94" s="941" t="s">
        <v>3292</v>
      </c>
      <c r="D94" s="2212"/>
      <c r="E94" s="2212"/>
      <c r="F94" s="4284" t="s">
        <v>3166</v>
      </c>
      <c r="G94" s="4279"/>
      <c r="H94" s="2212"/>
      <c r="I94" s="2222"/>
    </row>
    <row r="95" spans="2:9">
      <c r="B95" s="2220"/>
      <c r="C95" s="921" t="s">
        <v>3293</v>
      </c>
      <c r="D95" s="2212"/>
      <c r="E95" s="2212"/>
      <c r="F95" s="4280">
        <f>+SUM(F92:G94)</f>
        <v>0</v>
      </c>
      <c r="G95" s="4280"/>
      <c r="H95" s="2212"/>
      <c r="I95" s="2222"/>
    </row>
    <row r="96" spans="2:9">
      <c r="B96" s="2220"/>
      <c r="C96" s="2212"/>
      <c r="D96" s="2212"/>
      <c r="E96" s="2212"/>
      <c r="F96" s="2212"/>
      <c r="G96" s="2212"/>
      <c r="H96" s="2212"/>
      <c r="I96" s="2222"/>
    </row>
    <row r="97" spans="2:9">
      <c r="B97" s="2223" t="s">
        <v>3294</v>
      </c>
      <c r="C97" s="2212"/>
      <c r="D97" s="2212"/>
      <c r="E97" s="2212"/>
      <c r="F97" s="2212"/>
      <c r="G97" s="2212"/>
      <c r="H97" s="2212"/>
      <c r="I97" s="2222"/>
    </row>
    <row r="98" spans="2:9">
      <c r="B98" s="2220"/>
      <c r="C98" s="941" t="s">
        <v>3295</v>
      </c>
      <c r="D98" s="2212"/>
      <c r="E98" s="2212"/>
      <c r="F98" s="4282"/>
      <c r="G98" s="4282"/>
      <c r="H98" s="2212"/>
      <c r="I98" s="2222"/>
    </row>
    <row r="99" spans="2:9">
      <c r="B99" s="2220"/>
      <c r="C99" s="941" t="s">
        <v>3296</v>
      </c>
      <c r="D99" s="2212"/>
      <c r="E99" s="2212"/>
      <c r="F99" s="4283"/>
      <c r="G99" s="4283"/>
      <c r="H99" s="2212"/>
      <c r="I99" s="2222"/>
    </row>
    <row r="100" spans="2:9">
      <c r="B100" s="2220"/>
      <c r="C100" s="941" t="s">
        <v>3297</v>
      </c>
      <c r="D100" s="2212"/>
      <c r="E100" s="2212"/>
      <c r="F100" s="4285"/>
      <c r="G100" s="4285"/>
      <c r="H100" s="2212"/>
      <c r="I100" s="2222"/>
    </row>
    <row r="101" spans="2:9">
      <c r="B101" s="2220"/>
      <c r="C101" s="921" t="s">
        <v>3298</v>
      </c>
      <c r="D101" s="2212"/>
      <c r="E101" s="2212"/>
      <c r="F101" s="4280">
        <f>+SUM(F98:G100)</f>
        <v>0</v>
      </c>
      <c r="G101" s="4280"/>
      <c r="H101" s="2212"/>
      <c r="I101" s="2222"/>
    </row>
    <row r="102" spans="2:9">
      <c r="B102" s="2220"/>
      <c r="C102" s="2212"/>
      <c r="D102" s="2212"/>
      <c r="E102" s="2212"/>
      <c r="F102" s="2212"/>
      <c r="G102" s="2212"/>
      <c r="H102" s="2212"/>
      <c r="I102" s="2222"/>
    </row>
    <row r="103" spans="2:9">
      <c r="B103" s="2263" t="s">
        <v>3299</v>
      </c>
      <c r="C103" s="941"/>
      <c r="D103" s="2212"/>
      <c r="E103" s="2212"/>
      <c r="F103" s="4279">
        <f>'Part III-Sources of Funds'!I46+'Part III-Sources of Funds'!I47</f>
        <v>0</v>
      </c>
      <c r="G103" s="4279"/>
      <c r="H103" s="2212"/>
      <c r="I103" s="2222"/>
    </row>
    <row r="104" spans="2:9">
      <c r="B104" s="2220"/>
      <c r="C104" s="2212"/>
      <c r="D104" s="2212"/>
      <c r="E104" s="2212"/>
      <c r="F104" s="2212"/>
      <c r="G104" s="2212"/>
      <c r="H104" s="2212"/>
      <c r="I104" s="2268" t="s">
        <v>3300</v>
      </c>
    </row>
    <row r="105" spans="2:9">
      <c r="B105" s="2223" t="s">
        <v>3301</v>
      </c>
      <c r="C105" s="2212"/>
      <c r="D105" s="2212"/>
      <c r="E105" s="2212"/>
      <c r="F105" s="4279" t="e">
        <f>+F103+F101+F95+F89</f>
        <v>#N/A</v>
      </c>
      <c r="G105" s="4279"/>
      <c r="H105" s="2212"/>
      <c r="I105" s="2222"/>
    </row>
    <row r="106" spans="2:9">
      <c r="B106" s="2230"/>
      <c r="C106" s="2231"/>
      <c r="D106" s="2231"/>
      <c r="E106" s="2231"/>
      <c r="F106" s="2231"/>
      <c r="G106" s="2231"/>
      <c r="H106" s="2231"/>
      <c r="I106" s="2232"/>
    </row>
    <row r="108" spans="2:9">
      <c r="C108" s="2269" t="s">
        <v>2989</v>
      </c>
    </row>
    <row r="109" spans="2:9">
      <c r="C109" s="2269"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A5" sqref="A5:M5"/>
    </sheetView>
  </sheetViews>
  <sheetFormatPr defaultColWidth="8.85546875" defaultRowHeight="15.75"/>
  <cols>
    <col min="1" max="1" width="2.140625" style="1219" customWidth="1"/>
    <col min="2" max="13" width="7.85546875" style="1219" customWidth="1"/>
    <col min="14" max="15" width="5.85546875" style="1219" customWidth="1"/>
    <col min="16" max="16384" width="8.85546875" style="1219"/>
  </cols>
  <sheetData>
    <row r="1" spans="1:26" ht="18">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ht="16.5">
      <c r="B4" s="1223"/>
      <c r="C4" s="1223"/>
      <c r="D4" s="1223"/>
      <c r="E4" s="1223"/>
      <c r="F4" s="1223"/>
      <c r="G4" s="1223"/>
      <c r="H4" s="1223"/>
      <c r="I4" s="1223"/>
      <c r="J4" s="1223"/>
      <c r="K4" s="1223"/>
      <c r="L4" s="1223"/>
      <c r="M4" s="1223"/>
      <c r="N4" s="1224" t="s">
        <v>702</v>
      </c>
    </row>
    <row r="5" spans="1:26" ht="59.25" customHeight="1">
      <c r="A5" s="4293" t="s">
        <v>2749</v>
      </c>
      <c r="B5" s="4293"/>
      <c r="C5" s="4293"/>
      <c r="D5" s="4293"/>
      <c r="E5" s="4293"/>
      <c r="F5" s="4293"/>
      <c r="G5" s="4293"/>
      <c r="H5" s="4293"/>
      <c r="I5" s="4293"/>
      <c r="J5" s="4293"/>
      <c r="K5" s="4293"/>
      <c r="L5" s="4293"/>
      <c r="M5" s="4293"/>
    </row>
    <row r="6" spans="1:26" ht="11.45" customHeight="1">
      <c r="A6" s="1223"/>
      <c r="B6" s="1223"/>
      <c r="C6" s="1223"/>
      <c r="D6" s="1223"/>
      <c r="E6" s="1223"/>
      <c r="F6" s="1223"/>
      <c r="G6" s="1223"/>
      <c r="H6" s="1223"/>
      <c r="I6" s="1223"/>
      <c r="J6" s="1223"/>
      <c r="K6" s="1223"/>
      <c r="L6" s="1223"/>
      <c r="M6" s="1223"/>
    </row>
    <row r="7" spans="1:26" ht="16.5">
      <c r="A7" s="1223" t="s">
        <v>707</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ht="16.5">
      <c r="A9" s="4294" t="s">
        <v>1905</v>
      </c>
      <c r="B9" s="4294"/>
      <c r="C9" s="4294"/>
      <c r="D9" s="4294"/>
      <c r="E9" s="4294"/>
      <c r="F9" s="4294"/>
      <c r="G9" s="4294"/>
      <c r="H9" s="4294"/>
      <c r="I9" s="4294"/>
      <c r="J9" s="4294"/>
      <c r="K9" s="4294"/>
      <c r="L9" s="4294"/>
      <c r="M9" s="4294"/>
    </row>
    <row r="10" spans="1:26" ht="6.75" customHeight="1">
      <c r="A10" s="4294"/>
      <c r="B10" s="4294"/>
      <c r="C10" s="4294"/>
      <c r="D10" s="4294"/>
      <c r="E10" s="4294"/>
      <c r="F10" s="4294"/>
      <c r="G10" s="4294"/>
      <c r="H10" s="4294"/>
      <c r="I10" s="4294"/>
      <c r="J10" s="4294"/>
      <c r="K10" s="4294"/>
      <c r="L10" s="4294"/>
      <c r="M10" s="4294"/>
    </row>
    <row r="11" spans="1:26" ht="44.25" customHeight="1">
      <c r="A11" s="4295" t="s">
        <v>4935</v>
      </c>
      <c r="B11" s="4295"/>
      <c r="C11" s="4295"/>
      <c r="D11" s="4295"/>
      <c r="E11" s="4295"/>
      <c r="F11" s="4295"/>
      <c r="G11" s="4295"/>
      <c r="H11" s="4295"/>
      <c r="I11" s="4295"/>
      <c r="J11" s="4295"/>
      <c r="K11" s="4295"/>
      <c r="L11" s="4295"/>
      <c r="M11" s="4295"/>
    </row>
    <row r="12" spans="1:26" ht="3" customHeight="1">
      <c r="A12" s="4294"/>
      <c r="B12" s="4294"/>
      <c r="C12" s="4294"/>
      <c r="D12" s="4294"/>
      <c r="E12" s="4294"/>
      <c r="F12" s="4294"/>
      <c r="G12" s="4294"/>
      <c r="H12" s="4294"/>
      <c r="I12" s="4294"/>
      <c r="J12" s="4294"/>
      <c r="K12" s="4294"/>
      <c r="L12" s="4294"/>
      <c r="M12" s="4294"/>
    </row>
    <row r="13" spans="1:26" ht="96" customHeight="1">
      <c r="A13" s="1225" t="s">
        <v>1737</v>
      </c>
      <c r="B13" s="4296" t="s">
        <v>3676</v>
      </c>
      <c r="C13" s="4296"/>
      <c r="D13" s="4296"/>
      <c r="E13" s="4296"/>
      <c r="F13" s="4296"/>
      <c r="G13" s="4296"/>
      <c r="H13" s="4296"/>
      <c r="I13" s="4296"/>
      <c r="J13" s="4296"/>
      <c r="K13" s="4296"/>
      <c r="L13" s="4296"/>
      <c r="M13" s="4296"/>
    </row>
    <row r="14" spans="1:26" ht="47.25" customHeight="1">
      <c r="A14" s="1225" t="s">
        <v>1738</v>
      </c>
      <c r="B14" s="4296" t="s">
        <v>3677</v>
      </c>
      <c r="C14" s="4296"/>
      <c r="D14" s="4296"/>
      <c r="E14" s="4296"/>
      <c r="F14" s="4296"/>
      <c r="G14" s="4296"/>
      <c r="H14" s="4296"/>
      <c r="I14" s="4296"/>
      <c r="J14" s="4296"/>
      <c r="K14" s="4296"/>
      <c r="L14" s="4296"/>
      <c r="M14" s="4296"/>
    </row>
    <row r="15" spans="1:26" ht="117" customHeight="1">
      <c r="A15" s="1225" t="s">
        <v>1739</v>
      </c>
      <c r="B15" s="4296" t="s">
        <v>3678</v>
      </c>
      <c r="C15" s="4296"/>
      <c r="D15" s="4296"/>
      <c r="E15" s="4296"/>
      <c r="F15" s="4296"/>
      <c r="G15" s="4296"/>
      <c r="H15" s="4296"/>
      <c r="I15" s="4296"/>
      <c r="J15" s="4296"/>
      <c r="K15" s="4296"/>
      <c r="L15" s="4296"/>
      <c r="M15" s="4296"/>
    </row>
    <row r="16" spans="1:26" ht="147" customHeight="1">
      <c r="A16" s="1225" t="s">
        <v>2364</v>
      </c>
      <c r="B16" s="4296" t="s">
        <v>3456</v>
      </c>
      <c r="C16" s="4296"/>
      <c r="D16" s="4296"/>
      <c r="E16" s="4296"/>
      <c r="F16" s="4296"/>
      <c r="G16" s="4296"/>
      <c r="H16" s="4296"/>
      <c r="I16" s="4296"/>
      <c r="J16" s="4296"/>
      <c r="K16" s="4296"/>
      <c r="L16" s="4296"/>
      <c r="M16" s="4296"/>
    </row>
    <row r="17" spans="1:13" ht="48.75" customHeight="1">
      <c r="A17" s="1225" t="s">
        <v>1549</v>
      </c>
      <c r="B17" s="4296" t="s">
        <v>683</v>
      </c>
      <c r="C17" s="4296"/>
      <c r="D17" s="4296"/>
      <c r="E17" s="4296"/>
      <c r="F17" s="4296"/>
      <c r="G17" s="4296"/>
      <c r="H17" s="4296"/>
      <c r="I17" s="4296"/>
      <c r="J17" s="4296"/>
      <c r="K17" s="4296"/>
      <c r="L17" s="4296"/>
      <c r="M17" s="4296"/>
    </row>
    <row r="18" spans="1:13" ht="165" customHeight="1">
      <c r="A18" s="1225" t="s">
        <v>1550</v>
      </c>
      <c r="B18" s="4296" t="s">
        <v>3455</v>
      </c>
      <c r="C18" s="4296"/>
      <c r="D18" s="4296"/>
      <c r="E18" s="4296"/>
      <c r="F18" s="4296"/>
      <c r="G18" s="4296"/>
      <c r="H18" s="4296"/>
      <c r="I18" s="4296"/>
      <c r="J18" s="4296"/>
      <c r="K18" s="4296"/>
      <c r="L18" s="4296"/>
      <c r="M18" s="4296"/>
    </row>
    <row r="19" spans="1:13" ht="48.75" customHeight="1">
      <c r="A19" s="1225" t="s">
        <v>98</v>
      </c>
      <c r="B19" s="4292" t="s">
        <v>3679</v>
      </c>
      <c r="C19" s="4292"/>
      <c r="D19" s="4292"/>
      <c r="E19" s="4292"/>
      <c r="F19" s="4292"/>
      <c r="G19" s="4292"/>
      <c r="H19" s="4292"/>
      <c r="I19" s="4292"/>
      <c r="J19" s="4292"/>
      <c r="K19" s="4292"/>
      <c r="L19" s="4292"/>
      <c r="M19" s="4292"/>
    </row>
    <row r="20" spans="1:13" ht="50.25" customHeight="1">
      <c r="A20" s="1225" t="s">
        <v>511</v>
      </c>
      <c r="B20" s="4296" t="s">
        <v>3458</v>
      </c>
      <c r="C20" s="4296"/>
      <c r="D20" s="4296"/>
      <c r="E20" s="4296"/>
      <c r="F20" s="4296"/>
      <c r="G20" s="4296"/>
      <c r="H20" s="4296"/>
      <c r="I20" s="4296"/>
      <c r="J20" s="4296"/>
      <c r="K20" s="4296"/>
      <c r="L20" s="4296"/>
      <c r="M20" s="4296"/>
    </row>
    <row r="21" spans="1:13" ht="31.5" customHeight="1">
      <c r="A21" s="1225" t="s">
        <v>512</v>
      </c>
      <c r="B21" s="4296" t="s">
        <v>3486</v>
      </c>
      <c r="C21" s="4296"/>
      <c r="D21" s="4296"/>
      <c r="E21" s="4296"/>
      <c r="F21" s="4296"/>
      <c r="G21" s="4296"/>
      <c r="H21" s="4296"/>
      <c r="I21" s="4296"/>
      <c r="J21" s="4296"/>
      <c r="K21" s="4296"/>
      <c r="L21" s="4296"/>
      <c r="M21" s="4296"/>
    </row>
    <row r="22" spans="1:13" ht="1.5" customHeight="1">
      <c r="A22" s="4294"/>
      <c r="B22" s="4294"/>
      <c r="C22" s="4294"/>
      <c r="D22" s="4294"/>
      <c r="E22" s="4294"/>
      <c r="F22" s="4294"/>
      <c r="G22" s="4294"/>
      <c r="H22" s="4294"/>
      <c r="I22" s="4294"/>
      <c r="J22" s="4294"/>
      <c r="K22" s="4294"/>
      <c r="L22" s="4294"/>
      <c r="M22" s="4294"/>
    </row>
    <row r="23" spans="1:13" ht="3" customHeight="1">
      <c r="A23" s="4294"/>
      <c r="B23" s="4294"/>
      <c r="C23" s="4294"/>
      <c r="D23" s="4294"/>
      <c r="E23" s="4294"/>
      <c r="F23" s="4294"/>
      <c r="G23" s="4294"/>
      <c r="H23" s="4294"/>
      <c r="I23" s="4294"/>
      <c r="J23" s="4294"/>
      <c r="K23" s="4294"/>
      <c r="L23" s="4294"/>
      <c r="M23" s="4294"/>
    </row>
    <row r="24" spans="1:13" ht="13.5" customHeight="1">
      <c r="A24" s="4294" t="s">
        <v>1465</v>
      </c>
      <c r="B24" s="4294"/>
      <c r="C24" s="4294"/>
      <c r="D24" s="4294"/>
      <c r="E24" s="4294"/>
      <c r="F24" s="4294"/>
      <c r="G24" s="4294"/>
      <c r="H24" s="4294"/>
      <c r="I24" s="4294"/>
      <c r="J24" s="4294"/>
      <c r="K24" s="4294"/>
      <c r="L24" s="4294"/>
      <c r="M24" s="4294"/>
    </row>
    <row r="25" spans="1:13" ht="32.25" customHeight="1">
      <c r="A25" s="1225" t="s">
        <v>1466</v>
      </c>
      <c r="B25" s="4296" t="s">
        <v>3487</v>
      </c>
      <c r="C25" s="4296"/>
      <c r="D25" s="4296"/>
      <c r="E25" s="4296"/>
      <c r="F25" s="4296"/>
      <c r="G25" s="4296"/>
      <c r="H25" s="4296"/>
      <c r="I25" s="4296"/>
      <c r="J25" s="4296"/>
      <c r="K25" s="4296"/>
      <c r="L25" s="4296"/>
      <c r="M25" s="4296"/>
    </row>
    <row r="26" spans="1:13" ht="31.5" customHeight="1">
      <c r="A26" s="1225" t="s">
        <v>1466</v>
      </c>
      <c r="B26" s="4296" t="s">
        <v>3488</v>
      </c>
      <c r="C26" s="4296"/>
      <c r="D26" s="4296"/>
      <c r="E26" s="4296"/>
      <c r="F26" s="4296"/>
      <c r="G26" s="4296"/>
      <c r="H26" s="4296"/>
      <c r="I26" s="4296"/>
      <c r="J26" s="4296"/>
      <c r="K26" s="4296"/>
      <c r="L26" s="4296"/>
      <c r="M26" s="4296"/>
    </row>
    <row r="27" spans="1:13" ht="78.75" customHeight="1">
      <c r="A27" s="1225" t="s">
        <v>1466</v>
      </c>
      <c r="B27" s="4296" t="s">
        <v>2750</v>
      </c>
      <c r="C27" s="4296"/>
      <c r="D27" s="4296"/>
      <c r="E27" s="4296"/>
      <c r="F27" s="4296"/>
      <c r="G27" s="4296"/>
      <c r="H27" s="4296"/>
      <c r="I27" s="4296"/>
      <c r="J27" s="4296"/>
      <c r="K27" s="4296"/>
      <c r="L27" s="4296"/>
      <c r="M27" s="4296"/>
    </row>
    <row r="28" spans="1:13" ht="7.5" customHeight="1">
      <c r="A28" s="4294"/>
      <c r="B28" s="4294"/>
      <c r="C28" s="4294"/>
      <c r="D28" s="4294"/>
      <c r="E28" s="4294"/>
      <c r="F28" s="4294"/>
      <c r="G28" s="4294"/>
      <c r="H28" s="4294"/>
      <c r="I28" s="4294"/>
      <c r="J28" s="4294"/>
      <c r="K28" s="4294"/>
      <c r="L28" s="4294"/>
      <c r="M28" s="4294"/>
    </row>
    <row r="29" spans="1:13" ht="43.5" customHeight="1">
      <c r="A29" s="4296" t="s">
        <v>946</v>
      </c>
      <c r="B29" s="4296"/>
      <c r="C29" s="4296"/>
      <c r="D29" s="4296"/>
      <c r="E29" s="4296"/>
      <c r="F29" s="4296"/>
      <c r="G29" s="4296"/>
      <c r="H29" s="4296"/>
      <c r="I29" s="4296"/>
      <c r="J29" s="4296"/>
      <c r="K29" s="4296"/>
      <c r="L29" s="4296"/>
      <c r="M29" s="4296"/>
    </row>
    <row r="30" spans="1:13" ht="3" customHeight="1">
      <c r="A30" s="4294"/>
      <c r="B30" s="4294"/>
      <c r="C30" s="4294"/>
      <c r="D30" s="4294"/>
      <c r="E30" s="4294"/>
      <c r="F30" s="4294"/>
      <c r="G30" s="4294"/>
      <c r="H30" s="4294"/>
      <c r="I30" s="4294"/>
      <c r="J30" s="4294"/>
      <c r="K30" s="4294"/>
      <c r="L30" s="4294"/>
      <c r="M30" s="4294"/>
    </row>
    <row r="31" spans="1:13" ht="32.25" customHeight="1">
      <c r="A31" s="4296" t="s">
        <v>2751</v>
      </c>
      <c r="B31" s="4296"/>
      <c r="C31" s="4296"/>
      <c r="D31" s="4296"/>
      <c r="E31" s="4296"/>
      <c r="F31" s="4296"/>
      <c r="G31" s="4296"/>
      <c r="H31" s="4296"/>
      <c r="I31" s="4296"/>
      <c r="J31" s="4296"/>
      <c r="K31" s="4296"/>
      <c r="L31" s="4296"/>
      <c r="M31" s="4296"/>
    </row>
    <row r="32" spans="1:13" ht="4.5" customHeight="1">
      <c r="A32" s="4294"/>
      <c r="B32" s="4294"/>
      <c r="C32" s="4294"/>
      <c r="D32" s="4294"/>
      <c r="E32" s="4294"/>
      <c r="F32" s="4294"/>
      <c r="G32" s="4294"/>
      <c r="H32" s="4294"/>
      <c r="I32" s="4294"/>
      <c r="J32" s="4294"/>
      <c r="K32" s="4294"/>
      <c r="L32" s="4294"/>
      <c r="M32" s="4294"/>
    </row>
    <row r="33" spans="1:13" ht="16.5">
      <c r="A33" s="4294" t="s">
        <v>922</v>
      </c>
      <c r="B33" s="4294"/>
      <c r="C33" s="4294"/>
      <c r="D33" s="4294"/>
      <c r="E33" s="4294"/>
      <c r="F33" s="4294"/>
      <c r="G33" s="4294"/>
      <c r="H33" s="4294"/>
      <c r="I33" s="4294"/>
      <c r="J33" s="4294"/>
      <c r="K33" s="4294"/>
      <c r="L33" s="4294"/>
      <c r="M33" s="4294"/>
    </row>
    <row r="34" spans="1:13" ht="6" customHeight="1">
      <c r="A34" s="1262"/>
      <c r="B34" s="1262"/>
      <c r="C34" s="1262"/>
      <c r="D34" s="1262"/>
      <c r="E34" s="1262"/>
      <c r="F34" s="1262"/>
      <c r="G34" s="1262"/>
      <c r="H34" s="1262"/>
      <c r="I34" s="1262"/>
      <c r="J34" s="1262"/>
      <c r="K34" s="1262"/>
      <c r="L34" s="1262"/>
      <c r="M34" s="1262"/>
    </row>
    <row r="35" spans="1:13" ht="16.5">
      <c r="A35" s="4297"/>
      <c r="B35" s="4297"/>
      <c r="C35" s="4297"/>
      <c r="D35" s="4297"/>
      <c r="E35" s="4297"/>
      <c r="F35" s="4297"/>
      <c r="G35" s="1226"/>
      <c r="H35" s="4297"/>
      <c r="I35" s="4297"/>
      <c r="J35" s="4297"/>
      <c r="K35" s="4297"/>
      <c r="L35" s="4297"/>
      <c r="M35" s="4297"/>
    </row>
    <row r="36" spans="1:13" ht="12" customHeight="1">
      <c r="A36" s="4298" t="s">
        <v>923</v>
      </c>
      <c r="B36" s="4298"/>
      <c r="C36" s="4298"/>
      <c r="D36" s="4298"/>
      <c r="E36" s="4298"/>
      <c r="F36" s="4298"/>
      <c r="G36" s="1226"/>
      <c r="H36" s="4298" t="s">
        <v>1979</v>
      </c>
      <c r="I36" s="4298"/>
      <c r="J36" s="4298"/>
      <c r="K36" s="4298"/>
      <c r="L36" s="4298"/>
      <c r="M36" s="4298"/>
    </row>
    <row r="37" spans="1:13" ht="6" customHeight="1">
      <c r="A37" s="1226"/>
      <c r="B37" s="1226"/>
      <c r="C37" s="1226"/>
      <c r="D37" s="1226"/>
      <c r="E37" s="1226"/>
      <c r="F37" s="1226"/>
      <c r="G37" s="1226"/>
      <c r="H37" s="1226"/>
      <c r="I37" s="1226"/>
      <c r="J37" s="1226"/>
      <c r="K37" s="1226"/>
      <c r="L37" s="1226"/>
      <c r="M37" s="1226"/>
    </row>
    <row r="38" spans="1:13" ht="16.5">
      <c r="A38" s="4299"/>
      <c r="B38" s="4299"/>
      <c r="C38" s="4299"/>
      <c r="D38" s="4299"/>
      <c r="E38" s="4299"/>
      <c r="F38" s="4299"/>
      <c r="G38" s="1226"/>
      <c r="H38" s="4300"/>
      <c r="I38" s="4300"/>
      <c r="J38" s="4300"/>
      <c r="K38" s="4300"/>
      <c r="L38" s="4300"/>
      <c r="M38" s="4300"/>
    </row>
    <row r="39" spans="1:13" ht="12" customHeight="1">
      <c r="A39" s="4298" t="s">
        <v>924</v>
      </c>
      <c r="B39" s="4298"/>
      <c r="C39" s="4298"/>
      <c r="D39" s="4298"/>
      <c r="E39" s="4298"/>
      <c r="F39" s="4298"/>
      <c r="G39" s="1226"/>
      <c r="H39" s="4298" t="s">
        <v>925</v>
      </c>
      <c r="I39" s="4298"/>
      <c r="J39" s="4298"/>
      <c r="K39" s="4298"/>
      <c r="L39" s="4298"/>
      <c r="M39" s="4298"/>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301" t="s">
        <v>926</v>
      </c>
      <c r="I41" s="4301"/>
      <c r="J41" s="4301"/>
      <c r="K41" s="4301"/>
      <c r="L41" s="4301"/>
      <c r="M41" s="4301"/>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05" t="s">
        <v>721</v>
      </c>
      <c r="B2" s="4306"/>
      <c r="C2" s="4306"/>
      <c r="D2" s="4306"/>
      <c r="E2" s="4306"/>
      <c r="F2" s="4306"/>
      <c r="G2" s="4306"/>
      <c r="H2" s="4306"/>
      <c r="I2" s="4306"/>
      <c r="J2" s="4306"/>
      <c r="K2" s="4306"/>
      <c r="L2" s="4306"/>
      <c r="M2" s="4306"/>
      <c r="N2" s="4306"/>
      <c r="O2" s="4306"/>
      <c r="P2" s="4306"/>
      <c r="Q2" s="4306"/>
      <c r="R2" s="4307"/>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3043</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2784</v>
      </c>
      <c r="M6" s="190"/>
      <c r="N6" s="190"/>
      <c r="O6" s="190"/>
      <c r="P6" s="187"/>
      <c r="Q6" s="1264" t="s">
        <v>1733</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2786</v>
      </c>
      <c r="M7" s="190"/>
      <c r="N7" s="190"/>
      <c r="O7" s="190"/>
      <c r="P7" s="187"/>
      <c r="Q7" s="1273" t="s">
        <v>1733</v>
      </c>
      <c r="R7" s="741">
        <v>900000</v>
      </c>
      <c r="S7" s="187"/>
      <c r="U7" s="187"/>
      <c r="V7" s="1077"/>
      <c r="W7" s="1077"/>
      <c r="X7" s="191"/>
      <c r="AA7" s="585"/>
      <c r="AB7" s="585"/>
    </row>
    <row r="8" spans="1:28" s="302" customFormat="1" ht="11.4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c r="F9" s="190" t="s">
        <v>2408</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2383</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c r="A11" s="190"/>
      <c r="B11" s="190"/>
      <c r="C11" s="190"/>
      <c r="D11" s="187"/>
      <c r="E11" s="187"/>
      <c r="F11" s="190" t="s">
        <v>3627</v>
      </c>
      <c r="G11" s="190"/>
      <c r="H11" s="187"/>
      <c r="I11" s="187"/>
      <c r="J11" s="653" t="s">
        <v>3628</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9">
        <v>2018</v>
      </c>
      <c r="E13" s="187"/>
      <c r="F13" s="4308" t="s">
        <v>3358</v>
      </c>
      <c r="G13" s="4309"/>
      <c r="H13" s="4309"/>
      <c r="I13" s="4309"/>
      <c r="J13" s="4310"/>
      <c r="K13" s="312"/>
      <c r="L13" s="654" t="s">
        <v>3579</v>
      </c>
      <c r="M13" s="312"/>
      <c r="N13" s="4308" t="s">
        <v>3358</v>
      </c>
      <c r="O13" s="4309"/>
      <c r="P13" s="4309"/>
      <c r="Q13" s="4309"/>
      <c r="R13" s="4310"/>
      <c r="S13" s="323"/>
      <c r="T13" s="187"/>
      <c r="U13" s="187"/>
      <c r="V13" s="1144"/>
      <c r="W13" s="1144"/>
      <c r="X13" s="1144"/>
      <c r="AA13" s="585"/>
      <c r="AB13" s="585"/>
    </row>
    <row r="14" spans="1:28" s="302" customFormat="1" ht="11.45" customHeight="1">
      <c r="A14" s="190"/>
      <c r="D14" s="655" t="s">
        <v>2612</v>
      </c>
      <c r="E14" s="655" t="s">
        <v>1296</v>
      </c>
      <c r="F14" s="656">
        <v>0</v>
      </c>
      <c r="G14" s="657">
        <v>1</v>
      </c>
      <c r="H14" s="1261">
        <v>2</v>
      </c>
      <c r="I14" s="1261">
        <v>3</v>
      </c>
      <c r="J14" s="658" t="s">
        <v>3355</v>
      </c>
      <c r="L14" s="655" t="s">
        <v>2612</v>
      </c>
      <c r="M14" s="655" t="s">
        <v>1296</v>
      </c>
      <c r="N14" s="656">
        <v>0</v>
      </c>
      <c r="O14" s="657">
        <v>1</v>
      </c>
      <c r="P14" s="1261">
        <v>2</v>
      </c>
      <c r="Q14" s="1261">
        <v>3</v>
      </c>
      <c r="R14" s="658" t="s">
        <v>3355</v>
      </c>
      <c r="S14" s="323"/>
      <c r="T14" s="187"/>
      <c r="U14" s="187"/>
      <c r="V14" s="1144"/>
      <c r="W14" s="1144"/>
      <c r="X14" s="1144"/>
      <c r="AA14" s="585"/>
      <c r="AB14" s="585"/>
    </row>
    <row r="15" spans="1:28" s="302" customFormat="1" ht="11.45" customHeight="1">
      <c r="A15" s="190"/>
      <c r="C15" s="346"/>
      <c r="D15" s="1164" t="s">
        <v>1782</v>
      </c>
      <c r="E15" s="1164" t="s">
        <v>3357</v>
      </c>
      <c r="F15" s="1165">
        <v>137262</v>
      </c>
      <c r="G15" s="1165">
        <v>177349</v>
      </c>
      <c r="H15" s="1165">
        <v>212078</v>
      </c>
      <c r="I15" s="1165">
        <v>252716</v>
      </c>
      <c r="J15" s="1165">
        <v>297120</v>
      </c>
      <c r="L15" s="323" t="s">
        <v>1782</v>
      </c>
      <c r="M15" s="323" t="s">
        <v>3357</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1782</v>
      </c>
      <c r="E16" s="1164" t="s">
        <v>3354</v>
      </c>
      <c r="F16" s="1165">
        <v>107293</v>
      </c>
      <c r="G16" s="1165">
        <v>150210</v>
      </c>
      <c r="H16" s="1165">
        <v>193128</v>
      </c>
      <c r="I16" s="1165">
        <v>257504</v>
      </c>
      <c r="J16" s="1165">
        <v>321879</v>
      </c>
      <c r="L16" s="323" t="s">
        <v>1782</v>
      </c>
      <c r="M16" s="323" t="s">
        <v>3354</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1782</v>
      </c>
      <c r="E17" s="1164" t="s">
        <v>3352</v>
      </c>
      <c r="F17" s="1165">
        <v>121714</v>
      </c>
      <c r="G17" s="1165">
        <v>158836</v>
      </c>
      <c r="H17" s="1165">
        <v>192451</v>
      </c>
      <c r="I17" s="1165">
        <v>234909</v>
      </c>
      <c r="J17" s="1165">
        <v>278528</v>
      </c>
      <c r="L17" s="323" t="s">
        <v>1782</v>
      </c>
      <c r="M17" s="323" t="s">
        <v>3352</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1782</v>
      </c>
      <c r="E18" s="1164" t="s">
        <v>3353</v>
      </c>
      <c r="F18" s="1165">
        <v>107065</v>
      </c>
      <c r="G18" s="1165">
        <v>146199</v>
      </c>
      <c r="H18" s="1165">
        <v>185055</v>
      </c>
      <c r="I18" s="1165">
        <v>243836</v>
      </c>
      <c r="J18" s="1165">
        <v>302233</v>
      </c>
      <c r="L18" s="323" t="s">
        <v>1782</v>
      </c>
      <c r="M18" s="323" t="s">
        <v>3353</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166</v>
      </c>
      <c r="E19" s="1156" t="s">
        <v>3357</v>
      </c>
      <c r="F19" s="1157">
        <v>135505</v>
      </c>
      <c r="G19" s="1157">
        <v>175180</v>
      </c>
      <c r="H19" s="1157">
        <v>209551</v>
      </c>
      <c r="I19" s="1157">
        <v>249808</v>
      </c>
      <c r="J19" s="1157">
        <v>293789</v>
      </c>
      <c r="L19" s="323" t="s">
        <v>166</v>
      </c>
      <c r="M19" s="323" t="s">
        <v>3357</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166</v>
      </c>
      <c r="E20" s="1156" t="s">
        <v>3354</v>
      </c>
      <c r="F20" s="1157">
        <v>105897</v>
      </c>
      <c r="G20" s="1157">
        <v>148256</v>
      </c>
      <c r="H20" s="1157">
        <v>190615</v>
      </c>
      <c r="I20" s="1157">
        <v>254153</v>
      </c>
      <c r="J20" s="1157">
        <v>317691</v>
      </c>
      <c r="L20" s="323" t="s">
        <v>166</v>
      </c>
      <c r="M20" s="323" t="s">
        <v>3354</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166</v>
      </c>
      <c r="E21" s="1156" t="s">
        <v>3352</v>
      </c>
      <c r="F21" s="1157">
        <v>119770</v>
      </c>
      <c r="G21" s="1157">
        <v>156444</v>
      </c>
      <c r="H21" s="1157">
        <v>189688</v>
      </c>
      <c r="I21" s="1157">
        <v>231786</v>
      </c>
      <c r="J21" s="1157">
        <v>274973</v>
      </c>
      <c r="L21" s="323" t="s">
        <v>166</v>
      </c>
      <c r="M21" s="323" t="s">
        <v>3352</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166</v>
      </c>
      <c r="E22" s="1156" t="s">
        <v>3353</v>
      </c>
      <c r="F22" s="1157">
        <v>104962</v>
      </c>
      <c r="G22" s="1157">
        <v>143211</v>
      </c>
      <c r="H22" s="1157">
        <v>181178</v>
      </c>
      <c r="I22" s="1157">
        <v>238632</v>
      </c>
      <c r="J22" s="1157">
        <v>295697</v>
      </c>
      <c r="L22" s="323" t="s">
        <v>166</v>
      </c>
      <c r="M22" s="323" t="s">
        <v>3353</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1205</v>
      </c>
      <c r="E23" s="1154" t="s">
        <v>3357</v>
      </c>
      <c r="F23" s="1155">
        <v>147803</v>
      </c>
      <c r="G23" s="1155">
        <v>191097</v>
      </c>
      <c r="H23" s="1155">
        <v>228604</v>
      </c>
      <c r="I23" s="1155">
        <v>272539</v>
      </c>
      <c r="J23" s="1155">
        <v>320539</v>
      </c>
      <c r="L23" s="653" t="s">
        <v>1205</v>
      </c>
      <c r="M23" s="653" t="s">
        <v>3357</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1205</v>
      </c>
      <c r="E24" s="1154" t="s">
        <v>3354</v>
      </c>
      <c r="F24" s="1155">
        <v>115504</v>
      </c>
      <c r="G24" s="1155">
        <v>161705</v>
      </c>
      <c r="H24" s="1155">
        <v>207907</v>
      </c>
      <c r="I24" s="1155">
        <v>277209</v>
      </c>
      <c r="J24" s="1155">
        <v>346512</v>
      </c>
      <c r="L24" s="653" t="s">
        <v>1205</v>
      </c>
      <c r="M24" s="653" t="s">
        <v>3354</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1205</v>
      </c>
      <c r="E25" s="1154" t="s">
        <v>3352</v>
      </c>
      <c r="F25" s="1155">
        <v>130569</v>
      </c>
      <c r="G25" s="1155">
        <v>170576</v>
      </c>
      <c r="H25" s="1155">
        <v>206849</v>
      </c>
      <c r="I25" s="1155">
        <v>252801</v>
      </c>
      <c r="J25" s="1155">
        <v>299931</v>
      </c>
      <c r="L25" s="653" t="s">
        <v>1205</v>
      </c>
      <c r="M25" s="653" t="s">
        <v>3352</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1205</v>
      </c>
      <c r="E26" s="1154" t="s">
        <v>3353</v>
      </c>
      <c r="F26" s="1155">
        <v>114354</v>
      </c>
      <c r="G26" s="1155">
        <v>156004</v>
      </c>
      <c r="H26" s="1155">
        <v>197346</v>
      </c>
      <c r="I26" s="1155">
        <v>259909</v>
      </c>
      <c r="J26" s="1155">
        <v>322047</v>
      </c>
      <c r="L26" s="653" t="s">
        <v>1205</v>
      </c>
      <c r="M26" s="653" t="s">
        <v>3353</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1330</v>
      </c>
      <c r="E27" s="1158" t="s">
        <v>3357</v>
      </c>
      <c r="F27" s="1159">
        <v>137432</v>
      </c>
      <c r="G27" s="1159">
        <v>177418</v>
      </c>
      <c r="H27" s="1159">
        <v>212058</v>
      </c>
      <c r="I27" s="1159">
        <v>252539</v>
      </c>
      <c r="J27" s="1159">
        <v>296777</v>
      </c>
      <c r="L27" s="653" t="s">
        <v>1330</v>
      </c>
      <c r="M27" s="653" t="s">
        <v>3357</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1330</v>
      </c>
      <c r="E28" s="1158" t="s">
        <v>3354</v>
      </c>
      <c r="F28" s="1159">
        <v>107460</v>
      </c>
      <c r="G28" s="1159">
        <v>150444</v>
      </c>
      <c r="H28" s="1159">
        <v>193428</v>
      </c>
      <c r="I28" s="1159">
        <v>257905</v>
      </c>
      <c r="J28" s="1159">
        <v>322381</v>
      </c>
      <c r="L28" s="653" t="s">
        <v>1330</v>
      </c>
      <c r="M28" s="653" t="s">
        <v>3354</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1330</v>
      </c>
      <c r="E29" s="1158" t="s">
        <v>3352</v>
      </c>
      <c r="F29" s="1159">
        <v>122447</v>
      </c>
      <c r="G29" s="1159">
        <v>159574</v>
      </c>
      <c r="H29" s="1159">
        <v>193140</v>
      </c>
      <c r="I29" s="1159">
        <v>235376</v>
      </c>
      <c r="J29" s="1159">
        <v>278857</v>
      </c>
      <c r="L29" s="653" t="s">
        <v>1330</v>
      </c>
      <c r="M29" s="653" t="s">
        <v>3352</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1330</v>
      </c>
      <c r="E30" s="1158" t="s">
        <v>3353</v>
      </c>
      <c r="F30" s="1159">
        <v>108299</v>
      </c>
      <c r="G30" s="1159">
        <v>148060</v>
      </c>
      <c r="H30" s="1159">
        <v>187554</v>
      </c>
      <c r="I30" s="1159">
        <v>247273</v>
      </c>
      <c r="J30" s="1159">
        <v>306622</v>
      </c>
      <c r="L30" s="653" t="s">
        <v>1330</v>
      </c>
      <c r="M30" s="653" t="s">
        <v>3353</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1521</v>
      </c>
      <c r="E31" s="1185" t="s">
        <v>3357</v>
      </c>
      <c r="F31" s="973">
        <v>144345</v>
      </c>
      <c r="G31" s="973">
        <v>186781</v>
      </c>
      <c r="H31" s="973">
        <v>223544</v>
      </c>
      <c r="I31" s="973">
        <v>266662</v>
      </c>
      <c r="J31" s="973">
        <v>313764</v>
      </c>
      <c r="L31" s="1185" t="s">
        <v>1521</v>
      </c>
      <c r="M31" s="653" t="s">
        <v>3357</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1521</v>
      </c>
      <c r="E32" s="1185" t="s">
        <v>3354</v>
      </c>
      <c r="F32" s="973">
        <v>112768</v>
      </c>
      <c r="G32" s="973">
        <v>157875</v>
      </c>
      <c r="H32" s="973">
        <v>202982</v>
      </c>
      <c r="I32" s="973">
        <v>270642</v>
      </c>
      <c r="J32" s="973">
        <v>338303</v>
      </c>
      <c r="L32" s="1185" t="s">
        <v>1521</v>
      </c>
      <c r="M32" s="653" t="s">
        <v>3354</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1521</v>
      </c>
      <c r="E33" s="1185" t="s">
        <v>3352</v>
      </c>
      <c r="F33" s="973">
        <v>126924</v>
      </c>
      <c r="G33" s="973">
        <v>166037</v>
      </c>
      <c r="H33" s="973">
        <v>201553</v>
      </c>
      <c r="I33" s="973">
        <v>246710</v>
      </c>
      <c r="J33" s="973">
        <v>292932</v>
      </c>
      <c r="L33" s="1185" t="s">
        <v>1521</v>
      </c>
      <c r="M33" s="653" t="s">
        <v>3352</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1521</v>
      </c>
      <c r="E34" s="1185" t="s">
        <v>3353</v>
      </c>
      <c r="F34" s="973">
        <v>110561</v>
      </c>
      <c r="G34" s="973">
        <v>150648</v>
      </c>
      <c r="H34" s="973">
        <v>190425</v>
      </c>
      <c r="I34" s="973">
        <v>250646</v>
      </c>
      <c r="J34" s="973">
        <v>310437</v>
      </c>
      <c r="L34" s="1185" t="s">
        <v>1521</v>
      </c>
      <c r="M34" s="653" t="s">
        <v>3353</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161</v>
      </c>
      <c r="E35" s="1160" t="s">
        <v>3357</v>
      </c>
      <c r="F35" s="1161">
        <v>136468</v>
      </c>
      <c r="G35" s="1161">
        <v>176299</v>
      </c>
      <c r="H35" s="1161">
        <v>210804</v>
      </c>
      <c r="I35" s="1161">
        <v>251173</v>
      </c>
      <c r="J35" s="1161">
        <v>295283</v>
      </c>
      <c r="L35" s="323" t="s">
        <v>161</v>
      </c>
      <c r="M35" s="323" t="s">
        <v>3357</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161</v>
      </c>
      <c r="E36" s="1160" t="s">
        <v>3354</v>
      </c>
      <c r="F36" s="1161">
        <v>106679</v>
      </c>
      <c r="G36" s="1161">
        <v>149350</v>
      </c>
      <c r="H36" s="1161">
        <v>192022</v>
      </c>
      <c r="I36" s="1161">
        <v>256029</v>
      </c>
      <c r="J36" s="1161">
        <v>320036</v>
      </c>
      <c r="L36" s="323" t="s">
        <v>161</v>
      </c>
      <c r="M36" s="323" t="s">
        <v>3354</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161</v>
      </c>
      <c r="E37" s="1160" t="s">
        <v>3352</v>
      </c>
      <c r="F37" s="1161">
        <v>121108</v>
      </c>
      <c r="G37" s="1161">
        <v>158009</v>
      </c>
      <c r="H37" s="1161">
        <v>191414</v>
      </c>
      <c r="I37" s="1161">
        <v>233581</v>
      </c>
      <c r="J37" s="1161">
        <v>276915</v>
      </c>
      <c r="L37" s="323" t="s">
        <v>161</v>
      </c>
      <c r="M37" s="323" t="s">
        <v>3352</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161</v>
      </c>
      <c r="E38" s="1160" t="s">
        <v>3353</v>
      </c>
      <c r="F38" s="1161">
        <v>106630</v>
      </c>
      <c r="G38" s="1161">
        <v>145635</v>
      </c>
      <c r="H38" s="1161">
        <v>184366</v>
      </c>
      <c r="I38" s="1161">
        <v>242953</v>
      </c>
      <c r="J38" s="1161">
        <v>301159</v>
      </c>
      <c r="L38" s="323" t="s">
        <v>161</v>
      </c>
      <c r="M38" s="323" t="s">
        <v>3353</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1320</v>
      </c>
      <c r="E39" s="1162" t="s">
        <v>3357</v>
      </c>
      <c r="F39" s="1163">
        <v>138055</v>
      </c>
      <c r="G39" s="1163">
        <v>178400</v>
      </c>
      <c r="H39" s="1163">
        <v>213351</v>
      </c>
      <c r="I39" s="1163">
        <v>254259</v>
      </c>
      <c r="J39" s="1163">
        <v>298956</v>
      </c>
      <c r="L39" s="653" t="s">
        <v>1320</v>
      </c>
      <c r="M39" s="653" t="s">
        <v>3357</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1320</v>
      </c>
      <c r="E40" s="1162" t="s">
        <v>3354</v>
      </c>
      <c r="F40" s="1163">
        <v>107908</v>
      </c>
      <c r="G40" s="1163">
        <v>151071</v>
      </c>
      <c r="H40" s="1163">
        <v>194234</v>
      </c>
      <c r="I40" s="1163">
        <v>258978</v>
      </c>
      <c r="J40" s="1163">
        <v>323723</v>
      </c>
      <c r="L40" s="653" t="s">
        <v>1320</v>
      </c>
      <c r="M40" s="653" t="s">
        <v>3354</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1320</v>
      </c>
      <c r="E41" s="1162" t="s">
        <v>3352</v>
      </c>
      <c r="F41" s="1163">
        <v>122320</v>
      </c>
      <c r="G41" s="1163">
        <v>159663</v>
      </c>
      <c r="H41" s="1163">
        <v>193488</v>
      </c>
      <c r="I41" s="1163">
        <v>236238</v>
      </c>
      <c r="J41" s="1163">
        <v>280140</v>
      </c>
      <c r="L41" s="653" t="s">
        <v>1320</v>
      </c>
      <c r="M41" s="653" t="s">
        <v>3352</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1320</v>
      </c>
      <c r="E42" s="1162" t="s">
        <v>3353</v>
      </c>
      <c r="F42" s="1163">
        <v>107499</v>
      </c>
      <c r="G42" s="1163">
        <v>146762</v>
      </c>
      <c r="H42" s="1163">
        <v>185744</v>
      </c>
      <c r="I42" s="1163">
        <v>244720</v>
      </c>
      <c r="J42" s="1163">
        <v>303307</v>
      </c>
      <c r="L42" s="653" t="s">
        <v>1320</v>
      </c>
      <c r="M42" s="653" t="s">
        <v>3353</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1326</v>
      </c>
      <c r="E43" s="1154" t="s">
        <v>3357</v>
      </c>
      <c r="F43" s="1155">
        <v>141285</v>
      </c>
      <c r="G43" s="1155">
        <v>182625</v>
      </c>
      <c r="H43" s="1155">
        <v>218438</v>
      </c>
      <c r="I43" s="1155">
        <v>260372</v>
      </c>
      <c r="J43" s="1155">
        <v>306189</v>
      </c>
      <c r="L43" s="653" t="s">
        <v>1326</v>
      </c>
      <c r="M43" s="653" t="s">
        <v>3357</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1326</v>
      </c>
      <c r="E44" s="1154" t="s">
        <v>3354</v>
      </c>
      <c r="F44" s="1155">
        <v>110421</v>
      </c>
      <c r="G44" s="1155">
        <v>154590</v>
      </c>
      <c r="H44" s="1155">
        <v>198758</v>
      </c>
      <c r="I44" s="1155">
        <v>265011</v>
      </c>
      <c r="J44" s="1155">
        <v>331263</v>
      </c>
      <c r="L44" s="653" t="s">
        <v>1326</v>
      </c>
      <c r="M44" s="653" t="s">
        <v>3354</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1326</v>
      </c>
      <c r="E45" s="1154" t="s">
        <v>3352</v>
      </c>
      <c r="F45" s="1155">
        <v>124989</v>
      </c>
      <c r="G45" s="1155">
        <v>163219</v>
      </c>
      <c r="H45" s="1155">
        <v>197865</v>
      </c>
      <c r="I45" s="1155">
        <v>241707</v>
      </c>
      <c r="J45" s="1155">
        <v>286701</v>
      </c>
      <c r="L45" s="653" t="s">
        <v>1326</v>
      </c>
      <c r="M45" s="653" t="s">
        <v>3352</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1326</v>
      </c>
      <c r="E46" s="1154" t="s">
        <v>3353</v>
      </c>
      <c r="F46" s="1155">
        <v>109647</v>
      </c>
      <c r="G46" s="1155">
        <v>149636</v>
      </c>
      <c r="H46" s="1155">
        <v>189334</v>
      </c>
      <c r="I46" s="1155">
        <v>249402</v>
      </c>
      <c r="J46" s="1155">
        <v>309066</v>
      </c>
      <c r="L46" s="653" t="s">
        <v>1326</v>
      </c>
      <c r="M46" s="653" t="s">
        <v>3353</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1696</v>
      </c>
      <c r="E47" s="1158" t="s">
        <v>3357</v>
      </c>
      <c r="F47" s="1159">
        <v>129610</v>
      </c>
      <c r="G47" s="1159">
        <v>167690</v>
      </c>
      <c r="H47" s="1159">
        <v>200679</v>
      </c>
      <c r="I47" s="1159">
        <v>239361</v>
      </c>
      <c r="J47" s="1159">
        <v>281618</v>
      </c>
      <c r="L47" s="653" t="s">
        <v>1696</v>
      </c>
      <c r="M47" s="653" t="s">
        <v>3357</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1696</v>
      </c>
      <c r="E48" s="1158" t="s">
        <v>3354</v>
      </c>
      <c r="F48" s="1159">
        <v>101262</v>
      </c>
      <c r="G48" s="1159">
        <v>141766</v>
      </c>
      <c r="H48" s="1159">
        <v>182271</v>
      </c>
      <c r="I48" s="1159">
        <v>243028</v>
      </c>
      <c r="J48" s="1159">
        <v>303785</v>
      </c>
      <c r="L48" s="653" t="s">
        <v>1696</v>
      </c>
      <c r="M48" s="653" t="s">
        <v>3354</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1696</v>
      </c>
      <c r="E49" s="1158" t="s">
        <v>3352</v>
      </c>
      <c r="F49" s="1159">
        <v>114063</v>
      </c>
      <c r="G49" s="1159">
        <v>149176</v>
      </c>
      <c r="H49" s="1159">
        <v>181052</v>
      </c>
      <c r="I49" s="1159">
        <v>221554</v>
      </c>
      <c r="J49" s="1159">
        <v>263026</v>
      </c>
      <c r="L49" s="653" t="s">
        <v>1696</v>
      </c>
      <c r="M49" s="653" t="s">
        <v>3352</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1696</v>
      </c>
      <c r="E50" s="1158" t="s">
        <v>3353</v>
      </c>
      <c r="F50" s="1159">
        <v>99454</v>
      </c>
      <c r="G50" s="1159">
        <v>135544</v>
      </c>
      <c r="H50" s="1159">
        <v>171357</v>
      </c>
      <c r="I50" s="1159">
        <v>225572</v>
      </c>
      <c r="J50" s="1159">
        <v>279402</v>
      </c>
      <c r="L50" s="653" t="s">
        <v>1696</v>
      </c>
      <c r="M50" s="653" t="s">
        <v>3353</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2439</v>
      </c>
      <c r="L53" s="309" t="s">
        <v>2440</v>
      </c>
      <c r="M53" s="309" t="s">
        <v>2441</v>
      </c>
      <c r="N53" s="309" t="s">
        <v>2442</v>
      </c>
      <c r="O53" s="190"/>
      <c r="P53" s="187"/>
      <c r="Q53" s="191" t="s">
        <v>3043</v>
      </c>
      <c r="R53" s="191" t="s">
        <v>1730</v>
      </c>
      <c r="S53" s="308"/>
      <c r="T53" s="308"/>
      <c r="U53" s="187"/>
      <c r="V53" s="1144"/>
      <c r="W53" s="1144"/>
      <c r="X53" s="1144"/>
      <c r="AA53" s="585"/>
      <c r="AB53" s="585"/>
    </row>
    <row r="54" spans="1:28" s="302" customFormat="1" ht="11.45" customHeight="1">
      <c r="A54" s="190"/>
      <c r="B54" s="190"/>
      <c r="C54" s="190"/>
      <c r="D54" s="187"/>
      <c r="E54" s="187"/>
      <c r="F54" s="190" t="s">
        <v>3544</v>
      </c>
      <c r="G54" s="190"/>
      <c r="H54" s="187"/>
      <c r="I54" s="187"/>
      <c r="J54" s="740">
        <v>110481</v>
      </c>
      <c r="K54" s="740">
        <v>126647</v>
      </c>
      <c r="L54" s="740">
        <v>154003</v>
      </c>
      <c r="M54" s="740">
        <v>199229</v>
      </c>
      <c r="N54" s="740">
        <v>199229</v>
      </c>
      <c r="O54" s="190"/>
      <c r="P54" s="187"/>
      <c r="Q54" s="741">
        <v>1000</v>
      </c>
      <c r="R54" s="741">
        <v>0</v>
      </c>
      <c r="S54" s="323" t="s">
        <v>3543</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3043</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3661</v>
      </c>
      <c r="H59" s="187"/>
      <c r="I59" s="187"/>
      <c r="J59" s="190" t="s">
        <v>1530</v>
      </c>
      <c r="K59" s="190"/>
      <c r="L59" s="190"/>
      <c r="M59" s="190"/>
      <c r="N59" s="190"/>
      <c r="O59" s="190"/>
      <c r="P59" s="187"/>
      <c r="Q59" s="1349">
        <v>5000</v>
      </c>
      <c r="R59" s="313" t="s">
        <v>1733</v>
      </c>
      <c r="S59" s="314"/>
      <c r="AA59" s="585"/>
      <c r="AB59" s="585"/>
    </row>
    <row r="60" spans="1:28" s="302" customFormat="1" ht="11.45" customHeight="1">
      <c r="A60" s="187"/>
      <c r="B60" s="190"/>
      <c r="C60" s="190"/>
      <c r="D60" s="187"/>
      <c r="E60" s="187"/>
      <c r="F60" s="190"/>
      <c r="G60" s="190" t="s">
        <v>3660</v>
      </c>
      <c r="H60" s="187"/>
      <c r="I60" s="187"/>
      <c r="J60" s="190" t="s">
        <v>1530</v>
      </c>
      <c r="K60" s="190"/>
      <c r="L60" s="190"/>
      <c r="M60" s="190"/>
      <c r="N60" s="190"/>
      <c r="O60" s="190"/>
      <c r="P60" s="187"/>
      <c r="Q60" s="1349">
        <v>4500</v>
      </c>
      <c r="R60" s="313" t="s">
        <v>1733</v>
      </c>
      <c r="S60" s="314"/>
      <c r="AA60" s="585"/>
      <c r="AB60" s="585"/>
    </row>
    <row r="61" spans="1:28" s="302" customFormat="1" ht="11.45" customHeight="1">
      <c r="A61" s="187"/>
      <c r="B61" s="190"/>
      <c r="C61" s="190"/>
      <c r="D61" s="187"/>
      <c r="E61" s="187"/>
      <c r="F61" s="190" t="s">
        <v>2598</v>
      </c>
      <c r="G61" s="190" t="s">
        <v>2612</v>
      </c>
      <c r="H61" s="187"/>
      <c r="I61" s="187"/>
      <c r="J61" s="190" t="s">
        <v>1530</v>
      </c>
      <c r="K61" s="190"/>
      <c r="L61" s="190"/>
      <c r="M61" s="190"/>
      <c r="N61" s="190"/>
      <c r="O61" s="190"/>
      <c r="P61" s="187"/>
      <c r="Q61" s="1349">
        <v>3750</v>
      </c>
      <c r="R61" s="313" t="s">
        <v>1733</v>
      </c>
      <c r="S61" s="314"/>
      <c r="AA61" s="585"/>
      <c r="AB61" s="585"/>
    </row>
    <row r="62" spans="1:28" s="302" customFormat="1" ht="11.45" customHeight="1">
      <c r="A62" s="190"/>
      <c r="B62" s="190"/>
      <c r="C62" s="190"/>
      <c r="D62" s="187"/>
      <c r="E62" s="187"/>
      <c r="G62" s="190" t="s">
        <v>2611</v>
      </c>
      <c r="H62" s="187"/>
      <c r="I62" s="187"/>
      <c r="J62" s="190" t="s">
        <v>1530</v>
      </c>
      <c r="K62" s="190"/>
      <c r="L62" s="190"/>
      <c r="M62" s="190"/>
      <c r="N62" s="190"/>
      <c r="O62" s="190"/>
      <c r="P62" s="187"/>
      <c r="Q62" s="1349">
        <v>3250</v>
      </c>
      <c r="R62" s="313" t="s">
        <v>1733</v>
      </c>
      <c r="S62" s="314"/>
      <c r="AA62" s="585"/>
      <c r="AB62" s="585"/>
    </row>
    <row r="63" spans="1:28" s="302" customFormat="1" ht="11.45" customHeight="1">
      <c r="A63" s="190"/>
      <c r="B63" s="190"/>
      <c r="C63" s="190"/>
      <c r="D63" s="187"/>
      <c r="E63" s="187"/>
      <c r="G63" s="190" t="s">
        <v>3944</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c r="A66" s="190"/>
      <c r="B66" s="190"/>
      <c r="C66" s="190"/>
      <c r="D66" s="190"/>
      <c r="E66" s="187"/>
      <c r="F66" s="190" t="s">
        <v>3430</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3865</v>
      </c>
      <c r="K70" s="190"/>
      <c r="L70" s="190"/>
      <c r="M70" s="190"/>
      <c r="N70" s="190"/>
      <c r="O70" s="190"/>
      <c r="P70" s="187"/>
      <c r="Q70" s="1264">
        <v>25000</v>
      </c>
      <c r="R70" s="313" t="s">
        <v>507</v>
      </c>
      <c r="S70" s="314"/>
      <c r="T70" s="314"/>
      <c r="U70" s="314"/>
      <c r="AA70" s="585"/>
      <c r="AB70" s="585"/>
    </row>
    <row r="71" spans="1:28" s="302" customFormat="1" ht="11.45" customHeight="1">
      <c r="A71" s="190"/>
      <c r="B71" s="190" t="s">
        <v>1960</v>
      </c>
      <c r="C71" s="190"/>
      <c r="D71" s="187"/>
      <c r="E71" s="187"/>
      <c r="F71" s="190" t="s">
        <v>1198</v>
      </c>
      <c r="G71" s="190"/>
      <c r="H71" s="187"/>
      <c r="I71" s="187"/>
      <c r="J71" s="190" t="s">
        <v>3945</v>
      </c>
      <c r="K71" s="190"/>
      <c r="L71" s="190"/>
      <c r="M71" s="190"/>
      <c r="N71" s="190"/>
      <c r="O71" s="190"/>
      <c r="P71" s="187"/>
      <c r="Q71" s="1263" t="s">
        <v>970</v>
      </c>
      <c r="R71" s="1263">
        <v>0.05</v>
      </c>
      <c r="S71" s="314"/>
      <c r="T71" s="314"/>
      <c r="U71" s="314"/>
      <c r="AA71" s="585"/>
      <c r="AB71" s="585"/>
    </row>
    <row r="72" spans="1:28" s="302" customFormat="1" ht="11.45" customHeight="1">
      <c r="A72" s="190"/>
      <c r="B72" s="190"/>
      <c r="C72" s="190"/>
      <c r="D72" s="187"/>
      <c r="E72" s="187"/>
      <c r="F72" s="190" t="s">
        <v>276</v>
      </c>
      <c r="G72" s="190"/>
      <c r="H72" s="187"/>
      <c r="I72" s="187"/>
      <c r="J72" s="190" t="s">
        <v>3945</v>
      </c>
      <c r="K72" s="190"/>
      <c r="L72" s="190"/>
      <c r="M72" s="190"/>
      <c r="N72" s="190"/>
      <c r="O72" s="190"/>
      <c r="P72" s="187"/>
      <c r="Q72" s="1263" t="s">
        <v>970</v>
      </c>
      <c r="R72" s="1263">
        <v>0.1</v>
      </c>
      <c r="S72" s="314"/>
      <c r="T72" s="314"/>
      <c r="U72" s="314"/>
      <c r="AA72" s="585"/>
      <c r="AB72" s="585"/>
    </row>
    <row r="73" spans="1:28" s="302" customFormat="1" ht="11.45" customHeight="1">
      <c r="A73" s="190"/>
      <c r="B73" s="190" t="s">
        <v>2037</v>
      </c>
      <c r="C73" s="190"/>
      <c r="D73" s="187"/>
      <c r="E73" s="187"/>
      <c r="F73" s="190" t="s">
        <v>1733</v>
      </c>
      <c r="G73" s="190"/>
      <c r="H73" s="187"/>
      <c r="I73" s="187"/>
      <c r="J73" s="190" t="s">
        <v>3946</v>
      </c>
      <c r="K73" s="190"/>
      <c r="L73" s="190"/>
      <c r="M73" s="190"/>
      <c r="N73" s="190"/>
      <c r="O73" s="190"/>
      <c r="P73" s="187"/>
      <c r="Q73" s="313" t="s">
        <v>1733</v>
      </c>
      <c r="R73" s="1263">
        <v>0.06</v>
      </c>
      <c r="S73" s="314"/>
      <c r="T73" s="314"/>
      <c r="U73" s="314"/>
      <c r="AA73" s="585"/>
      <c r="AB73" s="585"/>
    </row>
    <row r="74" spans="1:28" s="302" customFormat="1" ht="11.45" customHeight="1">
      <c r="A74" s="190"/>
      <c r="B74" s="190" t="s">
        <v>2038</v>
      </c>
      <c r="C74" s="190"/>
      <c r="D74" s="187"/>
      <c r="E74" s="187"/>
      <c r="F74" s="190" t="s">
        <v>1733</v>
      </c>
      <c r="G74" s="190"/>
      <c r="H74" s="187"/>
      <c r="I74" s="187"/>
      <c r="J74" s="190" t="s">
        <v>3946</v>
      </c>
      <c r="K74" s="190"/>
      <c r="L74" s="190"/>
      <c r="M74" s="190"/>
      <c r="N74" s="190"/>
      <c r="O74" s="190"/>
      <c r="P74" s="187"/>
      <c r="Q74" s="313" t="s">
        <v>1733</v>
      </c>
      <c r="R74" s="1263">
        <v>0.02</v>
      </c>
      <c r="S74" s="314"/>
      <c r="T74" s="314"/>
      <c r="U74" s="314"/>
      <c r="AA74" s="585"/>
      <c r="AB74" s="585"/>
    </row>
    <row r="75" spans="1:28" s="302" customFormat="1" ht="11.45" customHeight="1">
      <c r="A75" s="190"/>
      <c r="B75" s="190" t="s">
        <v>2816</v>
      </c>
      <c r="C75" s="190"/>
      <c r="D75" s="187"/>
      <c r="E75" s="187"/>
      <c r="F75" s="190" t="s">
        <v>1733</v>
      </c>
      <c r="G75" s="190"/>
      <c r="H75" s="187"/>
      <c r="I75" s="187"/>
      <c r="J75" s="190" t="s">
        <v>3946</v>
      </c>
      <c r="K75" s="190"/>
      <c r="L75" s="190"/>
      <c r="M75" s="190"/>
      <c r="N75" s="190"/>
      <c r="O75" s="190"/>
      <c r="P75" s="187"/>
      <c r="Q75" s="313" t="s">
        <v>1733</v>
      </c>
      <c r="R75" s="1263">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c r="A77" s="187"/>
      <c r="B77" s="314" t="s">
        <v>3846</v>
      </c>
      <c r="C77" s="190"/>
      <c r="D77" s="190"/>
      <c r="E77" s="187"/>
      <c r="F77" s="192" t="s">
        <v>3478</v>
      </c>
      <c r="G77" s="190"/>
      <c r="H77" s="187"/>
      <c r="I77" s="187"/>
      <c r="J77" s="190" t="s">
        <v>1200</v>
      </c>
      <c r="K77" s="190"/>
      <c r="L77" s="190"/>
      <c r="M77" s="190"/>
      <c r="N77" s="190"/>
      <c r="O77" s="190"/>
      <c r="P77" s="187"/>
      <c r="Q77" s="4311">
        <v>1000</v>
      </c>
      <c r="R77" s="4312"/>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11">
        <v>500</v>
      </c>
      <c r="R78" s="4312"/>
      <c r="S78" s="314"/>
      <c r="T78" s="314"/>
      <c r="U78" s="314"/>
      <c r="AA78" s="585"/>
      <c r="AB78" s="585"/>
    </row>
    <row r="79" spans="1:28" s="302" customFormat="1" ht="11.45" customHeight="1">
      <c r="A79" s="190"/>
      <c r="B79" s="190"/>
      <c r="C79" s="190"/>
      <c r="D79" s="190"/>
      <c r="E79" s="187"/>
      <c r="F79" s="192" t="s">
        <v>3954</v>
      </c>
      <c r="G79" s="190"/>
      <c r="H79" s="187"/>
      <c r="I79" s="187"/>
      <c r="J79" s="192" t="s">
        <v>3950</v>
      </c>
      <c r="K79" s="190"/>
      <c r="L79" s="190"/>
      <c r="M79" s="190"/>
      <c r="N79" s="190"/>
      <c r="O79" s="190"/>
      <c r="P79" s="187"/>
      <c r="Q79" s="4311">
        <v>1500</v>
      </c>
      <c r="R79" s="4312"/>
      <c r="S79" s="314"/>
      <c r="T79" s="314"/>
      <c r="U79" s="314"/>
      <c r="AA79" s="585"/>
      <c r="AB79" s="585"/>
    </row>
    <row r="80" spans="1:28" s="302" customFormat="1" ht="11.45" customHeight="1">
      <c r="A80" s="190"/>
      <c r="B80" s="190"/>
      <c r="C80" s="190"/>
      <c r="D80" s="190"/>
      <c r="E80" s="187"/>
      <c r="G80" s="190"/>
      <c r="H80" s="187"/>
      <c r="I80" s="187"/>
      <c r="J80" s="192" t="s">
        <v>3951</v>
      </c>
      <c r="K80" s="190"/>
      <c r="L80" s="190"/>
      <c r="M80" s="190"/>
      <c r="N80" s="190"/>
      <c r="O80" s="190"/>
      <c r="P80" s="187"/>
      <c r="Q80" s="4311">
        <v>1500</v>
      </c>
      <c r="R80" s="4312"/>
      <c r="S80" s="314"/>
      <c r="T80" s="314"/>
      <c r="U80" s="314"/>
      <c r="AA80" s="585"/>
      <c r="AB80" s="585"/>
    </row>
    <row r="81" spans="1:28" s="302" customFormat="1" ht="11.45" customHeight="1">
      <c r="A81" s="190"/>
      <c r="B81" s="190"/>
      <c r="C81" s="190"/>
      <c r="D81" s="190"/>
      <c r="E81" s="187"/>
      <c r="G81" s="190"/>
      <c r="H81" s="187"/>
      <c r="I81" s="187"/>
      <c r="J81" s="192" t="s">
        <v>3952</v>
      </c>
      <c r="K81" s="190"/>
      <c r="L81" s="190"/>
      <c r="M81" s="190"/>
      <c r="N81" s="190"/>
      <c r="O81" s="190"/>
      <c r="P81" s="187"/>
      <c r="Q81" s="4311">
        <v>1500</v>
      </c>
      <c r="R81" s="4312"/>
      <c r="S81" s="314"/>
      <c r="T81" s="314"/>
      <c r="U81" s="314"/>
      <c r="AA81" s="585"/>
      <c r="AB81" s="585"/>
    </row>
    <row r="82" spans="1:28" s="302" customFormat="1" ht="11.45" customHeight="1">
      <c r="A82" s="190"/>
      <c r="B82" s="190"/>
      <c r="C82" s="190"/>
      <c r="D82" s="190"/>
      <c r="E82" s="187"/>
      <c r="G82" s="190"/>
      <c r="H82" s="187"/>
      <c r="I82" s="187"/>
      <c r="J82" s="192" t="s">
        <v>3953</v>
      </c>
      <c r="K82" s="190"/>
      <c r="L82" s="190"/>
      <c r="M82" s="190"/>
      <c r="N82" s="190"/>
      <c r="O82" s="190"/>
      <c r="P82" s="187"/>
      <c r="Q82" s="4311">
        <v>1500</v>
      </c>
      <c r="R82" s="4312"/>
      <c r="S82" s="314"/>
      <c r="T82" s="314"/>
      <c r="U82" s="314"/>
      <c r="AA82" s="585"/>
      <c r="AB82" s="585"/>
    </row>
    <row r="83" spans="1:28" s="302" customFormat="1" ht="11.45" customHeight="1">
      <c r="A83" s="190"/>
      <c r="B83" s="190"/>
      <c r="C83" s="190"/>
      <c r="D83" s="190"/>
      <c r="E83" s="187"/>
      <c r="F83" s="192" t="s">
        <v>4733</v>
      </c>
      <c r="G83" s="190"/>
      <c r="H83" s="187"/>
      <c r="I83" s="187"/>
      <c r="J83" s="190" t="s">
        <v>1200</v>
      </c>
      <c r="K83" s="190"/>
      <c r="L83" s="190"/>
      <c r="M83" s="190"/>
      <c r="N83" s="190"/>
      <c r="O83" s="190"/>
      <c r="P83" s="187"/>
      <c r="Q83" s="4311">
        <v>6500</v>
      </c>
      <c r="R83" s="4312"/>
      <c r="S83" s="314"/>
      <c r="T83" s="314"/>
      <c r="U83" s="314"/>
      <c r="AA83" s="585"/>
      <c r="AB83" s="585"/>
    </row>
    <row r="84" spans="1:28" s="302" customFormat="1" ht="11.45" customHeight="1">
      <c r="A84" s="190"/>
      <c r="B84" s="190"/>
      <c r="C84" s="190"/>
      <c r="D84" s="190"/>
      <c r="E84" s="187"/>
      <c r="F84" s="192" t="s">
        <v>4733</v>
      </c>
      <c r="G84" s="190"/>
      <c r="H84" s="187"/>
      <c r="I84" s="187"/>
      <c r="J84" s="190" t="s">
        <v>1201</v>
      </c>
      <c r="K84" s="190"/>
      <c r="L84" s="190"/>
      <c r="M84" s="190"/>
      <c r="N84" s="190"/>
      <c r="O84" s="190"/>
      <c r="P84" s="187"/>
      <c r="Q84" s="4311">
        <v>5500</v>
      </c>
      <c r="R84" s="4312"/>
      <c r="S84" s="314"/>
      <c r="T84" s="314"/>
      <c r="U84" s="314"/>
      <c r="AA84" s="585"/>
      <c r="AB84" s="585"/>
    </row>
    <row r="85" spans="1:28" s="302" customFormat="1" ht="11.45" customHeight="1">
      <c r="A85" s="190"/>
      <c r="B85" s="190"/>
      <c r="C85" s="190"/>
      <c r="D85" s="190"/>
      <c r="E85" s="187"/>
      <c r="F85" s="192" t="s">
        <v>3438</v>
      </c>
      <c r="G85" s="190"/>
      <c r="H85" s="187"/>
      <c r="I85" s="187"/>
      <c r="J85" s="190"/>
      <c r="K85" s="190"/>
      <c r="L85" s="190"/>
      <c r="M85" s="190"/>
      <c r="N85" s="190"/>
      <c r="O85" s="190"/>
      <c r="P85" s="187"/>
      <c r="Q85" s="4311">
        <v>5000</v>
      </c>
      <c r="R85" s="4312"/>
      <c r="S85" s="314"/>
      <c r="T85" s="314"/>
      <c r="U85" s="314"/>
      <c r="AA85" s="585"/>
      <c r="AB85" s="585"/>
    </row>
    <row r="86" spans="1:28" s="302" customFormat="1" ht="11.45" customHeight="1">
      <c r="A86" s="190"/>
      <c r="B86" s="190"/>
      <c r="C86" s="190"/>
      <c r="D86" s="190"/>
      <c r="E86" s="187"/>
      <c r="F86" s="192"/>
      <c r="G86" s="190" t="s">
        <v>4731</v>
      </c>
      <c r="H86" s="187"/>
      <c r="I86" s="187"/>
      <c r="J86" s="190" t="s">
        <v>4732</v>
      </c>
      <c r="K86" s="190"/>
      <c r="L86" s="190"/>
      <c r="M86" s="190"/>
      <c r="N86" s="190"/>
      <c r="O86" s="190"/>
      <c r="P86" s="187"/>
      <c r="Q86" s="4311">
        <v>500</v>
      </c>
      <c r="R86" s="4312"/>
      <c r="S86" s="314"/>
      <c r="T86" s="314"/>
      <c r="U86" s="314"/>
      <c r="AA86" s="585"/>
      <c r="AB86" s="585"/>
    </row>
    <row r="87" spans="1:28" s="302" customFormat="1" ht="11.45" customHeight="1">
      <c r="A87" s="190"/>
      <c r="B87" s="190"/>
      <c r="C87" s="190"/>
      <c r="D87" s="190"/>
      <c r="E87" s="187"/>
      <c r="F87" s="192" t="s">
        <v>3948</v>
      </c>
      <c r="G87" s="190"/>
      <c r="H87" s="187"/>
      <c r="I87" s="187"/>
      <c r="J87" s="190"/>
      <c r="K87" s="190"/>
      <c r="L87" s="190"/>
      <c r="M87" s="190"/>
      <c r="N87" s="190"/>
      <c r="O87" s="190"/>
      <c r="P87" s="187"/>
      <c r="Q87" s="4311">
        <v>1500</v>
      </c>
      <c r="R87" s="4312"/>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04">
        <v>0.08</v>
      </c>
      <c r="R88" s="4304"/>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04">
        <v>0.08</v>
      </c>
      <c r="R89" s="4304"/>
      <c r="S89" s="314"/>
      <c r="T89" s="314"/>
      <c r="U89" s="314"/>
      <c r="AA89" s="585"/>
      <c r="AB89" s="585"/>
    </row>
    <row r="90" spans="1:28" s="302" customFormat="1" ht="11.45" customHeight="1">
      <c r="A90" s="190"/>
      <c r="C90" s="190"/>
      <c r="D90" s="187"/>
      <c r="E90" s="187"/>
      <c r="F90" s="192" t="s">
        <v>4734</v>
      </c>
      <c r="H90" s="190"/>
      <c r="I90" s="187"/>
      <c r="J90" s="190"/>
      <c r="K90" s="190"/>
      <c r="L90" s="190"/>
      <c r="M90" s="190"/>
      <c r="N90" s="190"/>
      <c r="O90" s="190"/>
      <c r="P90" s="187"/>
      <c r="Q90" s="4311">
        <v>3000</v>
      </c>
      <c r="R90" s="4312"/>
      <c r="S90" s="314"/>
      <c r="T90" s="314"/>
      <c r="U90" s="314"/>
      <c r="AA90" s="585"/>
      <c r="AB90" s="585"/>
    </row>
    <row r="91" spans="1:28" s="302" customFormat="1" ht="11.45" customHeight="1">
      <c r="A91" s="190"/>
      <c r="C91" s="190"/>
      <c r="D91" s="187"/>
      <c r="E91" s="187"/>
      <c r="F91" s="192" t="s">
        <v>3864</v>
      </c>
      <c r="H91" s="190"/>
      <c r="I91" s="187"/>
      <c r="J91" s="190"/>
      <c r="K91" s="190"/>
      <c r="L91" s="190"/>
      <c r="M91" s="190"/>
      <c r="N91" s="190"/>
      <c r="O91" s="190"/>
      <c r="P91" s="187"/>
      <c r="Q91" s="4311">
        <v>1500</v>
      </c>
      <c r="R91" s="4312"/>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11">
        <v>800</v>
      </c>
      <c r="R92" s="4312"/>
      <c r="S92" s="314"/>
      <c r="T92" s="314"/>
      <c r="U92" s="314"/>
      <c r="AA92" s="585"/>
      <c r="AB92" s="585"/>
    </row>
    <row r="93" spans="1:28" s="302" customFormat="1" ht="11.45" customHeight="1">
      <c r="A93" s="190"/>
      <c r="C93" s="190"/>
      <c r="D93" s="187"/>
      <c r="E93" s="187"/>
      <c r="F93" s="190"/>
      <c r="H93" s="190"/>
      <c r="I93" s="190" t="s">
        <v>4735</v>
      </c>
      <c r="J93" s="190" t="s">
        <v>1530</v>
      </c>
      <c r="K93" s="190"/>
      <c r="L93" s="190"/>
      <c r="M93" s="190"/>
      <c r="N93" s="190"/>
      <c r="O93" s="190"/>
      <c r="P93" s="187"/>
      <c r="Q93" s="4311">
        <v>1000</v>
      </c>
      <c r="R93" s="4312"/>
      <c r="S93" s="314"/>
      <c r="T93" s="314"/>
      <c r="U93" s="314"/>
      <c r="AA93" s="585"/>
      <c r="AB93" s="585"/>
    </row>
    <row r="94" spans="1:28" s="302" customFormat="1" ht="11.45" customHeight="1">
      <c r="A94" s="190"/>
      <c r="B94" s="190"/>
      <c r="C94" s="190"/>
      <c r="D94" s="187"/>
      <c r="E94" s="187"/>
      <c r="H94" s="192" t="s">
        <v>2681</v>
      </c>
      <c r="I94" s="325"/>
      <c r="J94" s="192" t="s">
        <v>1530</v>
      </c>
      <c r="K94" s="192" t="s">
        <v>3881</v>
      </c>
      <c r="L94" s="192"/>
      <c r="M94" s="192"/>
      <c r="N94" s="192"/>
      <c r="O94" s="192"/>
      <c r="P94" s="325"/>
      <c r="Q94" s="4311">
        <v>800</v>
      </c>
      <c r="R94" s="4312"/>
      <c r="S94" s="314"/>
      <c r="T94" s="314"/>
      <c r="U94" s="314"/>
      <c r="AA94" s="585"/>
      <c r="AB94" s="585"/>
    </row>
    <row r="95" spans="1:28" s="302" customFormat="1" ht="11.45" customHeight="1">
      <c r="A95" s="190"/>
      <c r="B95" s="190"/>
      <c r="C95" s="190"/>
      <c r="D95" s="187"/>
      <c r="E95" s="187"/>
      <c r="H95" s="190" t="s">
        <v>2821</v>
      </c>
      <c r="I95" s="187"/>
      <c r="J95" s="190" t="s">
        <v>2680</v>
      </c>
      <c r="K95" s="190"/>
      <c r="L95" s="190"/>
      <c r="M95" s="190"/>
      <c r="N95" s="190"/>
      <c r="O95" s="190"/>
      <c r="P95" s="187"/>
      <c r="Q95" s="4311">
        <v>1500</v>
      </c>
      <c r="R95" s="4312"/>
      <c r="S95" s="314"/>
      <c r="T95" s="314"/>
      <c r="U95" s="314"/>
      <c r="AA95" s="585"/>
      <c r="AB95" s="585"/>
    </row>
    <row r="96" spans="1:28" s="302" customFormat="1" ht="11.45" customHeight="1">
      <c r="A96" s="190"/>
      <c r="B96" s="190"/>
      <c r="C96" s="190"/>
      <c r="D96" s="187"/>
      <c r="E96" s="187"/>
      <c r="F96" s="190" t="s">
        <v>4198</v>
      </c>
      <c r="I96" s="187"/>
      <c r="J96" s="190" t="s">
        <v>4737</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4736</v>
      </c>
      <c r="I97" s="187"/>
      <c r="J97" s="190" t="s">
        <v>1763</v>
      </c>
      <c r="K97" s="190"/>
      <c r="L97" s="190"/>
      <c r="M97" s="190"/>
      <c r="N97" s="190"/>
      <c r="O97" s="190"/>
      <c r="P97" s="187"/>
      <c r="Q97" s="4311">
        <v>3000</v>
      </c>
      <c r="R97" s="4312"/>
      <c r="S97" s="314"/>
      <c r="T97" s="314"/>
      <c r="U97" s="314"/>
      <c r="AA97" s="585"/>
      <c r="AB97" s="585"/>
    </row>
    <row r="98" spans="1:28" s="302" customFormat="1" ht="11.45" customHeight="1">
      <c r="A98" s="190"/>
      <c r="B98" s="192"/>
      <c r="C98" s="190"/>
      <c r="D98" s="187"/>
      <c r="E98" s="187"/>
      <c r="F98" s="190" t="s">
        <v>3439</v>
      </c>
      <c r="I98" s="187"/>
      <c r="J98" s="190" t="s">
        <v>3440</v>
      </c>
      <c r="K98" s="190"/>
      <c r="L98" s="190" t="s">
        <v>2820</v>
      </c>
      <c r="M98" s="190"/>
      <c r="N98" s="190"/>
      <c r="O98" s="190"/>
      <c r="P98" s="187"/>
      <c r="Q98" s="4311">
        <v>75</v>
      </c>
      <c r="R98" s="4312"/>
      <c r="S98" s="314"/>
      <c r="T98" s="314"/>
      <c r="U98" s="314"/>
      <c r="AA98" s="585"/>
      <c r="AB98" s="585"/>
    </row>
    <row r="99" spans="1:28" s="302" customFormat="1" ht="13.5">
      <c r="A99" s="190"/>
      <c r="B99" s="190" t="s">
        <v>1861</v>
      </c>
      <c r="C99" s="190"/>
      <c r="D99" s="1351" t="s">
        <v>3947</v>
      </c>
      <c r="E99" s="187"/>
      <c r="F99" s="190"/>
      <c r="G99" s="190"/>
      <c r="H99" s="190"/>
      <c r="I99" s="187"/>
      <c r="J99" s="190" t="s">
        <v>1730</v>
      </c>
      <c r="K99" s="190"/>
      <c r="L99" s="190"/>
      <c r="M99" s="190"/>
      <c r="N99" s="190"/>
      <c r="O99" s="190"/>
      <c r="P99" s="187"/>
      <c r="Q99" s="4315">
        <v>1800000</v>
      </c>
      <c r="R99" s="4316"/>
      <c r="S99" s="314"/>
      <c r="T99" s="314"/>
      <c r="U99" s="314"/>
      <c r="AA99" s="585"/>
      <c r="AB99" s="585"/>
    </row>
    <row r="100" spans="1:28" s="302" customFormat="1" ht="13.5">
      <c r="A100" s="190"/>
      <c r="B100" s="190"/>
      <c r="C100" s="190"/>
      <c r="D100" s="187"/>
      <c r="E100" s="187"/>
      <c r="F100" s="190"/>
      <c r="G100" s="190"/>
      <c r="H100" s="190"/>
      <c r="I100" s="187"/>
      <c r="J100" s="190" t="s">
        <v>3416</v>
      </c>
      <c r="K100" s="190"/>
      <c r="L100" s="190"/>
      <c r="M100" s="190"/>
      <c r="N100" s="190"/>
      <c r="O100" s="190"/>
      <c r="P100" s="187"/>
      <c r="Q100" s="4315">
        <v>3500000</v>
      </c>
      <c r="R100" s="4316"/>
      <c r="S100" s="314"/>
      <c r="T100" s="314"/>
      <c r="U100" s="314"/>
      <c r="AA100" s="585"/>
      <c r="AB100" s="585"/>
    </row>
    <row r="101" spans="1:28" s="302" customFormat="1" ht="13.5" hidden="1">
      <c r="A101" s="190"/>
      <c r="B101" s="190"/>
      <c r="C101" s="190"/>
      <c r="D101" s="187"/>
      <c r="E101" s="187"/>
      <c r="F101" s="190" t="s">
        <v>1715</v>
      </c>
      <c r="G101" s="190"/>
      <c r="H101" s="190" t="s">
        <v>2294</v>
      </c>
      <c r="I101" s="187"/>
      <c r="J101" s="190" t="s">
        <v>975</v>
      </c>
      <c r="K101" s="190"/>
      <c r="L101" s="190"/>
      <c r="M101" s="190"/>
      <c r="N101" s="190"/>
      <c r="O101" s="190"/>
      <c r="P101" s="187"/>
      <c r="Q101" s="4313">
        <v>0.15</v>
      </c>
      <c r="R101" s="4314"/>
      <c r="S101" s="314"/>
      <c r="T101" s="314"/>
      <c r="U101" s="314"/>
      <c r="AA101" s="585"/>
      <c r="AB101" s="585"/>
    </row>
    <row r="102" spans="1:28" s="302" customFormat="1" ht="13.5" hidden="1">
      <c r="A102" s="190"/>
      <c r="B102" s="442"/>
      <c r="C102" s="190"/>
      <c r="D102" s="187"/>
      <c r="E102" s="187"/>
      <c r="F102" s="190"/>
      <c r="G102" s="190"/>
      <c r="H102" s="190" t="s">
        <v>3632</v>
      </c>
      <c r="I102" s="190" t="s">
        <v>972</v>
      </c>
      <c r="J102" s="190" t="s">
        <v>974</v>
      </c>
      <c r="K102" s="190"/>
      <c r="L102" s="190"/>
      <c r="M102" s="190"/>
      <c r="N102" s="190"/>
      <c r="O102" s="190"/>
      <c r="P102" s="187"/>
      <c r="Q102" s="4313">
        <v>0.15</v>
      </c>
      <c r="R102" s="4314"/>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13">
        <v>0.15</v>
      </c>
      <c r="R103" s="4314"/>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13">
        <v>0.15</v>
      </c>
      <c r="R104" s="4314"/>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13">
        <v>0.15</v>
      </c>
      <c r="R105" s="4314"/>
      <c r="S105" s="314"/>
      <c r="T105" s="314"/>
      <c r="U105" s="314"/>
      <c r="AA105" s="585"/>
      <c r="AB105" s="585"/>
    </row>
    <row r="106" spans="1:28" s="302" customFormat="1" ht="13.5" hidden="1">
      <c r="A106" s="190"/>
      <c r="B106" s="442"/>
      <c r="C106" s="190"/>
      <c r="D106" s="187"/>
      <c r="E106" s="187"/>
      <c r="F106" s="190" t="s">
        <v>1759</v>
      </c>
      <c r="G106" s="190"/>
      <c r="H106" s="190"/>
      <c r="I106" s="187"/>
      <c r="J106" s="190" t="s">
        <v>2370</v>
      </c>
      <c r="K106" s="190"/>
      <c r="L106" s="190"/>
      <c r="M106" s="190"/>
      <c r="N106" s="190"/>
      <c r="O106" s="190"/>
      <c r="P106" s="187"/>
      <c r="Q106" s="4313">
        <v>0.15</v>
      </c>
      <c r="R106" s="4314"/>
      <c r="S106" s="314"/>
      <c r="T106" s="314"/>
      <c r="U106" s="314"/>
      <c r="AA106" s="585"/>
      <c r="AB106" s="585"/>
    </row>
    <row r="107" spans="1:28" s="302" customFormat="1" ht="13.5" hidden="1">
      <c r="A107" s="190"/>
      <c r="B107" s="442"/>
      <c r="C107" s="190"/>
      <c r="D107" s="187"/>
      <c r="E107" s="187"/>
      <c r="G107" s="190"/>
      <c r="H107" s="190"/>
      <c r="I107" s="187"/>
      <c r="J107" s="190" t="s">
        <v>2371</v>
      </c>
      <c r="K107" s="190"/>
      <c r="L107" s="190"/>
      <c r="M107" s="190"/>
      <c r="N107" s="190"/>
      <c r="O107" s="190"/>
      <c r="P107" s="187"/>
      <c r="Q107" s="4313" t="s">
        <v>2372</v>
      </c>
      <c r="R107" s="4314"/>
      <c r="S107" s="314"/>
      <c r="T107" s="314"/>
      <c r="U107" s="314"/>
      <c r="AA107" s="585"/>
      <c r="AB107" s="585"/>
    </row>
    <row r="108" spans="1:28" s="302" customFormat="1" ht="13.5">
      <c r="A108" s="190"/>
      <c r="B108" s="442"/>
      <c r="C108" s="190"/>
      <c r="D108" s="187"/>
      <c r="E108" s="187"/>
      <c r="F108" s="190" t="s">
        <v>2032</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2031</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2033</v>
      </c>
      <c r="C112" s="190"/>
      <c r="D112" s="187"/>
      <c r="E112" s="187"/>
      <c r="F112" s="190"/>
      <c r="G112" s="190"/>
      <c r="I112" s="187"/>
      <c r="J112" s="190" t="s">
        <v>2034</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3479</v>
      </c>
      <c r="C113" s="190"/>
      <c r="D113" s="187"/>
      <c r="E113" s="190"/>
      <c r="F113" s="190"/>
      <c r="G113" s="190"/>
      <c r="H113" s="187"/>
      <c r="I113" s="187"/>
      <c r="J113" s="190" t="s">
        <v>1763</v>
      </c>
      <c r="K113" s="190"/>
      <c r="L113" s="190"/>
      <c r="M113" s="190"/>
      <c r="N113" s="190"/>
      <c r="O113" s="190"/>
      <c r="P113" s="187"/>
      <c r="Q113" s="4311">
        <v>3000</v>
      </c>
      <c r="R113" s="4312"/>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3043</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2410</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04">
        <v>0.02</v>
      </c>
      <c r="R121" s="4304"/>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04">
        <v>7.0000000000000007E-2</v>
      </c>
      <c r="R122" s="4304"/>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04">
        <v>7.0000000000000007E-2</v>
      </c>
      <c r="R123" s="4304"/>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04">
        <v>0.03</v>
      </c>
      <c r="R124" s="4304"/>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04">
        <v>0.03</v>
      </c>
      <c r="R125" s="4304"/>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04">
        <v>0</v>
      </c>
      <c r="R126" s="4304"/>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2677</v>
      </c>
      <c r="B128" s="190"/>
      <c r="C128" s="190"/>
      <c r="D128" s="187"/>
      <c r="E128" s="187"/>
      <c r="F128" s="190" t="s">
        <v>508</v>
      </c>
      <c r="G128" s="190"/>
      <c r="H128" s="190" t="s">
        <v>2599</v>
      </c>
      <c r="I128" s="187"/>
      <c r="J128" s="190" t="s">
        <v>2679</v>
      </c>
      <c r="K128" s="190"/>
      <c r="L128" s="190"/>
      <c r="M128" s="190"/>
      <c r="N128" s="190"/>
      <c r="O128" s="190"/>
      <c r="P128" s="187"/>
      <c r="Q128" s="4304">
        <v>0.1</v>
      </c>
      <c r="R128" s="4304"/>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3897</v>
      </c>
      <c r="I129" s="187"/>
      <c r="J129" s="190" t="s">
        <v>3898</v>
      </c>
      <c r="K129" s="190"/>
      <c r="L129" s="190"/>
      <c r="M129" s="190"/>
      <c r="N129" s="190"/>
      <c r="O129" s="190"/>
      <c r="P129" s="187"/>
      <c r="Q129" s="4303">
        <v>1000000</v>
      </c>
      <c r="R129" s="4303"/>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3891</v>
      </c>
      <c r="I130" s="187"/>
      <c r="J130" s="190" t="s">
        <v>3899</v>
      </c>
      <c r="K130" s="190"/>
      <c r="L130" s="190"/>
      <c r="M130" s="190"/>
      <c r="N130" s="190"/>
      <c r="O130" s="190"/>
      <c r="P130" s="187"/>
      <c r="Q130" s="4303">
        <v>1500000</v>
      </c>
      <c r="R130" s="4303"/>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3900</v>
      </c>
      <c r="K131" s="190"/>
      <c r="L131" s="190"/>
      <c r="M131" s="190"/>
      <c r="N131" s="190"/>
      <c r="O131" s="190"/>
      <c r="P131" s="187"/>
      <c r="Q131" s="4303">
        <v>375000</v>
      </c>
      <c r="R131" s="4303"/>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4729</v>
      </c>
      <c r="I132" s="187"/>
      <c r="J132" s="190"/>
      <c r="K132" s="190"/>
      <c r="L132" s="190"/>
      <c r="M132" s="190"/>
      <c r="N132" s="190"/>
      <c r="O132" s="190"/>
      <c r="P132" s="187"/>
      <c r="Q132" s="4303"/>
      <c r="R132" s="4303"/>
      <c r="S132" s="308"/>
      <c r="T132" s="308"/>
      <c r="U132" s="187"/>
      <c r="V132" s="1144"/>
      <c r="W132" s="1144"/>
      <c r="X132" s="1144"/>
      <c r="AA132" s="585"/>
      <c r="AB132" s="585"/>
    </row>
    <row r="133" spans="1:28" s="302" customFormat="1" ht="11.45" customHeight="1">
      <c r="A133" s="190"/>
      <c r="B133" s="190"/>
      <c r="C133" s="190"/>
      <c r="D133" s="187"/>
      <c r="E133" s="187"/>
      <c r="F133" s="190" t="s">
        <v>2408</v>
      </c>
      <c r="G133" s="190"/>
      <c r="H133" s="190" t="s">
        <v>2678</v>
      </c>
      <c r="I133" s="187"/>
      <c r="J133" s="190" t="s">
        <v>3943</v>
      </c>
      <c r="K133" s="190"/>
      <c r="L133" s="190"/>
      <c r="M133" s="190"/>
      <c r="N133" s="190"/>
      <c r="O133" s="190"/>
      <c r="P133" s="187"/>
      <c r="Q133" s="4303">
        <v>4000000</v>
      </c>
      <c r="R133" s="4303"/>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2817</v>
      </c>
      <c r="F136" s="190" t="s">
        <v>2598</v>
      </c>
      <c r="G136" s="190"/>
      <c r="H136" s="187"/>
      <c r="I136" s="187"/>
      <c r="J136" s="190" t="s">
        <v>4730</v>
      </c>
      <c r="K136" s="190"/>
      <c r="L136" s="190"/>
      <c r="M136" s="190"/>
      <c r="N136" s="190"/>
      <c r="O136" s="190"/>
      <c r="P136" s="187"/>
      <c r="Q136" s="4304">
        <v>0.35</v>
      </c>
      <c r="R136" s="4304"/>
    </row>
    <row r="137" spans="1:28" s="302" customFormat="1" ht="12.75" customHeight="1">
      <c r="A137" s="307"/>
      <c r="B137" s="190"/>
      <c r="C137" s="190"/>
      <c r="D137" s="187"/>
      <c r="E137" s="187"/>
      <c r="F137" s="190" t="s">
        <v>2818</v>
      </c>
      <c r="G137" s="190"/>
      <c r="H137" s="187"/>
      <c r="I137" s="187"/>
      <c r="J137" s="190" t="s">
        <v>2679</v>
      </c>
      <c r="K137" s="190"/>
      <c r="L137" s="190"/>
      <c r="M137" s="190"/>
      <c r="N137" s="190"/>
      <c r="O137" s="190"/>
      <c r="P137" s="187"/>
      <c r="Q137" s="4304" t="s">
        <v>2819</v>
      </c>
      <c r="R137" s="4304"/>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04">
        <v>0.05</v>
      </c>
      <c r="R139" s="4304"/>
      <c r="S139" s="187"/>
      <c r="T139" s="187"/>
      <c r="U139" s="187"/>
      <c r="V139" s="1077"/>
      <c r="W139" s="1077"/>
      <c r="X139" s="191"/>
      <c r="AA139" s="585"/>
      <c r="AB139" s="585"/>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04">
        <v>0.4</v>
      </c>
      <c r="R140" s="4304"/>
      <c r="S140" s="187"/>
      <c r="T140" s="187"/>
      <c r="U140" s="187"/>
      <c r="V140" s="1077"/>
      <c r="W140" s="1077"/>
      <c r="X140" s="191"/>
      <c r="AA140" s="585"/>
      <c r="AB140" s="585"/>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04">
        <v>0.02</v>
      </c>
      <c r="R141" s="4304"/>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02" t="s">
        <v>4178</v>
      </c>
      <c r="E154" s="314"/>
      <c r="F154" s="314"/>
    </row>
    <row r="155" spans="2:30" ht="10.5" customHeight="1">
      <c r="C155" s="4302"/>
      <c r="E155" s="314"/>
      <c r="F155" s="314"/>
    </row>
    <row r="156" spans="2:30" ht="10.5" customHeight="1">
      <c r="C156" s="4302"/>
      <c r="D156" s="1524" t="s">
        <v>4724</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2766</v>
      </c>
      <c r="N157" s="639" t="s">
        <v>3889</v>
      </c>
      <c r="O157" s="639" t="s">
        <v>4290</v>
      </c>
      <c r="P157" s="637" t="s">
        <v>2401</v>
      </c>
      <c r="Q157" s="637"/>
      <c r="R157" s="190"/>
      <c r="S157" s="448"/>
      <c r="T157" s="640" t="s">
        <v>618</v>
      </c>
      <c r="U157" s="641" t="s">
        <v>619</v>
      </c>
      <c r="W157" s="670" t="s">
        <v>3387</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2611</v>
      </c>
      <c r="K158" s="1168" t="s">
        <v>1158</v>
      </c>
      <c r="L158" s="1169" t="s">
        <v>423</v>
      </c>
      <c r="M158" s="1339" t="s">
        <v>2598</v>
      </c>
      <c r="N158" s="1339" t="s">
        <v>1326</v>
      </c>
      <c r="O158" s="1600" t="s">
        <v>4291</v>
      </c>
      <c r="P158" s="642" t="s">
        <v>1522</v>
      </c>
      <c r="Q158" s="323"/>
      <c r="R158" s="190"/>
      <c r="S158" s="448"/>
      <c r="T158" s="572" t="s">
        <v>2402</v>
      </c>
      <c r="U158" s="572" t="s">
        <v>1950</v>
      </c>
      <c r="W158" s="495" t="s">
        <v>2402</v>
      </c>
      <c r="X158" s="495" t="s">
        <v>3388</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2611</v>
      </c>
      <c r="K159" s="1168" t="s">
        <v>1159</v>
      </c>
      <c r="L159" s="1169" t="s">
        <v>423</v>
      </c>
      <c r="M159" s="1339" t="s">
        <v>2598</v>
      </c>
      <c r="N159" s="1339" t="s">
        <v>1696</v>
      </c>
      <c r="O159" s="1600" t="s">
        <v>4292</v>
      </c>
      <c r="P159" s="642" t="s">
        <v>1524</v>
      </c>
      <c r="Q159" s="323"/>
      <c r="R159" s="190"/>
      <c r="S159" s="448"/>
      <c r="T159" s="572" t="s">
        <v>1523</v>
      </c>
      <c r="U159" s="572" t="s">
        <v>2485</v>
      </c>
      <c r="W159" s="495" t="s">
        <v>1523</v>
      </c>
      <c r="X159" s="495" t="s">
        <v>3388</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2611</v>
      </c>
      <c r="K160" s="1168" t="s">
        <v>1160</v>
      </c>
      <c r="L160" s="1169" t="s">
        <v>423</v>
      </c>
      <c r="M160" s="1339" t="s">
        <v>2598</v>
      </c>
      <c r="N160" s="1339" t="s">
        <v>1696</v>
      </c>
      <c r="O160" s="1600" t="s">
        <v>4293</v>
      </c>
      <c r="P160" s="642" t="s">
        <v>462</v>
      </c>
      <c r="Q160" s="323"/>
      <c r="R160" s="190"/>
      <c r="S160" s="448"/>
      <c r="T160" s="572" t="s">
        <v>945</v>
      </c>
      <c r="U160" s="572" t="s">
        <v>1314</v>
      </c>
      <c r="W160" s="495" t="s">
        <v>945</v>
      </c>
      <c r="X160" s="495" t="s">
        <v>3388</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2612</v>
      </c>
      <c r="K161" s="1168" t="s">
        <v>1161</v>
      </c>
      <c r="L161" s="1169" t="s">
        <v>424</v>
      </c>
      <c r="M161" s="1339" t="s">
        <v>1196</v>
      </c>
      <c r="N161" s="1339" t="s">
        <v>1782</v>
      </c>
      <c r="O161" s="1600" t="s">
        <v>4294</v>
      </c>
      <c r="P161" s="642" t="s">
        <v>2079</v>
      </c>
      <c r="Q161" s="323"/>
      <c r="R161" s="190"/>
      <c r="S161" s="448"/>
      <c r="T161" s="572" t="s">
        <v>463</v>
      </c>
      <c r="U161" s="572" t="s">
        <v>2528</v>
      </c>
      <c r="W161" s="495" t="s">
        <v>2080</v>
      </c>
      <c r="X161" s="495" t="s">
        <v>3388</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2611</v>
      </c>
      <c r="K162" s="1168" t="s">
        <v>1162</v>
      </c>
      <c r="L162" s="1169" t="s">
        <v>423</v>
      </c>
      <c r="M162" s="1339" t="s">
        <v>2598</v>
      </c>
      <c r="N162" s="1339" t="s">
        <v>1320</v>
      </c>
      <c r="O162" s="1600" t="s">
        <v>4295</v>
      </c>
      <c r="P162" s="642" t="s">
        <v>2081</v>
      </c>
      <c r="Q162" s="323"/>
      <c r="R162" s="190"/>
      <c r="S162" s="448"/>
      <c r="T162" s="572" t="s">
        <v>2080</v>
      </c>
      <c r="U162" s="572" t="s">
        <v>332</v>
      </c>
      <c r="W162" s="495" t="s">
        <v>2084</v>
      </c>
      <c r="X162" s="495" t="s">
        <v>3388</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2611</v>
      </c>
      <c r="K163" s="1168" t="s">
        <v>1822</v>
      </c>
      <c r="L163" s="1169" t="s">
        <v>423</v>
      </c>
      <c r="M163" s="1339" t="s">
        <v>2598</v>
      </c>
      <c r="N163" s="1339" t="s">
        <v>166</v>
      </c>
      <c r="O163" s="1600" t="s">
        <v>4296</v>
      </c>
      <c r="P163" s="642" t="s">
        <v>2083</v>
      </c>
      <c r="Q163" s="323"/>
      <c r="R163" s="190"/>
      <c r="S163" s="448"/>
      <c r="T163" s="572" t="s">
        <v>2082</v>
      </c>
      <c r="U163" s="572" t="s">
        <v>184</v>
      </c>
      <c r="W163" s="495" t="s">
        <v>1782</v>
      </c>
      <c r="X163" s="495" t="s">
        <v>3388</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2612</v>
      </c>
      <c r="K164" s="1168" t="s">
        <v>2575</v>
      </c>
      <c r="L164" s="1169" t="s">
        <v>424</v>
      </c>
      <c r="M164" s="1339" t="s">
        <v>1196</v>
      </c>
      <c r="N164" s="1339" t="s">
        <v>1205</v>
      </c>
      <c r="O164" s="1600" t="s">
        <v>4297</v>
      </c>
      <c r="P164" s="642" t="s">
        <v>2085</v>
      </c>
      <c r="Q164" s="323"/>
      <c r="R164" s="190"/>
      <c r="S164" s="448"/>
      <c r="T164" s="572" t="s">
        <v>2084</v>
      </c>
      <c r="U164" s="572" t="s">
        <v>112</v>
      </c>
      <c r="W164" s="495" t="s">
        <v>444</v>
      </c>
      <c r="X164" s="495" t="s">
        <v>3388</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2612</v>
      </c>
      <c r="K165" s="1168" t="s">
        <v>2575</v>
      </c>
      <c r="L165" s="1169" t="s">
        <v>424</v>
      </c>
      <c r="M165" s="1339" t="s">
        <v>1196</v>
      </c>
      <c r="N165" s="1339" t="s">
        <v>1205</v>
      </c>
      <c r="O165" s="1600" t="s">
        <v>4298</v>
      </c>
      <c r="P165" s="642" t="s">
        <v>2087</v>
      </c>
      <c r="Q165" s="323"/>
      <c r="R165" s="190"/>
      <c r="S165" s="448"/>
      <c r="T165" s="572" t="s">
        <v>2086</v>
      </c>
      <c r="U165" s="572" t="s">
        <v>1317</v>
      </c>
      <c r="W165" s="495" t="s">
        <v>446</v>
      </c>
      <c r="X165" s="495" t="s">
        <v>3388</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2611</v>
      </c>
      <c r="K166" s="1168" t="s">
        <v>2576</v>
      </c>
      <c r="L166" s="1169" t="s">
        <v>423</v>
      </c>
      <c r="M166" s="1339" t="s">
        <v>2598</v>
      </c>
      <c r="N166" s="1339" t="s">
        <v>1782</v>
      </c>
      <c r="O166" s="1600" t="s">
        <v>4299</v>
      </c>
      <c r="P166" s="642" t="s">
        <v>1961</v>
      </c>
      <c r="Q166" s="601"/>
      <c r="R166" s="190"/>
      <c r="S166" s="448"/>
      <c r="T166" s="572" t="s">
        <v>1782</v>
      </c>
      <c r="U166" s="572" t="s">
        <v>955</v>
      </c>
      <c r="W166" s="495" t="s">
        <v>1847</v>
      </c>
      <c r="X166" s="495" t="s">
        <v>3388</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2611</v>
      </c>
      <c r="K167" s="1168" t="s">
        <v>2577</v>
      </c>
      <c r="L167" s="1169" t="s">
        <v>423</v>
      </c>
      <c r="M167" s="1339" t="s">
        <v>2598</v>
      </c>
      <c r="N167" s="1339" t="s">
        <v>1696</v>
      </c>
      <c r="O167" s="1600" t="s">
        <v>4300</v>
      </c>
      <c r="P167" s="642" t="s">
        <v>180</v>
      </c>
      <c r="Q167" s="601"/>
      <c r="R167" s="314"/>
      <c r="S167" s="448"/>
      <c r="T167" s="572" t="s">
        <v>1962</v>
      </c>
      <c r="U167" s="572" t="s">
        <v>429</v>
      </c>
      <c r="W167" s="495" t="s">
        <v>2547</v>
      </c>
      <c r="X167" s="495" t="s">
        <v>3388</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2612</v>
      </c>
      <c r="K168" s="1168" t="s">
        <v>2578</v>
      </c>
      <c r="L168" s="1169" t="s">
        <v>424</v>
      </c>
      <c r="M168" s="1339" t="s">
        <v>1196</v>
      </c>
      <c r="N168" s="1339" t="s">
        <v>1320</v>
      </c>
      <c r="O168" s="1600" t="s">
        <v>4301</v>
      </c>
      <c r="P168" s="642" t="s">
        <v>182</v>
      </c>
      <c r="Q168" s="601"/>
      <c r="R168" s="190"/>
      <c r="S168" s="448"/>
      <c r="T168" s="572" t="s">
        <v>181</v>
      </c>
      <c r="U168" s="572" t="s">
        <v>1456</v>
      </c>
      <c r="W168" s="495" t="s">
        <v>2553</v>
      </c>
      <c r="X168" s="495" t="s">
        <v>3388</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2611</v>
      </c>
      <c r="K169" s="1168" t="s">
        <v>2579</v>
      </c>
      <c r="L169" s="1169" t="s">
        <v>423</v>
      </c>
      <c r="M169" s="1339" t="s">
        <v>2598</v>
      </c>
      <c r="N169" s="1339" t="s">
        <v>1320</v>
      </c>
      <c r="O169" s="1600" t="s">
        <v>4302</v>
      </c>
      <c r="P169" s="642" t="s">
        <v>443</v>
      </c>
      <c r="Q169" s="323"/>
      <c r="R169" s="190"/>
      <c r="S169" s="448"/>
      <c r="T169" s="572" t="s">
        <v>183</v>
      </c>
      <c r="U169" s="572" t="s">
        <v>2398</v>
      </c>
      <c r="W169" s="495" t="s">
        <v>2558</v>
      </c>
      <c r="X169" s="495" t="s">
        <v>3388</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2612</v>
      </c>
      <c r="K170" s="1168" t="s">
        <v>2580</v>
      </c>
      <c r="L170" s="1169" t="s">
        <v>424</v>
      </c>
      <c r="M170" s="1339" t="s">
        <v>1196</v>
      </c>
      <c r="N170" s="1339" t="s">
        <v>1696</v>
      </c>
      <c r="O170" s="1600" t="s">
        <v>4303</v>
      </c>
      <c r="P170" s="642" t="s">
        <v>445</v>
      </c>
      <c r="Q170" s="323"/>
      <c r="R170" s="190"/>
      <c r="S170" s="448"/>
      <c r="T170" s="572" t="s">
        <v>444</v>
      </c>
      <c r="U170" s="572" t="s">
        <v>1779</v>
      </c>
      <c r="W170" s="495" t="s">
        <v>166</v>
      </c>
      <c r="X170" s="495" t="s">
        <v>3388</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2612</v>
      </c>
      <c r="K171" s="1168" t="s">
        <v>2581</v>
      </c>
      <c r="L171" s="1169" t="s">
        <v>424</v>
      </c>
      <c r="M171" s="1339" t="s">
        <v>1196</v>
      </c>
      <c r="N171" s="1339" t="s">
        <v>1696</v>
      </c>
      <c r="O171" s="1600" t="s">
        <v>4304</v>
      </c>
      <c r="P171" s="642" t="s">
        <v>447</v>
      </c>
      <c r="Q171" s="323"/>
      <c r="R171" s="190"/>
      <c r="S171" s="448"/>
      <c r="T171" s="572" t="s">
        <v>446</v>
      </c>
      <c r="U171" s="572" t="s">
        <v>1206</v>
      </c>
      <c r="W171" s="495" t="s">
        <v>1205</v>
      </c>
      <c r="X171" s="495" t="s">
        <v>3388</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2612</v>
      </c>
      <c r="K172" s="1168" t="s">
        <v>1463</v>
      </c>
      <c r="L172" s="1169" t="s">
        <v>424</v>
      </c>
      <c r="M172" s="1339" t="s">
        <v>1196</v>
      </c>
      <c r="N172" s="1339" t="s">
        <v>1326</v>
      </c>
      <c r="O172" s="1600" t="s">
        <v>4305</v>
      </c>
      <c r="P172" s="642" t="s">
        <v>449</v>
      </c>
      <c r="Q172" s="323"/>
      <c r="R172" s="190"/>
      <c r="S172" s="448"/>
      <c r="T172" s="572" t="s">
        <v>448</v>
      </c>
      <c r="U172" s="572" t="s">
        <v>184</v>
      </c>
      <c r="W172" s="495" t="s">
        <v>2070</v>
      </c>
      <c r="X172" s="495" t="s">
        <v>3388</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2611</v>
      </c>
      <c r="K173" s="1168" t="s">
        <v>2596</v>
      </c>
      <c r="L173" s="1169" t="s">
        <v>423</v>
      </c>
      <c r="M173" s="1339" t="s">
        <v>2598</v>
      </c>
      <c r="N173" s="1339" t="s">
        <v>1326</v>
      </c>
      <c r="O173" s="1600" t="s">
        <v>4306</v>
      </c>
      <c r="P173" s="642" t="s">
        <v>2261</v>
      </c>
      <c r="Q173" s="323"/>
      <c r="R173" s="190"/>
      <c r="S173" s="448"/>
      <c r="T173" s="572" t="s">
        <v>450</v>
      </c>
      <c r="U173" s="572" t="s">
        <v>122</v>
      </c>
      <c r="W173" s="495" t="s">
        <v>1330</v>
      </c>
      <c r="X173" s="495" t="s">
        <v>3388</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2612</v>
      </c>
      <c r="K174" s="1168" t="s">
        <v>2597</v>
      </c>
      <c r="L174" s="1169" t="s">
        <v>424</v>
      </c>
      <c r="M174" s="1339" t="s">
        <v>2598</v>
      </c>
      <c r="N174" s="1339" t="s">
        <v>1330</v>
      </c>
      <c r="O174" s="1600" t="s">
        <v>4307</v>
      </c>
      <c r="P174" s="642" t="s">
        <v>2263</v>
      </c>
      <c r="Q174" s="323"/>
      <c r="R174" s="190"/>
      <c r="S174" s="448"/>
      <c r="T174" s="572" t="s">
        <v>2262</v>
      </c>
      <c r="U174" s="572" t="s">
        <v>2486</v>
      </c>
      <c r="W174" s="495" t="s">
        <v>2073</v>
      </c>
      <c r="X174" s="495" t="s">
        <v>3388</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2612</v>
      </c>
      <c r="K175" s="1168" t="s">
        <v>1257</v>
      </c>
      <c r="L175" s="1169" t="s">
        <v>424</v>
      </c>
      <c r="M175" s="1339" t="s">
        <v>2598</v>
      </c>
      <c r="N175" s="1339" t="s">
        <v>1205</v>
      </c>
      <c r="O175" s="1600" t="s">
        <v>4308</v>
      </c>
      <c r="P175" s="642" t="s">
        <v>368</v>
      </c>
      <c r="Q175" s="323"/>
      <c r="R175" s="190"/>
      <c r="S175" s="448"/>
      <c r="T175" s="572" t="s">
        <v>1847</v>
      </c>
      <c r="U175" s="572" t="s">
        <v>2176</v>
      </c>
      <c r="W175" s="495" t="s">
        <v>2106</v>
      </c>
      <c r="X175" s="495" t="s">
        <v>3388</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2611</v>
      </c>
      <c r="K176" s="1168" t="s">
        <v>1258</v>
      </c>
      <c r="L176" s="1169" t="s">
        <v>423</v>
      </c>
      <c r="M176" s="1339" t="s">
        <v>2598</v>
      </c>
      <c r="N176" s="1339" t="s">
        <v>1782</v>
      </c>
      <c r="O176" s="1600" t="s">
        <v>4309</v>
      </c>
      <c r="P176" s="642" t="s">
        <v>370</v>
      </c>
      <c r="Q176" s="323"/>
      <c r="R176" s="190"/>
      <c r="S176" s="448"/>
      <c r="T176" s="572" t="s">
        <v>369</v>
      </c>
      <c r="U176" s="572" t="s">
        <v>2176</v>
      </c>
      <c r="W176" s="495" t="s">
        <v>2110</v>
      </c>
      <c r="X176" s="495" t="s">
        <v>3388</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2611</v>
      </c>
      <c r="K177" s="1168" t="s">
        <v>1259</v>
      </c>
      <c r="L177" s="1169" t="s">
        <v>423</v>
      </c>
      <c r="M177" s="1339" t="s">
        <v>2598</v>
      </c>
      <c r="N177" s="1339" t="s">
        <v>1696</v>
      </c>
      <c r="O177" s="1600" t="s">
        <v>4310</v>
      </c>
      <c r="P177" s="642" t="s">
        <v>2544</v>
      </c>
      <c r="Q177" s="323"/>
      <c r="R177" s="190"/>
      <c r="S177" s="448"/>
      <c r="T177" s="572" t="s">
        <v>1210</v>
      </c>
      <c r="U177" s="572" t="s">
        <v>2527</v>
      </c>
      <c r="W177" s="495" t="s">
        <v>1783</v>
      </c>
      <c r="X177" s="495" t="s">
        <v>3388</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2611</v>
      </c>
      <c r="K178" s="1168" t="s">
        <v>1711</v>
      </c>
      <c r="L178" s="1169" t="s">
        <v>423</v>
      </c>
      <c r="M178" s="1339" t="s">
        <v>2598</v>
      </c>
      <c r="N178" s="1339" t="s">
        <v>1326</v>
      </c>
      <c r="O178" s="1600" t="s">
        <v>4311</v>
      </c>
      <c r="P178" s="642" t="s">
        <v>2546</v>
      </c>
      <c r="Q178" s="323"/>
      <c r="R178" s="190"/>
      <c r="S178" s="448"/>
      <c r="T178" s="572" t="s">
        <v>2545</v>
      </c>
      <c r="U178" s="572" t="s">
        <v>2532</v>
      </c>
      <c r="W178" s="495" t="s">
        <v>1007</v>
      </c>
      <c r="X178" s="495" t="s">
        <v>3388</v>
      </c>
      <c r="Z178" s="495"/>
      <c r="AA178" s="27"/>
      <c r="AB178" s="27"/>
      <c r="AC178" s="1072"/>
      <c r="AD178" s="585"/>
    </row>
    <row r="179" spans="2:30" ht="10.5" customHeight="1">
      <c r="B179" s="314"/>
      <c r="C179" s="436" t="s">
        <v>2481</v>
      </c>
      <c r="D179" s="508">
        <v>30600</v>
      </c>
      <c r="E179" s="314"/>
      <c r="F179" s="314" t="s">
        <v>857</v>
      </c>
      <c r="G179" s="1166" t="s">
        <v>733</v>
      </c>
      <c r="H179" s="1166" t="s">
        <v>1311</v>
      </c>
      <c r="I179" s="1170" t="s">
        <v>764</v>
      </c>
      <c r="J179" s="1170" t="s">
        <v>2612</v>
      </c>
      <c r="K179" s="1168" t="s">
        <v>2575</v>
      </c>
      <c r="L179" s="1169" t="s">
        <v>424</v>
      </c>
      <c r="M179" s="1339" t="s">
        <v>1196</v>
      </c>
      <c r="N179" s="1339" t="s">
        <v>1205</v>
      </c>
      <c r="O179" s="1600" t="s">
        <v>4312</v>
      </c>
      <c r="P179" s="642" t="s">
        <v>2548</v>
      </c>
      <c r="Q179" s="323"/>
      <c r="R179" s="190"/>
      <c r="S179" s="448"/>
      <c r="T179" s="572" t="s">
        <v>2547</v>
      </c>
      <c r="U179" s="572" t="s">
        <v>1097</v>
      </c>
      <c r="W179" s="495" t="s">
        <v>2444</v>
      </c>
      <c r="X179" s="495" t="s">
        <v>3388</v>
      </c>
      <c r="Z179" s="495"/>
      <c r="AA179" s="27"/>
      <c r="AB179" s="27"/>
      <c r="AC179" s="1072"/>
      <c r="AD179" s="585"/>
    </row>
    <row r="180" spans="2:30" ht="10.5" customHeight="1">
      <c r="B180" s="314"/>
      <c r="C180" s="437" t="s">
        <v>2484</v>
      </c>
      <c r="D180" s="508">
        <v>43100</v>
      </c>
      <c r="E180" s="314"/>
      <c r="F180" s="314" t="s">
        <v>860</v>
      </c>
      <c r="G180" s="1166" t="s">
        <v>1520</v>
      </c>
      <c r="H180" s="1166" t="s">
        <v>1311</v>
      </c>
      <c r="I180" s="1170" t="s">
        <v>1521</v>
      </c>
      <c r="J180" s="1170" t="s">
        <v>2612</v>
      </c>
      <c r="K180" s="1168" t="s">
        <v>1680</v>
      </c>
      <c r="L180" s="1169" t="s">
        <v>424</v>
      </c>
      <c r="M180" s="1339" t="s">
        <v>2598</v>
      </c>
      <c r="N180" s="1339" t="s">
        <v>1521</v>
      </c>
      <c r="O180" s="1600" t="s">
        <v>4313</v>
      </c>
      <c r="P180" s="642" t="s">
        <v>2550</v>
      </c>
      <c r="Q180" s="323"/>
      <c r="R180" s="190"/>
      <c r="S180" s="448"/>
      <c r="T180" s="572" t="s">
        <v>2549</v>
      </c>
      <c r="U180" s="572" t="s">
        <v>323</v>
      </c>
      <c r="W180" s="495" t="s">
        <v>2446</v>
      </c>
      <c r="X180" s="495" t="s">
        <v>3388</v>
      </c>
      <c r="Z180" s="495"/>
      <c r="AA180" s="27"/>
      <c r="AB180" s="27"/>
      <c r="AC180" s="1072"/>
      <c r="AD180" s="585"/>
    </row>
    <row r="181" spans="2:30" ht="10.5" customHeight="1">
      <c r="B181" s="314"/>
      <c r="C181" s="437" t="s">
        <v>2487</v>
      </c>
      <c r="D181" s="508">
        <v>44200</v>
      </c>
      <c r="E181" s="314"/>
      <c r="F181" s="314" t="s">
        <v>861</v>
      </c>
      <c r="G181" s="1166" t="s">
        <v>157</v>
      </c>
      <c r="H181" s="1166" t="s">
        <v>1211</v>
      </c>
      <c r="I181" s="1167" t="s">
        <v>158</v>
      </c>
      <c r="J181" s="1167" t="s">
        <v>2611</v>
      </c>
      <c r="K181" s="1168" t="s">
        <v>1681</v>
      </c>
      <c r="L181" s="1169" t="s">
        <v>423</v>
      </c>
      <c r="M181" s="1339" t="s">
        <v>2598</v>
      </c>
      <c r="N181" s="1339" t="s">
        <v>1696</v>
      </c>
      <c r="O181" s="1600" t="s">
        <v>4314</v>
      </c>
      <c r="P181" s="642" t="s">
        <v>2552</v>
      </c>
      <c r="Q181" s="323"/>
      <c r="R181" s="190"/>
      <c r="S181" s="448"/>
      <c r="T181" s="572" t="s">
        <v>2551</v>
      </c>
      <c r="U181" s="572" t="s">
        <v>2483</v>
      </c>
      <c r="W181" s="495" t="s">
        <v>2448</v>
      </c>
      <c r="X181" s="495" t="s">
        <v>3388</v>
      </c>
      <c r="Z181" s="495"/>
      <c r="AA181" s="27"/>
      <c r="AB181" s="27"/>
      <c r="AC181" s="1072"/>
      <c r="AD181" s="585"/>
    </row>
    <row r="182" spans="2:30" ht="10.5" customHeight="1">
      <c r="B182" s="314"/>
      <c r="C182" s="437" t="s">
        <v>2526</v>
      </c>
      <c r="D182" s="508">
        <v>40600</v>
      </c>
      <c r="E182" s="314"/>
      <c r="F182" s="314" t="s">
        <v>1341</v>
      </c>
      <c r="G182" s="1166" t="s">
        <v>159</v>
      </c>
      <c r="H182" s="1166" t="s">
        <v>1796</v>
      </c>
      <c r="I182" s="1170" t="s">
        <v>1326</v>
      </c>
      <c r="J182" s="1170" t="s">
        <v>2612</v>
      </c>
      <c r="K182" s="1168" t="s">
        <v>1463</v>
      </c>
      <c r="L182" s="1169" t="s">
        <v>424</v>
      </c>
      <c r="M182" s="1339" t="s">
        <v>1196</v>
      </c>
      <c r="N182" s="1339" t="s">
        <v>1326</v>
      </c>
      <c r="O182" s="1600" t="s">
        <v>4315</v>
      </c>
      <c r="P182" s="642" t="s">
        <v>2554</v>
      </c>
      <c r="Q182" s="323"/>
      <c r="R182" s="190"/>
      <c r="S182" s="448"/>
      <c r="T182" s="572" t="s">
        <v>2553</v>
      </c>
      <c r="U182" s="572" t="s">
        <v>1332</v>
      </c>
      <c r="W182" s="495" t="s">
        <v>2451</v>
      </c>
      <c r="X182" s="495" t="s">
        <v>3388</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2612</v>
      </c>
      <c r="K183" s="1168" t="s">
        <v>1682</v>
      </c>
      <c r="L183" s="1169" t="s">
        <v>424</v>
      </c>
      <c r="M183" s="1339" t="s">
        <v>2598</v>
      </c>
      <c r="N183" s="1339" t="s">
        <v>161</v>
      </c>
      <c r="O183" s="1600" t="s">
        <v>4316</v>
      </c>
      <c r="P183" s="642" t="s">
        <v>2555</v>
      </c>
      <c r="Q183" s="323"/>
      <c r="R183" s="190"/>
      <c r="S183" s="448"/>
      <c r="T183" s="572" t="s">
        <v>2556</v>
      </c>
      <c r="U183" s="572" t="s">
        <v>2590</v>
      </c>
      <c r="W183" s="495" t="s">
        <v>2230</v>
      </c>
      <c r="X183" s="495" t="s">
        <v>3388</v>
      </c>
      <c r="Z183" s="495"/>
      <c r="AA183" s="27"/>
      <c r="AB183" s="27"/>
      <c r="AC183" s="1072"/>
      <c r="AD183" s="585"/>
    </row>
    <row r="184" spans="2:30" ht="10.5" customHeight="1">
      <c r="B184" s="314"/>
      <c r="C184" s="437" t="s">
        <v>2529</v>
      </c>
      <c r="D184" s="508">
        <v>43800</v>
      </c>
      <c r="E184" s="314"/>
      <c r="F184" s="314" t="s">
        <v>1342</v>
      </c>
      <c r="G184" s="1166" t="s">
        <v>162</v>
      </c>
      <c r="H184" s="1166" t="s">
        <v>1311</v>
      </c>
      <c r="I184" s="1167" t="s">
        <v>163</v>
      </c>
      <c r="J184" s="1167" t="s">
        <v>2611</v>
      </c>
      <c r="K184" s="1168" t="s">
        <v>1683</v>
      </c>
      <c r="L184" s="1169" t="s">
        <v>423</v>
      </c>
      <c r="M184" s="1339" t="s">
        <v>2598</v>
      </c>
      <c r="N184" s="1339" t="s">
        <v>1521</v>
      </c>
      <c r="O184" s="1600" t="s">
        <v>4317</v>
      </c>
      <c r="P184" s="642" t="s">
        <v>2557</v>
      </c>
      <c r="Q184" s="323"/>
      <c r="R184" s="190"/>
      <c r="S184" s="448"/>
      <c r="T184" s="572" t="s">
        <v>2558</v>
      </c>
      <c r="U184" s="572" t="s">
        <v>1916</v>
      </c>
      <c r="W184" s="495" t="s">
        <v>2330</v>
      </c>
      <c r="X184" s="495" t="s">
        <v>3388</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2612</v>
      </c>
      <c r="K185" s="1168" t="s">
        <v>2575</v>
      </c>
      <c r="L185" s="1169" t="s">
        <v>424</v>
      </c>
      <c r="M185" s="1339" t="s">
        <v>1196</v>
      </c>
      <c r="N185" s="1339" t="s">
        <v>1205</v>
      </c>
      <c r="O185" s="1600" t="s">
        <v>4318</v>
      </c>
      <c r="P185" s="642" t="s">
        <v>417</v>
      </c>
      <c r="Q185" s="323"/>
      <c r="R185" s="190"/>
      <c r="S185" s="448"/>
      <c r="T185" s="572" t="s">
        <v>166</v>
      </c>
      <c r="U185" s="572" t="s">
        <v>165</v>
      </c>
      <c r="W185" s="495" t="s">
        <v>305</v>
      </c>
      <c r="X185" s="495" t="s">
        <v>3388</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2042</v>
      </c>
      <c r="J186" s="1167" t="s">
        <v>2612</v>
      </c>
      <c r="K186" s="1168" t="s">
        <v>620</v>
      </c>
      <c r="L186" s="1169" t="s">
        <v>424</v>
      </c>
      <c r="M186" s="1340" t="s">
        <v>1196</v>
      </c>
      <c r="N186" s="1340" t="s">
        <v>166</v>
      </c>
      <c r="O186" s="1600" t="s">
        <v>4319</v>
      </c>
      <c r="P186" s="642" t="s">
        <v>418</v>
      </c>
      <c r="Q186" s="323"/>
      <c r="R186" s="314"/>
      <c r="S186" s="448"/>
      <c r="T186" s="572" t="s">
        <v>1205</v>
      </c>
      <c r="U186" s="572" t="s">
        <v>1206</v>
      </c>
      <c r="W186" s="495" t="s">
        <v>11</v>
      </c>
      <c r="X186" s="495" t="s">
        <v>3388</v>
      </c>
      <c r="Z186" s="495"/>
      <c r="AA186" s="27"/>
      <c r="AB186" s="27"/>
      <c r="AC186" s="1072"/>
      <c r="AD186" s="585"/>
    </row>
    <row r="187" spans="2:30" ht="10.5" customHeight="1">
      <c r="B187" s="314"/>
      <c r="C187" s="436" t="s">
        <v>197</v>
      </c>
      <c r="D187" s="508">
        <v>44000</v>
      </c>
      <c r="E187" s="314"/>
      <c r="F187" s="314" t="s">
        <v>1343</v>
      </c>
      <c r="G187" s="1166" t="s">
        <v>2480</v>
      </c>
      <c r="H187" s="1166" t="s">
        <v>1211</v>
      </c>
      <c r="I187" s="1167" t="s">
        <v>2481</v>
      </c>
      <c r="J187" s="1167" t="s">
        <v>2611</v>
      </c>
      <c r="K187" s="1168" t="s">
        <v>621</v>
      </c>
      <c r="L187" s="1169" t="s">
        <v>423</v>
      </c>
      <c r="M187" s="1340" t="s">
        <v>2598</v>
      </c>
      <c r="N187" s="1340" t="s">
        <v>1782</v>
      </c>
      <c r="O187" s="1600" t="s">
        <v>4320</v>
      </c>
      <c r="P187" s="642" t="s">
        <v>778</v>
      </c>
      <c r="Q187" s="601"/>
      <c r="R187" s="190"/>
      <c r="S187" s="448"/>
      <c r="T187" s="572" t="s">
        <v>779</v>
      </c>
      <c r="U187" s="572" t="s">
        <v>196</v>
      </c>
      <c r="W187" s="495" t="s">
        <v>13</v>
      </c>
      <c r="X187" s="495" t="s">
        <v>3388</v>
      </c>
      <c r="Z187" s="495"/>
      <c r="AA187" s="27"/>
      <c r="AB187" s="27"/>
      <c r="AC187" s="1072"/>
      <c r="AD187" s="585"/>
    </row>
    <row r="188" spans="2:30" ht="10.5" customHeight="1">
      <c r="B188" s="314"/>
      <c r="C188" s="436" t="s">
        <v>952</v>
      </c>
      <c r="D188" s="508">
        <v>46300</v>
      </c>
      <c r="E188" s="314"/>
      <c r="F188" s="314" t="s">
        <v>1345</v>
      </c>
      <c r="G188" s="1166" t="s">
        <v>2482</v>
      </c>
      <c r="H188" s="1166" t="s">
        <v>1796</v>
      </c>
      <c r="I188" s="1170" t="s">
        <v>764</v>
      </c>
      <c r="J188" s="1170" t="s">
        <v>2612</v>
      </c>
      <c r="K188" s="1168" t="s">
        <v>2575</v>
      </c>
      <c r="L188" s="1169" t="s">
        <v>424</v>
      </c>
      <c r="M188" s="1339" t="s">
        <v>1196</v>
      </c>
      <c r="N188" s="1339" t="s">
        <v>1205</v>
      </c>
      <c r="O188" s="1600" t="s">
        <v>4321</v>
      </c>
      <c r="P188" s="642" t="s">
        <v>780</v>
      </c>
      <c r="Q188" s="601"/>
      <c r="R188" s="190"/>
      <c r="S188" s="448"/>
      <c r="T188" s="572" t="s">
        <v>2070</v>
      </c>
      <c r="U188" s="572" t="s">
        <v>1313</v>
      </c>
      <c r="W188" s="495" t="s">
        <v>59</v>
      </c>
      <c r="X188" s="495" t="s">
        <v>3388</v>
      </c>
      <c r="Z188" s="495"/>
      <c r="AA188" s="27"/>
      <c r="AB188" s="27"/>
      <c r="AC188" s="1072"/>
      <c r="AD188" s="585"/>
    </row>
    <row r="189" spans="2:30" ht="10.5" customHeight="1">
      <c r="B189" s="314"/>
      <c r="C189" s="437" t="s">
        <v>954</v>
      </c>
      <c r="D189" s="508">
        <v>38800</v>
      </c>
      <c r="E189" s="314"/>
      <c r="F189" s="314" t="s">
        <v>1346</v>
      </c>
      <c r="G189" s="1166" t="s">
        <v>2483</v>
      </c>
      <c r="H189" s="1166" t="s">
        <v>1211</v>
      </c>
      <c r="I189" s="1167" t="s">
        <v>2484</v>
      </c>
      <c r="J189" s="1167" t="s">
        <v>2611</v>
      </c>
      <c r="K189" s="1168" t="s">
        <v>622</v>
      </c>
      <c r="L189" s="1169" t="s">
        <v>423</v>
      </c>
      <c r="M189" s="1340" t="s">
        <v>2598</v>
      </c>
      <c r="N189" s="1340" t="s">
        <v>1696</v>
      </c>
      <c r="O189" s="1600" t="s">
        <v>4322</v>
      </c>
      <c r="P189" s="642" t="s">
        <v>2071</v>
      </c>
      <c r="Q189" s="601"/>
      <c r="R189" s="190"/>
      <c r="S189" s="448"/>
      <c r="T189" s="572" t="s">
        <v>1330</v>
      </c>
      <c r="U189" s="572" t="s">
        <v>1109</v>
      </c>
      <c r="W189" s="495" t="s">
        <v>61</v>
      </c>
      <c r="X189" s="495" t="s">
        <v>3388</v>
      </c>
      <c r="Z189" s="495"/>
      <c r="AA189" s="27"/>
      <c r="AB189" s="27"/>
      <c r="AC189" s="1072"/>
      <c r="AD189" s="585"/>
    </row>
    <row r="190" spans="2:30" ht="10.5" customHeight="1">
      <c r="B190" s="314"/>
      <c r="C190" s="436" t="s">
        <v>875</v>
      </c>
      <c r="D190" s="508">
        <v>42400</v>
      </c>
      <c r="E190" s="314"/>
      <c r="F190" s="314" t="s">
        <v>1347</v>
      </c>
      <c r="G190" s="1166" t="s">
        <v>2485</v>
      </c>
      <c r="H190" s="1166" t="s">
        <v>1796</v>
      </c>
      <c r="I190" s="1170" t="s">
        <v>764</v>
      </c>
      <c r="J190" s="1170" t="s">
        <v>2612</v>
      </c>
      <c r="K190" s="1168" t="s">
        <v>2575</v>
      </c>
      <c r="L190" s="1169" t="s">
        <v>424</v>
      </c>
      <c r="M190" s="1339" t="s">
        <v>1196</v>
      </c>
      <c r="N190" s="1339" t="s">
        <v>1205</v>
      </c>
      <c r="O190" s="1600" t="s">
        <v>4323</v>
      </c>
      <c r="P190" s="642" t="s">
        <v>2072</v>
      </c>
      <c r="Q190" s="601"/>
      <c r="R190" s="190"/>
      <c r="S190" s="448"/>
      <c r="T190" s="572" t="s">
        <v>2073</v>
      </c>
      <c r="U190" s="572" t="s">
        <v>2485</v>
      </c>
      <c r="W190" s="495" t="s">
        <v>352</v>
      </c>
      <c r="X190" s="495" t="s">
        <v>3388</v>
      </c>
      <c r="Z190" s="495"/>
      <c r="AA190" s="27"/>
      <c r="AB190" s="27"/>
      <c r="AC190" s="1072"/>
      <c r="AD190" s="585"/>
    </row>
    <row r="191" spans="2:30" ht="10.5" customHeight="1">
      <c r="B191" s="314"/>
      <c r="C191" s="437" t="s">
        <v>879</v>
      </c>
      <c r="D191" s="508">
        <v>43800</v>
      </c>
      <c r="E191" s="314"/>
      <c r="F191" s="314" t="s">
        <v>1344</v>
      </c>
      <c r="G191" s="1166" t="s">
        <v>2486</v>
      </c>
      <c r="H191" s="1166" t="s">
        <v>1211</v>
      </c>
      <c r="I191" s="1167" t="s">
        <v>2487</v>
      </c>
      <c r="J191" s="1167" t="s">
        <v>2611</v>
      </c>
      <c r="K191" s="1168" t="s">
        <v>623</v>
      </c>
      <c r="L191" s="1169" t="s">
        <v>423</v>
      </c>
      <c r="M191" s="1340" t="s">
        <v>2598</v>
      </c>
      <c r="N191" s="1340" t="s">
        <v>1696</v>
      </c>
      <c r="O191" s="1600" t="s">
        <v>4324</v>
      </c>
      <c r="P191" s="642" t="s">
        <v>2074</v>
      </c>
      <c r="Q191" s="601"/>
      <c r="R191" s="190"/>
      <c r="S191" s="448"/>
      <c r="T191" s="572" t="s">
        <v>1998</v>
      </c>
      <c r="U191" s="572" t="s">
        <v>2172</v>
      </c>
      <c r="W191" s="495" t="s">
        <v>356</v>
      </c>
      <c r="X191" s="495" t="s">
        <v>3388</v>
      </c>
      <c r="Z191" s="495"/>
      <c r="AA191" s="27"/>
      <c r="AB191" s="27"/>
      <c r="AC191" s="1072"/>
      <c r="AD191" s="585"/>
    </row>
    <row r="192" spans="2:30" ht="10.5" customHeight="1">
      <c r="B192" s="314"/>
      <c r="C192" s="437" t="s">
        <v>2242</v>
      </c>
      <c r="D192" s="508">
        <v>41900</v>
      </c>
      <c r="E192" s="314"/>
      <c r="F192" s="314" t="s">
        <v>1348</v>
      </c>
      <c r="G192" s="1166" t="s">
        <v>2488</v>
      </c>
      <c r="H192" s="1166" t="s">
        <v>1211</v>
      </c>
      <c r="I192" s="1167" t="s">
        <v>2526</v>
      </c>
      <c r="J192" s="1167" t="s">
        <v>2611</v>
      </c>
      <c r="K192" s="1168" t="s">
        <v>624</v>
      </c>
      <c r="L192" s="1169" t="s">
        <v>423</v>
      </c>
      <c r="M192" s="1340" t="s">
        <v>2598</v>
      </c>
      <c r="N192" s="1340" t="s">
        <v>1782</v>
      </c>
      <c r="O192" s="1600" t="s">
        <v>4325</v>
      </c>
      <c r="P192" s="642" t="s">
        <v>2105</v>
      </c>
      <c r="Q192" s="601"/>
      <c r="R192" s="190"/>
      <c r="S192" s="448"/>
      <c r="T192" s="572" t="s">
        <v>2075</v>
      </c>
      <c r="U192" s="572" t="s">
        <v>328</v>
      </c>
      <c r="W192" s="495" t="s">
        <v>2289</v>
      </c>
      <c r="X192" s="495" t="s">
        <v>3388</v>
      </c>
      <c r="Z192" s="495"/>
      <c r="AA192" s="27"/>
      <c r="AB192" s="27"/>
      <c r="AC192" s="1072"/>
      <c r="AD192" s="585"/>
    </row>
    <row r="193" spans="2:30" ht="10.5" customHeight="1">
      <c r="B193" s="314"/>
      <c r="C193" s="437" t="s">
        <v>654</v>
      </c>
      <c r="D193" s="508">
        <v>44700</v>
      </c>
      <c r="E193" s="314"/>
      <c r="F193" s="314" t="s">
        <v>1351</v>
      </c>
      <c r="G193" s="1166" t="s">
        <v>2527</v>
      </c>
      <c r="H193" s="1166" t="s">
        <v>1311</v>
      </c>
      <c r="I193" s="1170" t="s">
        <v>765</v>
      </c>
      <c r="J193" s="1170" t="s">
        <v>2612</v>
      </c>
      <c r="K193" s="1168" t="s">
        <v>2597</v>
      </c>
      <c r="L193" s="1169" t="s">
        <v>424</v>
      </c>
      <c r="M193" s="1339" t="s">
        <v>2598</v>
      </c>
      <c r="N193" s="1339" t="s">
        <v>1330</v>
      </c>
      <c r="O193" s="1600" t="s">
        <v>4326</v>
      </c>
      <c r="P193" s="642" t="s">
        <v>2107</v>
      </c>
      <c r="Q193" s="601"/>
      <c r="R193" s="190"/>
      <c r="S193" s="448"/>
      <c r="T193" s="572" t="s">
        <v>2106</v>
      </c>
      <c r="U193" s="572" t="s">
        <v>628</v>
      </c>
      <c r="W193" s="495" t="s">
        <v>1332</v>
      </c>
      <c r="X193" s="495" t="s">
        <v>3388</v>
      </c>
      <c r="Z193" s="495"/>
      <c r="AA193" s="27"/>
      <c r="AB193" s="27"/>
      <c r="AC193" s="1072"/>
      <c r="AD193" s="585"/>
    </row>
    <row r="194" spans="2:30" ht="10.5" customHeight="1">
      <c r="B194" s="314"/>
      <c r="C194" s="437" t="s">
        <v>656</v>
      </c>
      <c r="D194" s="508">
        <v>48400</v>
      </c>
      <c r="E194" s="314"/>
      <c r="F194" s="314" t="s">
        <v>1352</v>
      </c>
      <c r="G194" s="1166" t="s">
        <v>2528</v>
      </c>
      <c r="H194" s="1166" t="s">
        <v>1211</v>
      </c>
      <c r="I194" s="1167" t="s">
        <v>2529</v>
      </c>
      <c r="J194" s="1167" t="s">
        <v>2611</v>
      </c>
      <c r="K194" s="1168" t="s">
        <v>625</v>
      </c>
      <c r="L194" s="1169" t="s">
        <v>423</v>
      </c>
      <c r="M194" s="1340" t="s">
        <v>2598</v>
      </c>
      <c r="N194" s="1340" t="s">
        <v>1696</v>
      </c>
      <c r="O194" s="1600" t="s">
        <v>4327</v>
      </c>
      <c r="P194" s="642" t="s">
        <v>2109</v>
      </c>
      <c r="Q194" s="601"/>
      <c r="R194" s="190"/>
      <c r="S194" s="448"/>
      <c r="T194" s="572" t="s">
        <v>2108</v>
      </c>
      <c r="U194" s="572" t="s">
        <v>1633</v>
      </c>
      <c r="W194" s="495" t="s">
        <v>1560</v>
      </c>
      <c r="X194" s="495" t="s">
        <v>3388</v>
      </c>
      <c r="Z194" s="495"/>
      <c r="AA194" s="27"/>
      <c r="AB194" s="27"/>
      <c r="AC194" s="1072"/>
      <c r="AD194" s="585"/>
    </row>
    <row r="195" spans="2:30" ht="10.5" customHeight="1">
      <c r="B195" s="314"/>
      <c r="C195" s="437" t="s">
        <v>661</v>
      </c>
      <c r="D195" s="508">
        <v>44700</v>
      </c>
      <c r="E195" s="314"/>
      <c r="F195" s="314" t="s">
        <v>1353</v>
      </c>
      <c r="G195" s="1166" t="s">
        <v>2530</v>
      </c>
      <c r="H195" s="1166" t="s">
        <v>1211</v>
      </c>
      <c r="I195" s="1170" t="s">
        <v>764</v>
      </c>
      <c r="J195" s="1170" t="s">
        <v>2612</v>
      </c>
      <c r="K195" s="1168" t="s">
        <v>2575</v>
      </c>
      <c r="L195" s="1169" t="s">
        <v>424</v>
      </c>
      <c r="M195" s="1339" t="s">
        <v>1196</v>
      </c>
      <c r="N195" s="1339" t="s">
        <v>1205</v>
      </c>
      <c r="O195" s="1600" t="s">
        <v>4328</v>
      </c>
      <c r="P195" s="642" t="s">
        <v>2111</v>
      </c>
      <c r="Q195" s="601"/>
      <c r="R195" s="190"/>
      <c r="S195" s="448"/>
      <c r="T195" s="572" t="s">
        <v>2110</v>
      </c>
      <c r="U195" s="572" t="s">
        <v>196</v>
      </c>
      <c r="W195" s="495" t="s">
        <v>1564</v>
      </c>
      <c r="X195" s="495" t="s">
        <v>3388</v>
      </c>
      <c r="Z195" s="495"/>
      <c r="AA195" s="27"/>
      <c r="AB195" s="27"/>
      <c r="AC195" s="1072"/>
      <c r="AD195" s="585"/>
    </row>
    <row r="196" spans="2:30" ht="10.5" customHeight="1">
      <c r="B196" s="314"/>
      <c r="C196" s="437" t="s">
        <v>1221</v>
      </c>
      <c r="D196" s="508">
        <v>64200</v>
      </c>
      <c r="E196" s="314"/>
      <c r="F196" s="314" t="s">
        <v>1354</v>
      </c>
      <c r="G196" s="1166" t="s">
        <v>2531</v>
      </c>
      <c r="H196" s="1166" t="s">
        <v>1311</v>
      </c>
      <c r="I196" s="1170" t="s">
        <v>1320</v>
      </c>
      <c r="J196" s="1170" t="s">
        <v>2612</v>
      </c>
      <c r="K196" s="1168" t="s">
        <v>2578</v>
      </c>
      <c r="L196" s="1169" t="s">
        <v>424</v>
      </c>
      <c r="M196" s="1339" t="s">
        <v>2598</v>
      </c>
      <c r="N196" s="1339" t="s">
        <v>1320</v>
      </c>
      <c r="O196" s="1600" t="s">
        <v>4329</v>
      </c>
      <c r="P196" s="642" t="s">
        <v>2538</v>
      </c>
      <c r="Q196" s="601"/>
      <c r="R196" s="190"/>
      <c r="S196" s="448"/>
      <c r="T196" s="572" t="s">
        <v>1783</v>
      </c>
      <c r="U196" s="572" t="s">
        <v>122</v>
      </c>
      <c r="W196" s="495" t="s">
        <v>1745</v>
      </c>
      <c r="X196" s="495" t="s">
        <v>3388</v>
      </c>
      <c r="Z196" s="495"/>
      <c r="AA196" s="27"/>
      <c r="AB196" s="27"/>
      <c r="AC196" s="1072"/>
      <c r="AD196" s="585"/>
    </row>
    <row r="197" spans="2:30" ht="10.5" customHeight="1">
      <c r="B197" s="314"/>
      <c r="C197" s="437" t="s">
        <v>663</v>
      </c>
      <c r="D197" s="508">
        <v>51500</v>
      </c>
      <c r="E197" s="314"/>
      <c r="F197" s="314" t="s">
        <v>1355</v>
      </c>
      <c r="G197" s="1166" t="s">
        <v>2532</v>
      </c>
      <c r="H197" s="1166" t="s">
        <v>1211</v>
      </c>
      <c r="I197" s="1167" t="s">
        <v>193</v>
      </c>
      <c r="J197" s="1167" t="s">
        <v>2611</v>
      </c>
      <c r="K197" s="1168" t="s">
        <v>626</v>
      </c>
      <c r="L197" s="1169" t="s">
        <v>423</v>
      </c>
      <c r="M197" s="1340" t="s">
        <v>2598</v>
      </c>
      <c r="N197" s="1340" t="s">
        <v>1782</v>
      </c>
      <c r="O197" s="1600" t="s">
        <v>4330</v>
      </c>
      <c r="P197" s="642" t="s">
        <v>1006</v>
      </c>
      <c r="Q197" s="601"/>
      <c r="R197" s="190"/>
      <c r="S197" s="448"/>
      <c r="T197" s="572" t="s">
        <v>2539</v>
      </c>
      <c r="U197" s="572" t="s">
        <v>164</v>
      </c>
      <c r="W197" s="495" t="s">
        <v>1022</v>
      </c>
      <c r="X197" s="495" t="s">
        <v>3388</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2612</v>
      </c>
      <c r="K198" s="1168" t="s">
        <v>1680</v>
      </c>
      <c r="L198" s="1169" t="s">
        <v>424</v>
      </c>
      <c r="M198" s="1339" t="s">
        <v>2598</v>
      </c>
      <c r="N198" s="1339" t="s">
        <v>1521</v>
      </c>
      <c r="O198" s="1600" t="s">
        <v>4331</v>
      </c>
      <c r="P198" s="642" t="s">
        <v>2001</v>
      </c>
      <c r="Q198" s="601"/>
      <c r="R198" s="190"/>
      <c r="S198" s="448"/>
      <c r="T198" s="572" t="s">
        <v>1007</v>
      </c>
      <c r="U198" s="572" t="s">
        <v>429</v>
      </c>
      <c r="W198" s="495" t="s">
        <v>1025</v>
      </c>
      <c r="X198" s="495" t="s">
        <v>3388</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2612</v>
      </c>
      <c r="K199" s="1168" t="s">
        <v>2575</v>
      </c>
      <c r="L199" s="1169" t="s">
        <v>424</v>
      </c>
      <c r="M199" s="1339" t="s">
        <v>1196</v>
      </c>
      <c r="N199" s="1339" t="s">
        <v>1205</v>
      </c>
      <c r="O199" s="1600" t="s">
        <v>4332</v>
      </c>
      <c r="P199" s="642" t="s">
        <v>15</v>
      </c>
      <c r="Q199" s="601"/>
      <c r="R199" s="190"/>
      <c r="S199" s="448"/>
      <c r="T199" s="572" t="s">
        <v>1314</v>
      </c>
      <c r="U199" s="572" t="s">
        <v>328</v>
      </c>
      <c r="W199" s="495" t="s">
        <v>1758</v>
      </c>
      <c r="X199" s="495" t="s">
        <v>3388</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2611</v>
      </c>
      <c r="K200" s="1168" t="s">
        <v>627</v>
      </c>
      <c r="L200" s="1169" t="s">
        <v>423</v>
      </c>
      <c r="M200" s="1340" t="s">
        <v>2598</v>
      </c>
      <c r="N200" s="1340" t="s">
        <v>1782</v>
      </c>
      <c r="O200" s="1600" t="s">
        <v>4333</v>
      </c>
      <c r="P200" s="642" t="s">
        <v>2234</v>
      </c>
      <c r="Q200" s="601"/>
      <c r="R200" s="190"/>
      <c r="S200" s="448"/>
      <c r="T200" s="572" t="s">
        <v>16</v>
      </c>
      <c r="U200" s="572" t="s">
        <v>1666</v>
      </c>
      <c r="W200" s="495" t="s">
        <v>2063</v>
      </c>
      <c r="X200" s="495" t="s">
        <v>3388</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2612</v>
      </c>
      <c r="K201" s="1168" t="s">
        <v>2575</v>
      </c>
      <c r="L201" s="1169" t="s">
        <v>424</v>
      </c>
      <c r="M201" s="1339" t="s">
        <v>1196</v>
      </c>
      <c r="N201" s="1339" t="s">
        <v>1205</v>
      </c>
      <c r="O201" s="1600" t="s">
        <v>4334</v>
      </c>
      <c r="P201" s="642" t="s">
        <v>2236</v>
      </c>
      <c r="Q201" s="601"/>
      <c r="R201" s="190"/>
      <c r="S201" s="448"/>
      <c r="T201" s="572" t="s">
        <v>2235</v>
      </c>
      <c r="U201" s="572" t="s">
        <v>1210</v>
      </c>
      <c r="W201" s="495" t="s">
        <v>2065</v>
      </c>
      <c r="X201" s="495" t="s">
        <v>3388</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2611</v>
      </c>
      <c r="K202" s="1168" t="s">
        <v>1957</v>
      </c>
      <c r="L202" s="1169" t="s">
        <v>423</v>
      </c>
      <c r="M202" s="1340" t="s">
        <v>2598</v>
      </c>
      <c r="N202" s="1340" t="s">
        <v>1320</v>
      </c>
      <c r="O202" s="1600" t="s">
        <v>4335</v>
      </c>
      <c r="P202" s="642" t="s">
        <v>2238</v>
      </c>
      <c r="Q202" s="601"/>
      <c r="R202" s="190"/>
      <c r="S202" s="448"/>
      <c r="T202" s="643" t="s">
        <v>2237</v>
      </c>
      <c r="U202" s="643" t="s">
        <v>2243</v>
      </c>
      <c r="W202" s="495" t="s">
        <v>676</v>
      </c>
      <c r="X202" s="495" t="s">
        <v>3388</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2611</v>
      </c>
      <c r="K203" s="1168" t="s">
        <v>1958</v>
      </c>
      <c r="L203" s="1169" t="s">
        <v>423</v>
      </c>
      <c r="M203" s="1340" t="s">
        <v>2598</v>
      </c>
      <c r="N203" s="1340" t="s">
        <v>1782</v>
      </c>
      <c r="O203" s="1600" t="s">
        <v>4336</v>
      </c>
      <c r="P203" s="642" t="s">
        <v>2268</v>
      </c>
      <c r="Q203" s="601"/>
      <c r="R203" s="190"/>
      <c r="S203" s="448"/>
      <c r="T203" s="572" t="s">
        <v>2560</v>
      </c>
      <c r="U203" s="572" t="s">
        <v>628</v>
      </c>
      <c r="W203" s="495" t="s">
        <v>1247</v>
      </c>
      <c r="X203" s="495" t="s">
        <v>3388</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2612</v>
      </c>
      <c r="K204" s="1168" t="s">
        <v>1161</v>
      </c>
      <c r="L204" s="1169" t="s">
        <v>424</v>
      </c>
      <c r="M204" s="1340" t="s">
        <v>1196</v>
      </c>
      <c r="N204" s="1340" t="s">
        <v>1782</v>
      </c>
      <c r="O204" s="1600" t="s">
        <v>4337</v>
      </c>
      <c r="P204" s="642" t="s">
        <v>1773</v>
      </c>
      <c r="Q204" s="601"/>
      <c r="R204" s="190"/>
      <c r="S204" s="448"/>
      <c r="T204" s="572" t="s">
        <v>2239</v>
      </c>
      <c r="U204" s="572" t="s">
        <v>121</v>
      </c>
      <c r="W204" s="495" t="s">
        <v>1249</v>
      </c>
      <c r="X204" s="495" t="s">
        <v>3388</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2612</v>
      </c>
      <c r="K205" s="1168" t="s">
        <v>2575</v>
      </c>
      <c r="L205" s="1169" t="s">
        <v>424</v>
      </c>
      <c r="M205" s="1339" t="s">
        <v>1196</v>
      </c>
      <c r="N205" s="1339" t="s">
        <v>1205</v>
      </c>
      <c r="O205" s="1600" t="s">
        <v>4338</v>
      </c>
      <c r="P205" s="642" t="s">
        <v>1775</v>
      </c>
      <c r="Q205" s="601"/>
      <c r="R205" s="190"/>
      <c r="S205" s="448"/>
      <c r="T205" s="572" t="s">
        <v>1749</v>
      </c>
      <c r="U205" s="572" t="s">
        <v>2488</v>
      </c>
      <c r="W205" s="495" t="s">
        <v>2482</v>
      </c>
      <c r="X205" s="495" t="s">
        <v>3388</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2611</v>
      </c>
      <c r="K206" s="1168" t="s">
        <v>1959</v>
      </c>
      <c r="L206" s="1169" t="s">
        <v>423</v>
      </c>
      <c r="M206" s="1340" t="s">
        <v>2598</v>
      </c>
      <c r="N206" s="1340" t="s">
        <v>1782</v>
      </c>
      <c r="O206" s="1600" t="s">
        <v>4339</v>
      </c>
      <c r="P206" s="642" t="s">
        <v>2157</v>
      </c>
      <c r="Q206" s="601"/>
      <c r="R206" s="190"/>
      <c r="S206" s="448"/>
      <c r="T206" s="572" t="s">
        <v>1774</v>
      </c>
      <c r="U206" s="572" t="s">
        <v>1313</v>
      </c>
      <c r="W206" s="495" t="s">
        <v>2492</v>
      </c>
      <c r="X206" s="495" t="s">
        <v>3388</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2612</v>
      </c>
      <c r="K207" s="1168" t="s">
        <v>2581</v>
      </c>
      <c r="L207" s="1169" t="s">
        <v>424</v>
      </c>
      <c r="M207" s="1339" t="s">
        <v>2598</v>
      </c>
      <c r="N207" s="1339" t="s">
        <v>1696</v>
      </c>
      <c r="O207" s="1600" t="s">
        <v>4340</v>
      </c>
      <c r="P207" s="642" t="s">
        <v>2158</v>
      </c>
      <c r="Q207" s="601"/>
      <c r="R207" s="190"/>
      <c r="S207" s="448"/>
      <c r="T207" s="572" t="s">
        <v>1776</v>
      </c>
      <c r="U207" s="572" t="s">
        <v>2007</v>
      </c>
      <c r="W207" s="495" t="s">
        <v>87</v>
      </c>
      <c r="X207" s="495" t="s">
        <v>3388</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2612</v>
      </c>
      <c r="K208" s="1168" t="s">
        <v>1463</v>
      </c>
      <c r="L208" s="1169" t="s">
        <v>424</v>
      </c>
      <c r="M208" s="1339" t="s">
        <v>2598</v>
      </c>
      <c r="N208" s="1339" t="s">
        <v>1326</v>
      </c>
      <c r="O208" s="1600" t="s">
        <v>4341</v>
      </c>
      <c r="P208" s="642" t="s">
        <v>2443</v>
      </c>
      <c r="Q208" s="323"/>
      <c r="R208" s="190"/>
      <c r="S208" s="448"/>
      <c r="T208" s="572" t="s">
        <v>825</v>
      </c>
      <c r="U208" s="572" t="s">
        <v>2587</v>
      </c>
      <c r="W208" s="495" t="s">
        <v>1234</v>
      </c>
      <c r="X208" s="495" t="s">
        <v>3388</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2611</v>
      </c>
      <c r="K209" s="1168" t="s">
        <v>1335</v>
      </c>
      <c r="L209" s="1169" t="s">
        <v>423</v>
      </c>
      <c r="M209" s="1340" t="s">
        <v>2598</v>
      </c>
      <c r="N209" s="1340" t="s">
        <v>166</v>
      </c>
      <c r="O209" s="1600" t="s">
        <v>4342</v>
      </c>
      <c r="P209" s="642" t="s">
        <v>2445</v>
      </c>
      <c r="Q209" s="323"/>
      <c r="R209" s="190"/>
      <c r="S209" s="448"/>
      <c r="T209" s="572" t="s">
        <v>2159</v>
      </c>
      <c r="U209" s="572" t="s">
        <v>2589</v>
      </c>
      <c r="W209" s="495" t="s">
        <v>161</v>
      </c>
      <c r="X209" s="495" t="s">
        <v>3388</v>
      </c>
      <c r="Z209" s="495"/>
      <c r="AA209" s="27"/>
      <c r="AB209" s="27"/>
      <c r="AC209" s="1072"/>
      <c r="AD209" s="585"/>
    </row>
    <row r="210" spans="2:30" ht="10.5" customHeight="1">
      <c r="B210" s="314"/>
      <c r="C210" s="436" t="s">
        <v>329</v>
      </c>
      <c r="D210" s="508">
        <v>38600</v>
      </c>
      <c r="E210" s="314"/>
      <c r="F210" s="644"/>
      <c r="G210" s="1166" t="s">
        <v>2241</v>
      </c>
      <c r="H210" s="1166" t="s">
        <v>1211</v>
      </c>
      <c r="I210" s="1167" t="s">
        <v>2242</v>
      </c>
      <c r="J210" s="1167" t="s">
        <v>2611</v>
      </c>
      <c r="K210" s="1168" t="s">
        <v>1336</v>
      </c>
      <c r="L210" s="1169" t="s">
        <v>423</v>
      </c>
      <c r="M210" s="1340" t="s">
        <v>2598</v>
      </c>
      <c r="N210" s="1340" t="s">
        <v>1330</v>
      </c>
      <c r="O210" s="1600" t="s">
        <v>4343</v>
      </c>
      <c r="P210" s="642" t="s">
        <v>2447</v>
      </c>
      <c r="Q210" s="323"/>
      <c r="R210" s="190"/>
      <c r="S210" s="448"/>
      <c r="T210" s="643" t="s">
        <v>2444</v>
      </c>
      <c r="U210" s="643" t="s">
        <v>1094</v>
      </c>
      <c r="W210" s="495" t="s">
        <v>895</v>
      </c>
      <c r="X210" s="495" t="s">
        <v>3388</v>
      </c>
      <c r="Z210" s="495"/>
      <c r="AA210" s="27"/>
      <c r="AB210" s="27"/>
      <c r="AC210" s="1073"/>
      <c r="AD210" s="585"/>
    </row>
    <row r="211" spans="2:30" ht="10.5" customHeight="1">
      <c r="B211" s="314"/>
      <c r="C211" s="437" t="s">
        <v>331</v>
      </c>
      <c r="D211" s="508">
        <v>32700</v>
      </c>
      <c r="E211" s="314"/>
      <c r="F211" s="644"/>
      <c r="G211" s="1166" t="s">
        <v>2243</v>
      </c>
      <c r="H211" s="1166" t="s">
        <v>1211</v>
      </c>
      <c r="I211" s="1167" t="s">
        <v>654</v>
      </c>
      <c r="J211" s="1167" t="s">
        <v>2611</v>
      </c>
      <c r="K211" s="1168" t="s">
        <v>1337</v>
      </c>
      <c r="L211" s="1169" t="s">
        <v>423</v>
      </c>
      <c r="M211" s="1340" t="s">
        <v>2598</v>
      </c>
      <c r="N211" s="1340" t="s">
        <v>1326</v>
      </c>
      <c r="O211" s="1600" t="s">
        <v>4344</v>
      </c>
      <c r="P211" s="642" t="s">
        <v>2449</v>
      </c>
      <c r="Q211" s="323"/>
      <c r="R211" s="190"/>
      <c r="S211" s="448"/>
      <c r="T211" s="572" t="s">
        <v>2561</v>
      </c>
      <c r="U211" s="572" t="s">
        <v>319</v>
      </c>
      <c r="W211" s="495" t="s">
        <v>2139</v>
      </c>
      <c r="X211" s="495" t="s">
        <v>3388</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2611</v>
      </c>
      <c r="K212" s="1168" t="s">
        <v>1338</v>
      </c>
      <c r="L212" s="1169" t="s">
        <v>423</v>
      </c>
      <c r="M212" s="1340" t="s">
        <v>2598</v>
      </c>
      <c r="N212" s="1340" t="s">
        <v>1205</v>
      </c>
      <c r="O212" s="1600" t="s">
        <v>4345</v>
      </c>
      <c r="P212" s="642" t="s">
        <v>2450</v>
      </c>
      <c r="Q212" s="323"/>
      <c r="R212" s="190"/>
      <c r="S212" s="448"/>
      <c r="T212" s="572" t="s">
        <v>2446</v>
      </c>
      <c r="U212" s="572" t="s">
        <v>1919</v>
      </c>
      <c r="W212" s="495" t="s">
        <v>2057</v>
      </c>
      <c r="X212" s="495" t="s">
        <v>3388</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2612</v>
      </c>
      <c r="K213" s="1168" t="s">
        <v>2575</v>
      </c>
      <c r="L213" s="1169" t="s">
        <v>424</v>
      </c>
      <c r="M213" s="1339" t="s">
        <v>1196</v>
      </c>
      <c r="N213" s="1339" t="s">
        <v>1205</v>
      </c>
      <c r="O213" s="1600" t="s">
        <v>4346</v>
      </c>
      <c r="P213" s="642" t="s">
        <v>2229</v>
      </c>
      <c r="Q213" s="323"/>
      <c r="R213" s="190"/>
      <c r="S213" s="448"/>
      <c r="T213" s="572" t="s">
        <v>2448</v>
      </c>
      <c r="U213" s="572" t="s">
        <v>874</v>
      </c>
      <c r="W213" s="495" t="s">
        <v>599</v>
      </c>
      <c r="X213" s="495" t="s">
        <v>3388</v>
      </c>
      <c r="Z213" s="495"/>
      <c r="AA213" s="27"/>
      <c r="AB213" s="27"/>
      <c r="AC213" s="1072"/>
      <c r="AD213" s="585"/>
    </row>
    <row r="214" spans="2:30" ht="10.5" customHeight="1">
      <c r="B214" s="314"/>
      <c r="C214" s="437" t="s">
        <v>1454</v>
      </c>
      <c r="D214" s="508">
        <v>44200</v>
      </c>
      <c r="E214" s="314"/>
      <c r="F214" s="644"/>
      <c r="G214" s="1166" t="s">
        <v>658</v>
      </c>
      <c r="H214" s="1166" t="s">
        <v>1311</v>
      </c>
      <c r="I214" s="1170" t="s">
        <v>2267</v>
      </c>
      <c r="J214" s="1170" t="s">
        <v>2612</v>
      </c>
      <c r="K214" s="1168" t="s">
        <v>1339</v>
      </c>
      <c r="L214" s="1169" t="s">
        <v>424</v>
      </c>
      <c r="M214" s="1340" t="s">
        <v>1196</v>
      </c>
      <c r="N214" s="1340" t="s">
        <v>1205</v>
      </c>
      <c r="O214" s="1600" t="s">
        <v>4347</v>
      </c>
      <c r="P214" s="642" t="s">
        <v>708</v>
      </c>
      <c r="Q214" s="323"/>
      <c r="R214" s="190"/>
      <c r="S214" s="448"/>
      <c r="T214" s="572" t="s">
        <v>2451</v>
      </c>
      <c r="U214" s="572" t="s">
        <v>159</v>
      </c>
      <c r="W214" s="495" t="s">
        <v>601</v>
      </c>
      <c r="X214" s="495" t="s">
        <v>3388</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2612</v>
      </c>
      <c r="K215" s="1168" t="s">
        <v>2575</v>
      </c>
      <c r="L215" s="1169" t="s">
        <v>424</v>
      </c>
      <c r="M215" s="1339" t="s">
        <v>1196</v>
      </c>
      <c r="N215" s="1339" t="s">
        <v>1205</v>
      </c>
      <c r="O215" s="1600" t="s">
        <v>4348</v>
      </c>
      <c r="P215" s="642" t="s">
        <v>710</v>
      </c>
      <c r="Q215" s="323"/>
      <c r="R215" s="190"/>
      <c r="S215" s="448"/>
      <c r="T215" s="572" t="s">
        <v>2230</v>
      </c>
      <c r="U215" s="572" t="s">
        <v>655</v>
      </c>
      <c r="W215" s="495" t="s">
        <v>2531</v>
      </c>
      <c r="X215" s="495" t="s">
        <v>3388</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2611</v>
      </c>
      <c r="K216" s="1168" t="s">
        <v>1340</v>
      </c>
      <c r="L216" s="1169" t="s">
        <v>423</v>
      </c>
      <c r="M216" s="1340" t="s">
        <v>2598</v>
      </c>
      <c r="N216" s="1340" t="s">
        <v>166</v>
      </c>
      <c r="O216" s="1600" t="s">
        <v>4349</v>
      </c>
      <c r="P216" s="642" t="s">
        <v>712</v>
      </c>
      <c r="Q216" s="323"/>
      <c r="R216" s="190"/>
      <c r="S216" s="448"/>
      <c r="T216" s="572" t="s">
        <v>709</v>
      </c>
      <c r="U216" s="572" t="s">
        <v>2480</v>
      </c>
      <c r="W216" s="495" t="s">
        <v>605</v>
      </c>
      <c r="X216" s="495" t="s">
        <v>3388</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2612</v>
      </c>
      <c r="K217" s="1168" t="s">
        <v>2575</v>
      </c>
      <c r="L217" s="1169" t="s">
        <v>424</v>
      </c>
      <c r="M217" s="1339" t="s">
        <v>1196</v>
      </c>
      <c r="N217" s="1339" t="s">
        <v>1205</v>
      </c>
      <c r="O217" s="1600" t="s">
        <v>4350</v>
      </c>
      <c r="P217" s="642" t="s">
        <v>714</v>
      </c>
      <c r="Q217" s="323"/>
      <c r="R217" s="190"/>
      <c r="S217" s="448"/>
      <c r="T217" s="572" t="s">
        <v>711</v>
      </c>
      <c r="U217" s="572" t="s">
        <v>1109</v>
      </c>
      <c r="W217" s="495" t="s">
        <v>546</v>
      </c>
      <c r="X217" s="495" t="s">
        <v>3388</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2611</v>
      </c>
      <c r="K218" s="1168" t="s">
        <v>239</v>
      </c>
      <c r="L218" s="1169" t="s">
        <v>423</v>
      </c>
      <c r="M218" s="1340" t="s">
        <v>2598</v>
      </c>
      <c r="N218" s="1340" t="s">
        <v>1205</v>
      </c>
      <c r="O218" s="1600" t="s">
        <v>4351</v>
      </c>
      <c r="P218" s="642" t="s">
        <v>2221</v>
      </c>
      <c r="Q218" s="323"/>
      <c r="R218" s="190"/>
      <c r="S218" s="448"/>
      <c r="T218" s="643" t="s">
        <v>713</v>
      </c>
      <c r="U218" s="643" t="s">
        <v>2589</v>
      </c>
      <c r="W218" s="495" t="s">
        <v>746</v>
      </c>
      <c r="X218" s="495" t="s">
        <v>3388</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2611</v>
      </c>
      <c r="K219" s="1168" t="s">
        <v>240</v>
      </c>
      <c r="L219" s="1169" t="s">
        <v>423</v>
      </c>
      <c r="M219" s="1340" t="s">
        <v>2598</v>
      </c>
      <c r="N219" s="1340" t="s">
        <v>1330</v>
      </c>
      <c r="O219" s="1600" t="s">
        <v>4352</v>
      </c>
      <c r="P219" s="642" t="s">
        <v>2222</v>
      </c>
      <c r="Q219" s="323"/>
      <c r="R219" s="190"/>
      <c r="S219" s="448"/>
      <c r="T219" s="572" t="s">
        <v>2562</v>
      </c>
      <c r="U219" s="572" t="s">
        <v>2482</v>
      </c>
      <c r="W219" s="495" t="s">
        <v>37</v>
      </c>
      <c r="X219" s="495" t="s">
        <v>3388</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2612</v>
      </c>
      <c r="K220" s="1168" t="s">
        <v>2580</v>
      </c>
      <c r="L220" s="1169" t="s">
        <v>424</v>
      </c>
      <c r="M220" s="1340" t="s">
        <v>1196</v>
      </c>
      <c r="N220" s="1340" t="s">
        <v>1326</v>
      </c>
      <c r="O220" s="1600" t="s">
        <v>4353</v>
      </c>
      <c r="P220" s="642" t="s">
        <v>2224</v>
      </c>
      <c r="Q220" s="323"/>
      <c r="R220" s="190"/>
      <c r="S220" s="448"/>
      <c r="T220" s="572" t="s">
        <v>2223</v>
      </c>
      <c r="U220" s="572" t="s">
        <v>1666</v>
      </c>
      <c r="W220" s="495" t="s">
        <v>1966</v>
      </c>
      <c r="X220" s="495" t="s">
        <v>3388</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2611</v>
      </c>
      <c r="K221" s="1168" t="s">
        <v>241</v>
      </c>
      <c r="L221" s="1169" t="s">
        <v>423</v>
      </c>
      <c r="M221" s="1340" t="s">
        <v>2598</v>
      </c>
      <c r="N221" s="1340" t="s">
        <v>1205</v>
      </c>
      <c r="O221" s="1600" t="s">
        <v>4354</v>
      </c>
      <c r="P221" s="642" t="s">
        <v>684</v>
      </c>
      <c r="Q221" s="323"/>
      <c r="R221" s="190"/>
      <c r="S221" s="448"/>
      <c r="T221" s="572" t="s">
        <v>2225</v>
      </c>
      <c r="U221" s="572" t="s">
        <v>2583</v>
      </c>
      <c r="W221" s="495" t="s">
        <v>335</v>
      </c>
      <c r="X221" s="495" t="s">
        <v>3388</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2611</v>
      </c>
      <c r="K222" s="1168" t="s">
        <v>403</v>
      </c>
      <c r="L222" s="1169" t="s">
        <v>423</v>
      </c>
      <c r="M222" s="1340" t="s">
        <v>2598</v>
      </c>
      <c r="N222" s="1340" t="s">
        <v>1782</v>
      </c>
      <c r="O222" s="1600" t="s">
        <v>4355</v>
      </c>
      <c r="P222" s="642" t="s">
        <v>789</v>
      </c>
      <c r="Q222" s="323"/>
      <c r="R222" s="190"/>
      <c r="S222" s="448"/>
      <c r="T222" s="572" t="s">
        <v>685</v>
      </c>
      <c r="U222" s="572" t="s">
        <v>733</v>
      </c>
      <c r="W222" s="495" t="s">
        <v>343</v>
      </c>
      <c r="X222" s="495" t="s">
        <v>3388</v>
      </c>
      <c r="Z222" s="495"/>
      <c r="AA222" s="27"/>
      <c r="AB222" s="27"/>
      <c r="AC222" s="1072"/>
      <c r="AD222" s="585"/>
    </row>
    <row r="223" spans="2:30" ht="10.5" customHeight="1">
      <c r="B223" s="314"/>
      <c r="C223" s="437" t="s">
        <v>2041</v>
      </c>
      <c r="D223" s="508">
        <v>60900</v>
      </c>
      <c r="E223" s="314"/>
      <c r="F223" s="644"/>
      <c r="G223" s="1166" t="s">
        <v>671</v>
      </c>
      <c r="H223" s="1166" t="s">
        <v>1311</v>
      </c>
      <c r="I223" s="1167" t="s">
        <v>672</v>
      </c>
      <c r="J223" s="1167" t="s">
        <v>2611</v>
      </c>
      <c r="K223" s="1168" t="s">
        <v>404</v>
      </c>
      <c r="L223" s="1169" t="s">
        <v>423</v>
      </c>
      <c r="M223" s="1340" t="s">
        <v>2598</v>
      </c>
      <c r="N223" s="1340" t="s">
        <v>166</v>
      </c>
      <c r="O223" s="1600" t="s">
        <v>4356</v>
      </c>
      <c r="P223" s="642" t="s">
        <v>2270</v>
      </c>
      <c r="Q223" s="323"/>
      <c r="R223" s="190"/>
      <c r="S223" s="448"/>
      <c r="T223" s="572" t="s">
        <v>2269</v>
      </c>
      <c r="U223" s="572" t="s">
        <v>316</v>
      </c>
      <c r="W223" s="495" t="s">
        <v>195</v>
      </c>
      <c r="X223" s="495" t="s">
        <v>3388</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2612</v>
      </c>
      <c r="K224" s="1168" t="s">
        <v>2575</v>
      </c>
      <c r="L224" s="1169" t="s">
        <v>424</v>
      </c>
      <c r="M224" s="1339" t="s">
        <v>1196</v>
      </c>
      <c r="N224" s="1339" t="s">
        <v>1205</v>
      </c>
      <c r="O224" s="1600" t="s">
        <v>4357</v>
      </c>
      <c r="P224" s="642" t="s">
        <v>2299</v>
      </c>
      <c r="Q224" s="323"/>
      <c r="R224" s="190"/>
      <c r="S224" s="448"/>
      <c r="T224" s="572" t="s">
        <v>2330</v>
      </c>
      <c r="U224" s="572" t="s">
        <v>878</v>
      </c>
      <c r="W224" s="495" t="s">
        <v>2154</v>
      </c>
      <c r="X224" s="495" t="s">
        <v>3388</v>
      </c>
      <c r="Z224" s="495"/>
      <c r="AA224" s="27"/>
      <c r="AB224" s="27"/>
      <c r="AC224" s="1072"/>
      <c r="AD224" s="585"/>
    </row>
    <row r="225" spans="2:30" ht="10.5" customHeight="1">
      <c r="B225" s="314"/>
      <c r="C225" s="436" t="s">
        <v>2584</v>
      </c>
      <c r="D225" s="508">
        <v>59200</v>
      </c>
      <c r="E225" s="314"/>
      <c r="F225" s="644"/>
      <c r="G225" s="1166" t="s">
        <v>122</v>
      </c>
      <c r="H225" s="1166" t="s">
        <v>1311</v>
      </c>
      <c r="I225" s="1167" t="s">
        <v>123</v>
      </c>
      <c r="J225" s="1167" t="s">
        <v>2611</v>
      </c>
      <c r="K225" s="1168" t="s">
        <v>405</v>
      </c>
      <c r="L225" s="1169" t="s">
        <v>423</v>
      </c>
      <c r="M225" s="1340" t="s">
        <v>2598</v>
      </c>
      <c r="N225" s="1340" t="s">
        <v>166</v>
      </c>
      <c r="O225" s="1600" t="s">
        <v>4358</v>
      </c>
      <c r="P225" s="642" t="s">
        <v>45</v>
      </c>
      <c r="Q225" s="323"/>
      <c r="R225" s="190"/>
      <c r="S225" s="448"/>
      <c r="T225" s="572" t="s">
        <v>46</v>
      </c>
      <c r="U225" s="572" t="s">
        <v>323</v>
      </c>
      <c r="W225" s="495" t="s">
        <v>196</v>
      </c>
      <c r="X225" s="495" t="s">
        <v>3388</v>
      </c>
      <c r="Z225" s="495"/>
      <c r="AA225" s="27"/>
      <c r="AB225" s="27"/>
      <c r="AC225" s="1075"/>
      <c r="AD225" s="585"/>
    </row>
    <row r="226" spans="2:30" ht="10.5" customHeight="1">
      <c r="B226" s="314"/>
      <c r="C226" s="437" t="s">
        <v>2586</v>
      </c>
      <c r="D226" s="508">
        <v>48100</v>
      </c>
      <c r="E226" s="314"/>
      <c r="F226" s="644"/>
      <c r="G226" s="1166" t="s">
        <v>311</v>
      </c>
      <c r="H226" s="1166" t="s">
        <v>1311</v>
      </c>
      <c r="I226" s="1167" t="s">
        <v>1221</v>
      </c>
      <c r="J226" s="1167" t="s">
        <v>2612</v>
      </c>
      <c r="K226" s="1168" t="s">
        <v>406</v>
      </c>
      <c r="L226" s="1169" t="s">
        <v>424</v>
      </c>
      <c r="M226" s="1340" t="s">
        <v>1196</v>
      </c>
      <c r="N226" s="1340" t="s">
        <v>1205</v>
      </c>
      <c r="O226" s="1600" t="s">
        <v>4359</v>
      </c>
      <c r="P226" s="642" t="s">
        <v>633</v>
      </c>
      <c r="Q226" s="323"/>
      <c r="R226" s="190"/>
      <c r="S226" s="448"/>
      <c r="T226" s="572" t="s">
        <v>634</v>
      </c>
      <c r="U226" s="572" t="s">
        <v>2591</v>
      </c>
      <c r="W226" s="495" t="s">
        <v>382</v>
      </c>
      <c r="X226" s="495" t="s">
        <v>3388</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2611</v>
      </c>
      <c r="K227" s="1168" t="s">
        <v>407</v>
      </c>
      <c r="L227" s="1169" t="s">
        <v>423</v>
      </c>
      <c r="M227" s="1340" t="s">
        <v>2598</v>
      </c>
      <c r="N227" s="1340" t="s">
        <v>1320</v>
      </c>
      <c r="O227" s="1600" t="s">
        <v>4360</v>
      </c>
      <c r="P227" s="642" t="s">
        <v>304</v>
      </c>
      <c r="Q227" s="323"/>
      <c r="R227" s="190"/>
      <c r="S227" s="448"/>
      <c r="T227" s="572" t="s">
        <v>305</v>
      </c>
      <c r="U227" s="572" t="s">
        <v>314</v>
      </c>
      <c r="W227" s="495" t="s">
        <v>873</v>
      </c>
      <c r="X227" s="495" t="s">
        <v>3388</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2612</v>
      </c>
      <c r="K228" s="1168" t="s">
        <v>408</v>
      </c>
      <c r="L228" s="1169" t="s">
        <v>424</v>
      </c>
      <c r="M228" s="1339" t="s">
        <v>2598</v>
      </c>
      <c r="N228" s="1339" t="s">
        <v>1205</v>
      </c>
      <c r="O228" s="1600" t="s">
        <v>4361</v>
      </c>
      <c r="P228" s="642" t="s">
        <v>2368</v>
      </c>
      <c r="Q228" s="323"/>
      <c r="R228" s="190"/>
      <c r="S228" s="448"/>
      <c r="T228" s="572" t="s">
        <v>2369</v>
      </c>
      <c r="U228" s="572" t="s">
        <v>196</v>
      </c>
      <c r="W228" s="495" t="s">
        <v>1923</v>
      </c>
      <c r="X228" s="495" t="s">
        <v>3388</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2612</v>
      </c>
      <c r="K229" s="1168" t="s">
        <v>1682</v>
      </c>
      <c r="L229" s="1169" t="s">
        <v>424</v>
      </c>
      <c r="M229" s="1339" t="s">
        <v>2598</v>
      </c>
      <c r="N229" s="1339" t="s">
        <v>161</v>
      </c>
      <c r="O229" s="1600" t="s">
        <v>4362</v>
      </c>
      <c r="P229" s="642" t="s">
        <v>2391</v>
      </c>
      <c r="Q229" s="323"/>
      <c r="R229" s="190"/>
      <c r="S229" s="448"/>
      <c r="T229" s="572" t="s">
        <v>2392</v>
      </c>
      <c r="U229" s="572" t="s">
        <v>1665</v>
      </c>
      <c r="W229" s="495" t="s">
        <v>1927</v>
      </c>
      <c r="X229" s="495" t="s">
        <v>3388</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2611</v>
      </c>
      <c r="K230" s="1168" t="s">
        <v>409</v>
      </c>
      <c r="L230" s="1169" t="s">
        <v>423</v>
      </c>
      <c r="M230" s="1340" t="s">
        <v>2598</v>
      </c>
      <c r="N230" s="1340" t="s">
        <v>166</v>
      </c>
      <c r="O230" s="1600" t="s">
        <v>4363</v>
      </c>
      <c r="P230" s="642" t="s">
        <v>2393</v>
      </c>
      <c r="Q230" s="323"/>
      <c r="R230" s="190"/>
      <c r="S230" s="448"/>
      <c r="T230" s="572" t="s">
        <v>2847</v>
      </c>
      <c r="U230" s="572" t="s">
        <v>628</v>
      </c>
      <c r="W230" s="495" t="s">
        <v>717</v>
      </c>
      <c r="X230" s="495" t="s">
        <v>3388</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2612</v>
      </c>
      <c r="K231" s="1168" t="s">
        <v>2575</v>
      </c>
      <c r="L231" s="1169" t="s">
        <v>424</v>
      </c>
      <c r="M231" s="1339" t="s">
        <v>1196</v>
      </c>
      <c r="N231" s="1339" t="s">
        <v>1205</v>
      </c>
      <c r="O231" s="1600" t="s">
        <v>4364</v>
      </c>
      <c r="P231" s="642" t="s">
        <v>2394</v>
      </c>
      <c r="Q231" s="323"/>
      <c r="R231" s="190"/>
      <c r="S231" s="448"/>
      <c r="T231" s="572" t="s">
        <v>629</v>
      </c>
      <c r="U231" s="572" t="s">
        <v>1327</v>
      </c>
      <c r="W231" s="495" t="s">
        <v>1140</v>
      </c>
      <c r="X231" s="495" t="s">
        <v>3388</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2612</v>
      </c>
      <c r="K232" s="1168" t="s">
        <v>2575</v>
      </c>
      <c r="L232" s="1169" t="s">
        <v>424</v>
      </c>
      <c r="M232" s="1339" t="s">
        <v>1196</v>
      </c>
      <c r="N232" s="1339" t="s">
        <v>1205</v>
      </c>
      <c r="O232" s="1600" t="s">
        <v>4365</v>
      </c>
      <c r="P232" s="642" t="s">
        <v>2360</v>
      </c>
      <c r="Q232" s="323"/>
      <c r="R232" s="190"/>
      <c r="S232" s="448"/>
      <c r="T232" s="572" t="s">
        <v>1324</v>
      </c>
      <c r="U232" s="572" t="s">
        <v>657</v>
      </c>
      <c r="W232" s="495" t="s">
        <v>1142</v>
      </c>
      <c r="X232" s="495" t="s">
        <v>3388</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2612</v>
      </c>
      <c r="K233" s="1168" t="s">
        <v>410</v>
      </c>
      <c r="L233" s="1169" t="s">
        <v>424</v>
      </c>
      <c r="M233" s="1340" t="s">
        <v>1196</v>
      </c>
      <c r="N233" s="1340" t="s">
        <v>1320</v>
      </c>
      <c r="O233" s="1600" t="s">
        <v>4366</v>
      </c>
      <c r="P233" s="642" t="s">
        <v>10</v>
      </c>
      <c r="Q233" s="323"/>
      <c r="R233" s="190"/>
      <c r="S233" s="448"/>
      <c r="T233" s="572" t="s">
        <v>2361</v>
      </c>
      <c r="U233" s="572" t="s">
        <v>2486</v>
      </c>
      <c r="W233" s="495" t="s">
        <v>1144</v>
      </c>
      <c r="X233" s="495" t="s">
        <v>3388</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2611</v>
      </c>
      <c r="K234" s="1168" t="s">
        <v>648</v>
      </c>
      <c r="L234" s="1169" t="s">
        <v>423</v>
      </c>
      <c r="M234" s="1340" t="s">
        <v>2598</v>
      </c>
      <c r="N234" s="1340" t="s">
        <v>1782</v>
      </c>
      <c r="O234" s="1600" t="s">
        <v>4367</v>
      </c>
      <c r="P234" s="642" t="s">
        <v>12</v>
      </c>
      <c r="Q234" s="323"/>
      <c r="R234" s="190"/>
      <c r="S234" s="448"/>
      <c r="T234" s="572" t="s">
        <v>11</v>
      </c>
      <c r="U234" s="572" t="s">
        <v>666</v>
      </c>
      <c r="W234" s="495" t="s">
        <v>2513</v>
      </c>
      <c r="X234" s="495" t="s">
        <v>3388</v>
      </c>
      <c r="Z234" s="495"/>
      <c r="AA234" s="27"/>
      <c r="AB234" s="27"/>
      <c r="AC234" s="1072"/>
      <c r="AD234" s="585"/>
    </row>
    <row r="235" spans="2:30" ht="10.5" customHeight="1">
      <c r="B235" s="314"/>
      <c r="C235" s="436" t="s">
        <v>2267</v>
      </c>
      <c r="D235" s="508">
        <v>54400</v>
      </c>
      <c r="E235" s="314"/>
      <c r="F235" s="644"/>
      <c r="G235" s="1166" t="s">
        <v>323</v>
      </c>
      <c r="H235" s="1166" t="s">
        <v>1311</v>
      </c>
      <c r="I235" s="1167" t="s">
        <v>324</v>
      </c>
      <c r="J235" s="1167" t="s">
        <v>2611</v>
      </c>
      <c r="K235" s="1168" t="s">
        <v>649</v>
      </c>
      <c r="L235" s="1169" t="s">
        <v>423</v>
      </c>
      <c r="M235" s="1340" t="s">
        <v>2598</v>
      </c>
      <c r="N235" s="1340" t="s">
        <v>1205</v>
      </c>
      <c r="O235" s="1600" t="s">
        <v>4368</v>
      </c>
      <c r="P235" s="642" t="s">
        <v>56</v>
      </c>
      <c r="Q235" s="323"/>
      <c r="R235" s="190"/>
      <c r="S235" s="448"/>
      <c r="T235" s="572" t="s">
        <v>13</v>
      </c>
      <c r="U235" s="572" t="s">
        <v>314</v>
      </c>
      <c r="W235" s="495" t="s">
        <v>455</v>
      </c>
      <c r="X235" s="495" t="s">
        <v>3388</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2612</v>
      </c>
      <c r="K236" s="1168" t="s">
        <v>2575</v>
      </c>
      <c r="L236" s="1169" t="s">
        <v>424</v>
      </c>
      <c r="M236" s="1339" t="s">
        <v>1196</v>
      </c>
      <c r="N236" s="1339" t="s">
        <v>1205</v>
      </c>
      <c r="O236" s="1600" t="s">
        <v>4369</v>
      </c>
      <c r="P236" s="642" t="s">
        <v>58</v>
      </c>
      <c r="Q236" s="323"/>
      <c r="R236" s="190"/>
      <c r="S236" s="448"/>
      <c r="T236" s="572" t="s">
        <v>57</v>
      </c>
      <c r="U236" s="572" t="s">
        <v>2583</v>
      </c>
      <c r="W236" s="495" t="s">
        <v>301</v>
      </c>
      <c r="X236" s="495" t="s">
        <v>3388</v>
      </c>
      <c r="Z236" s="495"/>
      <c r="AA236" s="27"/>
      <c r="AB236" s="27"/>
      <c r="AC236" s="1072"/>
      <c r="AD236" s="585"/>
    </row>
    <row r="237" spans="2:30" ht="10.5" customHeight="1">
      <c r="B237" s="314"/>
      <c r="C237" s="437" t="s">
        <v>2166</v>
      </c>
      <c r="D237" s="508">
        <v>51700</v>
      </c>
      <c r="E237" s="314"/>
      <c r="F237" s="644"/>
      <c r="G237" s="1166" t="s">
        <v>326</v>
      </c>
      <c r="H237" s="1166" t="s">
        <v>1211</v>
      </c>
      <c r="I237" s="1167" t="s">
        <v>327</v>
      </c>
      <c r="J237" s="1167" t="s">
        <v>2611</v>
      </c>
      <c r="K237" s="1168" t="s">
        <v>650</v>
      </c>
      <c r="L237" s="1169" t="s">
        <v>423</v>
      </c>
      <c r="M237" s="1340" t="s">
        <v>2598</v>
      </c>
      <c r="N237" s="1340" t="s">
        <v>1696</v>
      </c>
      <c r="O237" s="1600" t="s">
        <v>4370</v>
      </c>
      <c r="P237" s="642" t="s">
        <v>60</v>
      </c>
      <c r="Q237" s="323"/>
      <c r="R237" s="190"/>
      <c r="S237" s="448"/>
      <c r="T237" s="572" t="s">
        <v>59</v>
      </c>
      <c r="U237" s="572" t="s">
        <v>357</v>
      </c>
      <c r="W237" s="495" t="s">
        <v>1824</v>
      </c>
      <c r="X237" s="495" t="s">
        <v>3388</v>
      </c>
      <c r="Z237" s="495"/>
      <c r="AA237" s="27"/>
      <c r="AB237" s="27"/>
      <c r="AC237" s="1072"/>
      <c r="AD237" s="585"/>
    </row>
    <row r="238" spans="2:30" ht="10.5" customHeight="1">
      <c r="B238" s="314"/>
      <c r="C238" s="437" t="s">
        <v>2168</v>
      </c>
      <c r="D238" s="508">
        <v>46800</v>
      </c>
      <c r="E238" s="314"/>
      <c r="F238" s="644"/>
      <c r="G238" s="1166" t="s">
        <v>328</v>
      </c>
      <c r="H238" s="1166" t="s">
        <v>1211</v>
      </c>
      <c r="I238" s="1167" t="s">
        <v>329</v>
      </c>
      <c r="J238" s="1167" t="s">
        <v>2611</v>
      </c>
      <c r="K238" s="1168" t="s">
        <v>264</v>
      </c>
      <c r="L238" s="1169" t="s">
        <v>423</v>
      </c>
      <c r="M238" s="1340" t="s">
        <v>2598</v>
      </c>
      <c r="N238" s="1340" t="s">
        <v>1330</v>
      </c>
      <c r="O238" s="1600" t="s">
        <v>4371</v>
      </c>
      <c r="P238" s="642" t="s">
        <v>351</v>
      </c>
      <c r="Q238" s="323"/>
      <c r="R238" s="190"/>
      <c r="S238" s="448"/>
      <c r="T238" s="572" t="s">
        <v>61</v>
      </c>
      <c r="U238" s="572" t="s">
        <v>121</v>
      </c>
      <c r="W238" s="495" t="s">
        <v>1826</v>
      </c>
      <c r="X238" s="495" t="s">
        <v>3388</v>
      </c>
      <c r="Z238" s="495"/>
      <c r="AA238" s="27"/>
      <c r="AB238" s="27"/>
      <c r="AC238" s="1072"/>
      <c r="AD238" s="585"/>
    </row>
    <row r="239" spans="2:30" ht="10.5" customHeight="1">
      <c r="B239" s="314"/>
      <c r="C239" s="437" t="s">
        <v>2170</v>
      </c>
      <c r="D239" s="508">
        <v>45600</v>
      </c>
      <c r="E239" s="314"/>
      <c r="F239" s="644"/>
      <c r="G239" s="1166" t="s">
        <v>330</v>
      </c>
      <c r="H239" s="1166" t="s">
        <v>1211</v>
      </c>
      <c r="I239" s="1167" t="s">
        <v>331</v>
      </c>
      <c r="J239" s="1167" t="s">
        <v>2611</v>
      </c>
      <c r="K239" s="1168" t="s">
        <v>265</v>
      </c>
      <c r="L239" s="1169" t="s">
        <v>423</v>
      </c>
      <c r="M239" s="1340" t="s">
        <v>2598</v>
      </c>
      <c r="N239" s="1340" t="s">
        <v>1330</v>
      </c>
      <c r="O239" s="1600" t="s">
        <v>4372</v>
      </c>
      <c r="P239" s="642" t="s">
        <v>353</v>
      </c>
      <c r="Q239" s="323"/>
      <c r="R239" s="190"/>
      <c r="S239" s="448"/>
      <c r="T239" s="572" t="s">
        <v>352</v>
      </c>
      <c r="U239" s="572" t="s">
        <v>2184</v>
      </c>
      <c r="W239" s="495" t="s">
        <v>1894</v>
      </c>
      <c r="X239" s="495" t="s">
        <v>3388</v>
      </c>
      <c r="Z239" s="495"/>
      <c r="AA239" s="27"/>
      <c r="AB239" s="27"/>
      <c r="AC239" s="1072"/>
      <c r="AD239" s="585"/>
    </row>
    <row r="240" spans="2:30" ht="10.5" customHeight="1">
      <c r="B240" s="314"/>
      <c r="C240" s="437" t="s">
        <v>2173</v>
      </c>
      <c r="D240" s="508">
        <v>53200</v>
      </c>
      <c r="E240" s="314"/>
      <c r="F240" s="644"/>
      <c r="G240" s="1166" t="s">
        <v>332</v>
      </c>
      <c r="H240" s="1166" t="s">
        <v>1211</v>
      </c>
      <c r="I240" s="1167" t="s">
        <v>333</v>
      </c>
      <c r="J240" s="1167" t="s">
        <v>2611</v>
      </c>
      <c r="K240" s="1168" t="s">
        <v>266</v>
      </c>
      <c r="L240" s="1169" t="s">
        <v>423</v>
      </c>
      <c r="M240" s="1340" t="s">
        <v>2598</v>
      </c>
      <c r="N240" s="1340" t="s">
        <v>1320</v>
      </c>
      <c r="O240" s="1600" t="s">
        <v>4373</v>
      </c>
      <c r="P240" s="642" t="s">
        <v>355</v>
      </c>
      <c r="Q240" s="323"/>
      <c r="R240" s="190"/>
      <c r="S240" s="448"/>
      <c r="T240" s="572" t="s">
        <v>354</v>
      </c>
      <c r="U240" s="572" t="s">
        <v>953</v>
      </c>
      <c r="W240" s="495" t="s">
        <v>2243</v>
      </c>
      <c r="X240" s="495" t="s">
        <v>3388</v>
      </c>
      <c r="Z240" s="495"/>
      <c r="AA240" s="27"/>
      <c r="AB240" s="27"/>
      <c r="AC240" s="1072"/>
      <c r="AD240" s="585"/>
    </row>
    <row r="241" spans="2:30" ht="10.5" customHeight="1">
      <c r="B241" s="314"/>
      <c r="C241" s="436" t="s">
        <v>2175</v>
      </c>
      <c r="D241" s="508">
        <v>29000</v>
      </c>
      <c r="E241" s="314"/>
      <c r="F241" s="644"/>
      <c r="G241" s="1166" t="s">
        <v>428</v>
      </c>
      <c r="H241" s="1166" t="s">
        <v>1211</v>
      </c>
      <c r="I241" s="1170" t="s">
        <v>1320</v>
      </c>
      <c r="J241" s="1170" t="s">
        <v>2612</v>
      </c>
      <c r="K241" s="1168" t="s">
        <v>2578</v>
      </c>
      <c r="L241" s="1169" t="s">
        <v>424</v>
      </c>
      <c r="M241" s="1339" t="s">
        <v>2598</v>
      </c>
      <c r="N241" s="1339" t="s">
        <v>1320</v>
      </c>
      <c r="O241" s="1600" t="s">
        <v>4374</v>
      </c>
      <c r="P241" s="642" t="s">
        <v>2288</v>
      </c>
      <c r="Q241" s="323"/>
      <c r="R241" s="190"/>
      <c r="S241" s="448"/>
      <c r="T241" s="572" t="s">
        <v>356</v>
      </c>
      <c r="U241" s="572" t="s">
        <v>1091</v>
      </c>
      <c r="W241" s="495" t="s">
        <v>420</v>
      </c>
      <c r="X241" s="495" t="s">
        <v>3388</v>
      </c>
      <c r="Z241" s="495"/>
      <c r="AA241" s="27"/>
      <c r="AB241" s="27"/>
      <c r="AC241" s="1072"/>
      <c r="AD241" s="585"/>
    </row>
    <row r="242" spans="2:30" ht="10.5" customHeight="1">
      <c r="B242" s="314"/>
      <c r="C242" s="436" t="s">
        <v>2177</v>
      </c>
      <c r="D242" s="508">
        <v>41200</v>
      </c>
      <c r="E242" s="314"/>
      <c r="F242" s="644"/>
      <c r="G242" s="1166" t="s">
        <v>429</v>
      </c>
      <c r="H242" s="1166" t="s">
        <v>1311</v>
      </c>
      <c r="I242" s="1170" t="s">
        <v>767</v>
      </c>
      <c r="J242" s="1170" t="s">
        <v>2612</v>
      </c>
      <c r="K242" s="1168" t="s">
        <v>267</v>
      </c>
      <c r="L242" s="1169" t="s">
        <v>424</v>
      </c>
      <c r="M242" s="1339" t="s">
        <v>2598</v>
      </c>
      <c r="N242" s="1339" t="s">
        <v>1205</v>
      </c>
      <c r="O242" s="1600" t="s">
        <v>4375</v>
      </c>
      <c r="P242" s="642" t="s">
        <v>2290</v>
      </c>
      <c r="Q242" s="323"/>
      <c r="R242" s="190"/>
      <c r="S242" s="448"/>
      <c r="T242" s="572" t="s">
        <v>630</v>
      </c>
      <c r="U242" s="572" t="s">
        <v>1453</v>
      </c>
      <c r="W242" s="495" t="s">
        <v>2280</v>
      </c>
      <c r="X242" s="495" t="s">
        <v>3388</v>
      </c>
      <c r="Z242" s="495"/>
      <c r="AA242" s="27"/>
      <c r="AB242" s="27"/>
      <c r="AC242" s="1072"/>
      <c r="AD242" s="585"/>
    </row>
    <row r="243" spans="2:30" ht="10.5" customHeight="1">
      <c r="B243" s="314"/>
      <c r="C243" s="437" t="s">
        <v>2179</v>
      </c>
      <c r="D243" s="508">
        <v>45700</v>
      </c>
      <c r="E243" s="314"/>
      <c r="F243" s="644"/>
      <c r="G243" s="1166" t="s">
        <v>1452</v>
      </c>
      <c r="H243" s="1166" t="s">
        <v>1211</v>
      </c>
      <c r="I243" s="1167" t="s">
        <v>1696</v>
      </c>
      <c r="J243" s="1167" t="s">
        <v>2612</v>
      </c>
      <c r="K243" s="1168" t="s">
        <v>2581</v>
      </c>
      <c r="L243" s="1169" t="s">
        <v>424</v>
      </c>
      <c r="M243" s="1339" t="s">
        <v>2598</v>
      </c>
      <c r="N243" s="1339" t="s">
        <v>1696</v>
      </c>
      <c r="O243" s="1600" t="s">
        <v>4376</v>
      </c>
      <c r="P243" s="642" t="s">
        <v>2291</v>
      </c>
      <c r="Q243" s="323"/>
      <c r="R243" s="190"/>
      <c r="S243" s="448"/>
      <c r="T243" s="572" t="s">
        <v>2289</v>
      </c>
      <c r="U243" s="572" t="s">
        <v>669</v>
      </c>
      <c r="W243" s="495" t="s">
        <v>3378</v>
      </c>
      <c r="X243" s="495" t="s">
        <v>3388</v>
      </c>
      <c r="Z243" s="495"/>
      <c r="AA243" s="27"/>
      <c r="AB243" s="27"/>
      <c r="AC243" s="1072"/>
      <c r="AD243" s="585"/>
    </row>
    <row r="244" spans="2:30" ht="10.5" customHeight="1">
      <c r="B244" s="314"/>
      <c r="C244" s="437" t="s">
        <v>2181</v>
      </c>
      <c r="D244" s="508">
        <v>39200</v>
      </c>
      <c r="E244" s="314"/>
      <c r="F244" s="644"/>
      <c r="G244" s="1166" t="s">
        <v>1453</v>
      </c>
      <c r="H244" s="1166" t="s">
        <v>1311</v>
      </c>
      <c r="I244" s="1167" t="s">
        <v>1454</v>
      </c>
      <c r="J244" s="1167" t="s">
        <v>2611</v>
      </c>
      <c r="K244" s="1168" t="s">
        <v>268</v>
      </c>
      <c r="L244" s="1169" t="s">
        <v>423</v>
      </c>
      <c r="M244" s="1340" t="s">
        <v>2598</v>
      </c>
      <c r="N244" s="1340" t="s">
        <v>1320</v>
      </c>
      <c r="O244" s="1600" t="s">
        <v>4377</v>
      </c>
      <c r="P244" s="642" t="s">
        <v>2292</v>
      </c>
      <c r="Q244" s="323"/>
      <c r="R244" s="190"/>
      <c r="S244" s="448"/>
      <c r="T244" s="572" t="s">
        <v>1332</v>
      </c>
      <c r="U244" s="572" t="s">
        <v>667</v>
      </c>
      <c r="W244" s="495" t="s">
        <v>674</v>
      </c>
      <c r="X244" s="495" t="s">
        <v>3388</v>
      </c>
      <c r="Z244" s="495"/>
      <c r="AA244" s="27"/>
      <c r="AB244" s="27"/>
      <c r="AC244" s="1072"/>
      <c r="AD244" s="585"/>
    </row>
    <row r="245" spans="2:30" ht="10.5" customHeight="1">
      <c r="B245" s="314"/>
      <c r="C245" s="437" t="s">
        <v>2183</v>
      </c>
      <c r="D245" s="508">
        <v>46300</v>
      </c>
      <c r="E245" s="314"/>
      <c r="F245" s="644"/>
      <c r="G245" s="1166" t="s">
        <v>1455</v>
      </c>
      <c r="H245" s="1166" t="s">
        <v>1211</v>
      </c>
      <c r="I245" s="1170" t="s">
        <v>1782</v>
      </c>
      <c r="J245" s="1170" t="s">
        <v>2612</v>
      </c>
      <c r="K245" s="1168" t="s">
        <v>1161</v>
      </c>
      <c r="L245" s="1169" t="s">
        <v>424</v>
      </c>
      <c r="M245" s="1339" t="s">
        <v>2598</v>
      </c>
      <c r="N245" s="1339" t="s">
        <v>1782</v>
      </c>
      <c r="O245" s="1600" t="s">
        <v>4378</v>
      </c>
      <c r="P245" s="642" t="s">
        <v>1559</v>
      </c>
      <c r="Q245" s="323"/>
      <c r="R245" s="190"/>
      <c r="S245" s="448"/>
      <c r="T245" s="572" t="s">
        <v>2848</v>
      </c>
      <c r="U245" s="572" t="s">
        <v>669</v>
      </c>
      <c r="W245" s="495" t="s">
        <v>2387</v>
      </c>
      <c r="X245" s="495" t="s">
        <v>3388</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2612</v>
      </c>
      <c r="K246" s="1168" t="s">
        <v>269</v>
      </c>
      <c r="L246" s="1169" t="s">
        <v>424</v>
      </c>
      <c r="M246" s="1340" t="s">
        <v>1196</v>
      </c>
      <c r="N246" s="1340" t="s">
        <v>1326</v>
      </c>
      <c r="O246" s="1600" t="s">
        <v>4379</v>
      </c>
      <c r="P246" s="642" t="s">
        <v>1561</v>
      </c>
      <c r="Q246" s="323"/>
      <c r="R246" s="190"/>
      <c r="S246" s="448"/>
      <c r="T246" s="572" t="s">
        <v>2293</v>
      </c>
      <c r="U246" s="572" t="s">
        <v>104</v>
      </c>
      <c r="W246" s="495" t="s">
        <v>220</v>
      </c>
      <c r="X246" s="495" t="s">
        <v>3388</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2612</v>
      </c>
      <c r="K247" s="1168" t="s">
        <v>3739</v>
      </c>
      <c r="L247" s="1169" t="s">
        <v>424</v>
      </c>
      <c r="M247" s="1340" t="s">
        <v>2598</v>
      </c>
      <c r="N247" s="1340" t="s">
        <v>1330</v>
      </c>
      <c r="O247" s="1600" t="s">
        <v>4380</v>
      </c>
      <c r="P247" s="642" t="s">
        <v>1563</v>
      </c>
      <c r="Q247" s="323"/>
      <c r="R247" s="190"/>
      <c r="S247" s="448"/>
      <c r="T247" s="572" t="s">
        <v>1560</v>
      </c>
      <c r="U247" s="572" t="s">
        <v>1633</v>
      </c>
      <c r="W247" s="495" t="s">
        <v>659</v>
      </c>
      <c r="X247" s="495" t="s">
        <v>3388</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2612</v>
      </c>
      <c r="K248" s="1168" t="s">
        <v>693</v>
      </c>
      <c r="L248" s="1169" t="s">
        <v>424</v>
      </c>
      <c r="M248" s="1339" t="s">
        <v>2598</v>
      </c>
      <c r="N248" s="1339" t="s">
        <v>1326</v>
      </c>
      <c r="O248" s="1600" t="s">
        <v>4381</v>
      </c>
      <c r="P248" s="642" t="s">
        <v>1565</v>
      </c>
      <c r="Q248" s="323"/>
      <c r="R248" s="190"/>
      <c r="S248" s="448"/>
      <c r="T248" s="572" t="s">
        <v>2563</v>
      </c>
      <c r="U248" s="572" t="s">
        <v>628</v>
      </c>
      <c r="W248" s="495" t="s">
        <v>234</v>
      </c>
      <c r="X248" s="495" t="s">
        <v>3388</v>
      </c>
      <c r="Z248" s="495"/>
      <c r="AA248" s="27"/>
      <c r="AB248" s="27"/>
      <c r="AC248" s="1072"/>
      <c r="AD248" s="585"/>
    </row>
    <row r="249" spans="2:30" ht="10.5" customHeight="1">
      <c r="B249" s="314"/>
      <c r="C249" s="437" t="s">
        <v>1907</v>
      </c>
      <c r="D249" s="508">
        <v>49900</v>
      </c>
      <c r="E249" s="314"/>
      <c r="F249" s="644"/>
      <c r="G249" s="1166" t="s">
        <v>175</v>
      </c>
      <c r="H249" s="1166" t="s">
        <v>1211</v>
      </c>
      <c r="I249" s="1167" t="s">
        <v>1696</v>
      </c>
      <c r="J249" s="1167" t="s">
        <v>2612</v>
      </c>
      <c r="K249" s="1168" t="s">
        <v>2581</v>
      </c>
      <c r="L249" s="1169" t="s">
        <v>424</v>
      </c>
      <c r="M249" s="1340" t="s">
        <v>1196</v>
      </c>
      <c r="N249" s="1340" t="s">
        <v>1696</v>
      </c>
      <c r="O249" s="1600" t="s">
        <v>4382</v>
      </c>
      <c r="P249" s="642" t="s">
        <v>1567</v>
      </c>
      <c r="Q249" s="323"/>
      <c r="R249" s="190"/>
      <c r="S249" s="448"/>
      <c r="T249" s="572" t="s">
        <v>1562</v>
      </c>
      <c r="U249" s="572" t="s">
        <v>660</v>
      </c>
      <c r="W249" s="495" t="s">
        <v>660</v>
      </c>
      <c r="X249" s="495" t="s">
        <v>3388</v>
      </c>
      <c r="Z249" s="495"/>
      <c r="AA249" s="27"/>
      <c r="AB249" s="27"/>
      <c r="AC249" s="1072"/>
      <c r="AD249" s="585"/>
    </row>
    <row r="250" spans="2:30" ht="10.5" customHeight="1">
      <c r="B250" s="314"/>
      <c r="C250" s="436" t="s">
        <v>1909</v>
      </c>
      <c r="D250" s="508">
        <v>48700</v>
      </c>
      <c r="E250" s="314"/>
      <c r="F250" s="644"/>
      <c r="G250" s="1166" t="s">
        <v>176</v>
      </c>
      <c r="H250" s="1166" t="s">
        <v>1311</v>
      </c>
      <c r="I250" s="1170" t="s">
        <v>177</v>
      </c>
      <c r="J250" s="1170" t="s">
        <v>2611</v>
      </c>
      <c r="K250" s="1168" t="s">
        <v>694</v>
      </c>
      <c r="L250" s="1169" t="s">
        <v>423</v>
      </c>
      <c r="M250" s="1340" t="s">
        <v>2598</v>
      </c>
      <c r="N250" s="1340" t="s">
        <v>1205</v>
      </c>
      <c r="O250" s="1600" t="s">
        <v>4383</v>
      </c>
      <c r="P250" s="642" t="s">
        <v>1742</v>
      </c>
      <c r="Q250" s="323"/>
      <c r="R250" s="190"/>
      <c r="S250" s="448"/>
      <c r="T250" s="572" t="s">
        <v>2849</v>
      </c>
      <c r="U250" s="572" t="s">
        <v>2241</v>
      </c>
      <c r="W250" s="495" t="s">
        <v>787</v>
      </c>
      <c r="X250" s="495" t="s">
        <v>3388</v>
      </c>
      <c r="Z250" s="495"/>
      <c r="AA250" s="27"/>
      <c r="AB250" s="27"/>
      <c r="AC250" s="1072"/>
      <c r="AD250" s="585"/>
    </row>
    <row r="251" spans="2:30" ht="10.5" customHeight="1">
      <c r="B251" s="314"/>
      <c r="C251" s="436" t="s">
        <v>1911</v>
      </c>
      <c r="D251" s="508">
        <v>50200</v>
      </c>
      <c r="E251" s="314"/>
      <c r="F251" s="644"/>
      <c r="G251" s="1166" t="s">
        <v>1320</v>
      </c>
      <c r="H251" s="1166" t="s">
        <v>1211</v>
      </c>
      <c r="I251" s="1167" t="s">
        <v>178</v>
      </c>
      <c r="J251" s="1167" t="s">
        <v>2611</v>
      </c>
      <c r="K251" s="1168" t="s">
        <v>695</v>
      </c>
      <c r="L251" s="1169" t="s">
        <v>423</v>
      </c>
      <c r="M251" s="1340" t="s">
        <v>2598</v>
      </c>
      <c r="N251" s="1340" t="s">
        <v>1320</v>
      </c>
      <c r="O251" s="1600" t="s">
        <v>4384</v>
      </c>
      <c r="P251" s="642" t="s">
        <v>1744</v>
      </c>
      <c r="Q251" s="323"/>
      <c r="R251" s="190"/>
      <c r="S251" s="448"/>
      <c r="T251" s="572" t="s">
        <v>1564</v>
      </c>
      <c r="U251" s="572" t="s">
        <v>164</v>
      </c>
      <c r="W251" s="495" t="s">
        <v>3379</v>
      </c>
      <c r="X251" s="495" t="s">
        <v>3388</v>
      </c>
      <c r="Z251" s="495"/>
      <c r="AA251" s="27"/>
      <c r="AB251" s="27"/>
      <c r="AC251" s="1072"/>
      <c r="AD251" s="585"/>
    </row>
    <row r="252" spans="2:30" ht="10.5" customHeight="1">
      <c r="B252" s="314"/>
      <c r="C252" s="436" t="s">
        <v>1913</v>
      </c>
      <c r="D252" s="508">
        <v>55400</v>
      </c>
      <c r="E252" s="314"/>
      <c r="F252" s="644"/>
      <c r="G252" s="1166" t="s">
        <v>179</v>
      </c>
      <c r="H252" s="1166" t="s">
        <v>1311</v>
      </c>
      <c r="I252" s="1167" t="s">
        <v>2042</v>
      </c>
      <c r="J252" s="1167" t="s">
        <v>2612</v>
      </c>
      <c r="K252" s="1168" t="s">
        <v>620</v>
      </c>
      <c r="L252" s="1169" t="s">
        <v>424</v>
      </c>
      <c r="M252" s="1339" t="s">
        <v>2598</v>
      </c>
      <c r="N252" s="1339" t="s">
        <v>166</v>
      </c>
      <c r="O252" s="1600" t="s">
        <v>4385</v>
      </c>
      <c r="P252" s="642" t="s">
        <v>1746</v>
      </c>
      <c r="Q252" s="323"/>
      <c r="R252" s="190"/>
      <c r="S252" s="448"/>
      <c r="T252" s="572" t="s">
        <v>1566</v>
      </c>
      <c r="U252" s="572" t="s">
        <v>1313</v>
      </c>
      <c r="W252" s="495" t="s">
        <v>3380</v>
      </c>
      <c r="X252" s="495" t="s">
        <v>3388</v>
      </c>
      <c r="Z252" s="495"/>
      <c r="AA252" s="27"/>
      <c r="AB252" s="27"/>
      <c r="AC252" s="1072"/>
      <c r="AD252" s="585"/>
    </row>
    <row r="253" spans="2:30" ht="10.5" customHeight="1">
      <c r="B253" s="314"/>
      <c r="C253" s="436" t="s">
        <v>1915</v>
      </c>
      <c r="D253" s="508">
        <v>50500</v>
      </c>
      <c r="E253" s="314"/>
      <c r="F253" s="644"/>
      <c r="G253" s="1166" t="s">
        <v>357</v>
      </c>
      <c r="H253" s="1166" t="s">
        <v>1211</v>
      </c>
      <c r="I253" s="1170" t="s">
        <v>161</v>
      </c>
      <c r="J253" s="1170" t="s">
        <v>2612</v>
      </c>
      <c r="K253" s="1168" t="s">
        <v>1682</v>
      </c>
      <c r="L253" s="1169" t="s">
        <v>424</v>
      </c>
      <c r="M253" s="1339" t="s">
        <v>2598</v>
      </c>
      <c r="N253" s="1339" t="s">
        <v>161</v>
      </c>
      <c r="O253" s="1600" t="s">
        <v>4386</v>
      </c>
      <c r="P253" s="642" t="s">
        <v>1023</v>
      </c>
      <c r="Q253" s="323"/>
      <c r="R253" s="190"/>
      <c r="S253" s="448"/>
      <c r="T253" s="572" t="s">
        <v>1568</v>
      </c>
      <c r="U253" s="572" t="s">
        <v>179</v>
      </c>
      <c r="W253" s="495" t="s">
        <v>1221</v>
      </c>
      <c r="X253" s="495" t="s">
        <v>3388</v>
      </c>
      <c r="Z253" s="495"/>
      <c r="AA253" s="27"/>
      <c r="AB253" s="27"/>
      <c r="AC253" s="1072"/>
      <c r="AD253" s="585"/>
    </row>
    <row r="254" spans="2:30" ht="10.5" customHeight="1">
      <c r="B254" s="314"/>
      <c r="C254" s="436" t="s">
        <v>1917</v>
      </c>
      <c r="D254" s="508">
        <v>40200</v>
      </c>
      <c r="E254" s="314"/>
      <c r="F254" s="644"/>
      <c r="G254" s="1166" t="s">
        <v>1875</v>
      </c>
      <c r="H254" s="1166" t="s">
        <v>1311</v>
      </c>
      <c r="I254" s="1170" t="s">
        <v>765</v>
      </c>
      <c r="J254" s="1170" t="s">
        <v>2612</v>
      </c>
      <c r="K254" s="1168" t="s">
        <v>2597</v>
      </c>
      <c r="L254" s="1169" t="s">
        <v>424</v>
      </c>
      <c r="M254" s="1339" t="s">
        <v>2598</v>
      </c>
      <c r="N254" s="1339" t="s">
        <v>1330</v>
      </c>
      <c r="O254" s="1600" t="s">
        <v>4387</v>
      </c>
      <c r="P254" s="642" t="s">
        <v>1024</v>
      </c>
      <c r="Q254" s="323"/>
      <c r="R254" s="190"/>
      <c r="S254" s="448"/>
      <c r="T254" s="572" t="s">
        <v>1743</v>
      </c>
      <c r="U254" s="572" t="s">
        <v>660</v>
      </c>
      <c r="W254" s="495" t="s">
        <v>680</v>
      </c>
      <c r="X254" s="495" t="s">
        <v>3388</v>
      </c>
      <c r="Z254" s="495"/>
      <c r="AA254" s="27"/>
      <c r="AB254" s="27"/>
      <c r="AC254" s="1072"/>
      <c r="AD254" s="585"/>
    </row>
    <row r="255" spans="2:30" ht="10.5" customHeight="1">
      <c r="B255" s="314"/>
      <c r="C255" s="437" t="s">
        <v>1920</v>
      </c>
      <c r="D255" s="508">
        <v>53000</v>
      </c>
      <c r="E255" s="314"/>
      <c r="F255" s="644"/>
      <c r="G255" s="1166" t="s">
        <v>1876</v>
      </c>
      <c r="H255" s="1166" t="s">
        <v>1211</v>
      </c>
      <c r="I255" s="1167" t="s">
        <v>11</v>
      </c>
      <c r="J255" s="1167" t="s">
        <v>2612</v>
      </c>
      <c r="K255" s="1168" t="s">
        <v>2580</v>
      </c>
      <c r="L255" s="1169" t="s">
        <v>424</v>
      </c>
      <c r="M255" s="1339" t="s">
        <v>2598</v>
      </c>
      <c r="N255" s="1339" t="s">
        <v>1326</v>
      </c>
      <c r="O255" s="1600" t="s">
        <v>4388</v>
      </c>
      <c r="P255" s="642" t="s">
        <v>236</v>
      </c>
      <c r="Q255" s="323"/>
      <c r="R255" s="190"/>
      <c r="S255" s="448"/>
      <c r="T255" s="572" t="s">
        <v>1745</v>
      </c>
      <c r="U255" s="572" t="s">
        <v>733</v>
      </c>
      <c r="W255" s="495" t="s">
        <v>667</v>
      </c>
      <c r="X255" s="495" t="s">
        <v>3388</v>
      </c>
      <c r="Z255" s="495"/>
      <c r="AA255" s="27"/>
      <c r="AB255" s="27"/>
      <c r="AC255" s="1072"/>
      <c r="AD255" s="585"/>
    </row>
    <row r="256" spans="2:30" ht="10.5" customHeight="1">
      <c r="B256" s="314"/>
      <c r="C256" s="436" t="s">
        <v>2005</v>
      </c>
      <c r="D256" s="508">
        <v>48700</v>
      </c>
      <c r="E256" s="314"/>
      <c r="F256" s="644"/>
      <c r="G256" s="1166" t="s">
        <v>1877</v>
      </c>
      <c r="H256" s="1166" t="s">
        <v>1211</v>
      </c>
      <c r="I256" s="1170" t="s">
        <v>769</v>
      </c>
      <c r="J256" s="1170" t="s">
        <v>2612</v>
      </c>
      <c r="K256" s="1168" t="s">
        <v>696</v>
      </c>
      <c r="L256" s="1169" t="s">
        <v>424</v>
      </c>
      <c r="M256" s="1339" t="s">
        <v>2598</v>
      </c>
      <c r="N256" s="1339" t="s">
        <v>1205</v>
      </c>
      <c r="O256" s="1600" t="s">
        <v>4389</v>
      </c>
      <c r="P256" s="642" t="s">
        <v>238</v>
      </c>
      <c r="Q256" s="323"/>
      <c r="R256" s="190"/>
      <c r="S256" s="448"/>
      <c r="T256" s="572" t="s">
        <v>1022</v>
      </c>
      <c r="U256" s="572" t="s">
        <v>1314</v>
      </c>
      <c r="W256" s="495" t="s">
        <v>981</v>
      </c>
      <c r="X256" s="495" t="s">
        <v>3388</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2611</v>
      </c>
      <c r="K257" s="1168" t="s">
        <v>697</v>
      </c>
      <c r="L257" s="1169" t="s">
        <v>423</v>
      </c>
      <c r="M257" s="1340" t="s">
        <v>2598</v>
      </c>
      <c r="N257" s="1340" t="s">
        <v>1782</v>
      </c>
      <c r="O257" s="1600" t="s">
        <v>4390</v>
      </c>
      <c r="P257" s="642" t="s">
        <v>1263</v>
      </c>
      <c r="Q257" s="323"/>
      <c r="R257" s="190"/>
      <c r="S257" s="448"/>
      <c r="T257" s="572" t="s">
        <v>1025</v>
      </c>
      <c r="U257" s="572" t="s">
        <v>658</v>
      </c>
      <c r="W257" s="495" t="s">
        <v>985</v>
      </c>
      <c r="X257" s="495" t="s">
        <v>3388</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2611</v>
      </c>
      <c r="K258" s="1168" t="s">
        <v>698</v>
      </c>
      <c r="L258" s="1169" t="s">
        <v>423</v>
      </c>
      <c r="M258" s="1340" t="s">
        <v>2598</v>
      </c>
      <c r="N258" s="1340" t="s">
        <v>1782</v>
      </c>
      <c r="O258" s="1600" t="s">
        <v>4391</v>
      </c>
      <c r="P258" s="642" t="s">
        <v>2058</v>
      </c>
      <c r="Q258" s="323"/>
      <c r="R258" s="190"/>
      <c r="S258" s="448"/>
      <c r="T258" s="572" t="s">
        <v>237</v>
      </c>
      <c r="U258" s="572" t="s">
        <v>2528</v>
      </c>
      <c r="W258" s="495" t="s">
        <v>987</v>
      </c>
      <c r="X258" s="495" t="s">
        <v>3388</v>
      </c>
      <c r="Z258" s="495"/>
      <c r="AA258" s="27"/>
      <c r="AB258" s="27"/>
      <c r="AC258" s="1072"/>
      <c r="AD258" s="585"/>
    </row>
    <row r="259" spans="2:30" ht="10.5" customHeight="1">
      <c r="B259" s="314"/>
      <c r="C259" s="436" t="s">
        <v>1709</v>
      </c>
      <c r="D259" s="508">
        <v>67000</v>
      </c>
      <c r="E259" s="314"/>
      <c r="F259" s="644"/>
      <c r="G259" s="1166" t="s">
        <v>1635</v>
      </c>
      <c r="H259" s="1166" t="s">
        <v>1311</v>
      </c>
      <c r="I259" s="1170" t="s">
        <v>2041</v>
      </c>
      <c r="J259" s="1170" t="s">
        <v>2612</v>
      </c>
      <c r="K259" s="1168" t="s">
        <v>699</v>
      </c>
      <c r="L259" s="1169" t="s">
        <v>424</v>
      </c>
      <c r="M259" s="1339" t="s">
        <v>2598</v>
      </c>
      <c r="N259" s="1339" t="s">
        <v>1205</v>
      </c>
      <c r="O259" s="1600" t="s">
        <v>4392</v>
      </c>
      <c r="P259" s="642" t="s">
        <v>2060</v>
      </c>
      <c r="Q259" s="323"/>
      <c r="R259" s="190"/>
      <c r="S259" s="448"/>
      <c r="T259" s="572" t="s">
        <v>2850</v>
      </c>
      <c r="U259" s="572" t="s">
        <v>874</v>
      </c>
      <c r="W259" s="495" t="s">
        <v>574</v>
      </c>
      <c r="X259" s="495" t="s">
        <v>3388</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2611</v>
      </c>
      <c r="K260" s="1168" t="s">
        <v>700</v>
      </c>
      <c r="L260" s="1169" t="s">
        <v>423</v>
      </c>
      <c r="M260" s="1340" t="s">
        <v>2598</v>
      </c>
      <c r="N260" s="1340" t="s">
        <v>1326</v>
      </c>
      <c r="O260" s="1600" t="s">
        <v>4393</v>
      </c>
      <c r="P260" s="642" t="s">
        <v>2062</v>
      </c>
      <c r="Q260" s="323"/>
      <c r="R260" s="190"/>
      <c r="S260" s="448"/>
      <c r="T260" s="643" t="s">
        <v>1758</v>
      </c>
      <c r="U260" s="643" t="s">
        <v>1097</v>
      </c>
      <c r="W260" s="495" t="s">
        <v>372</v>
      </c>
      <c r="X260" s="495" t="s">
        <v>3388</v>
      </c>
      <c r="Z260" s="495"/>
      <c r="AA260" s="27"/>
      <c r="AB260" s="27"/>
      <c r="AC260" s="1072"/>
      <c r="AD260" s="585"/>
    </row>
    <row r="261" spans="2:30" ht="10.5" customHeight="1">
      <c r="B261" s="314"/>
      <c r="C261" s="436" t="s">
        <v>107</v>
      </c>
      <c r="D261" s="508">
        <v>49600</v>
      </c>
      <c r="F261" s="644"/>
      <c r="G261" s="1166" t="s">
        <v>2583</v>
      </c>
      <c r="H261" s="1166" t="s">
        <v>1311</v>
      </c>
      <c r="I261" s="1170" t="s">
        <v>2584</v>
      </c>
      <c r="J261" s="1167" t="s">
        <v>2612</v>
      </c>
      <c r="K261" s="1168" t="s">
        <v>3738</v>
      </c>
      <c r="L261" s="1169" t="s">
        <v>424</v>
      </c>
      <c r="M261" s="1340" t="s">
        <v>2598</v>
      </c>
      <c r="N261" s="1340" t="s">
        <v>1205</v>
      </c>
      <c r="O261" s="1600" t="s">
        <v>4394</v>
      </c>
      <c r="P261" s="642" t="s">
        <v>2064</v>
      </c>
      <c r="Q261" s="323"/>
      <c r="R261" s="190"/>
      <c r="S261" s="448"/>
      <c r="T261" s="572" t="s">
        <v>2059</v>
      </c>
      <c r="U261" s="572" t="s">
        <v>320</v>
      </c>
      <c r="W261" s="495" t="s">
        <v>1595</v>
      </c>
      <c r="X261" s="495" t="s">
        <v>3388</v>
      </c>
      <c r="Z261" s="495"/>
      <c r="AA261" s="27"/>
      <c r="AB261" s="27"/>
      <c r="AC261" s="1073"/>
      <c r="AD261" s="585"/>
    </row>
    <row r="262" spans="2:30" ht="10.5" customHeight="1">
      <c r="B262" s="314"/>
      <c r="C262" s="436" t="s">
        <v>109</v>
      </c>
      <c r="D262" s="508">
        <v>51300</v>
      </c>
      <c r="F262" s="644"/>
      <c r="G262" s="1166" t="s">
        <v>2585</v>
      </c>
      <c r="H262" s="1166" t="s">
        <v>1311</v>
      </c>
      <c r="I262" s="1167" t="s">
        <v>2586</v>
      </c>
      <c r="J262" s="1167" t="s">
        <v>2612</v>
      </c>
      <c r="K262" s="1168" t="s">
        <v>1951</v>
      </c>
      <c r="L262" s="1169" t="s">
        <v>424</v>
      </c>
      <c r="M262" s="1339" t="s">
        <v>2598</v>
      </c>
      <c r="N262" s="1339" t="s">
        <v>1205</v>
      </c>
      <c r="O262" s="1600" t="s">
        <v>4395</v>
      </c>
      <c r="P262" s="642" t="s">
        <v>2066</v>
      </c>
      <c r="Q262" s="323"/>
      <c r="R262" s="190"/>
      <c r="S262" s="448"/>
      <c r="T262" s="572" t="s">
        <v>2061</v>
      </c>
      <c r="U262" s="572" t="s">
        <v>318</v>
      </c>
      <c r="W262" s="495" t="s">
        <v>1009</v>
      </c>
      <c r="X262" s="495" t="s">
        <v>3388</v>
      </c>
      <c r="Z262" s="495"/>
      <c r="AA262" s="27"/>
      <c r="AB262" s="27"/>
      <c r="AC262" s="1072"/>
      <c r="AD262" s="585"/>
    </row>
    <row r="263" spans="2:30" ht="10.5" customHeight="1">
      <c r="B263" s="314"/>
      <c r="C263" s="436" t="s">
        <v>111</v>
      </c>
      <c r="D263" s="508">
        <v>51500</v>
      </c>
      <c r="F263" s="644"/>
      <c r="G263" s="1166" t="s">
        <v>2587</v>
      </c>
      <c r="H263" s="1166" t="s">
        <v>1796</v>
      </c>
      <c r="I263" s="1170" t="s">
        <v>161</v>
      </c>
      <c r="J263" s="1170" t="s">
        <v>2612</v>
      </c>
      <c r="K263" s="1168" t="s">
        <v>1682</v>
      </c>
      <c r="L263" s="1169" t="s">
        <v>424</v>
      </c>
      <c r="M263" s="1340" t="s">
        <v>1196</v>
      </c>
      <c r="N263" s="1340" t="s">
        <v>161</v>
      </c>
      <c r="O263" s="1600" t="s">
        <v>4396</v>
      </c>
      <c r="P263" s="642" t="s">
        <v>2068</v>
      </c>
      <c r="Q263" s="323"/>
      <c r="R263" s="190"/>
      <c r="S263" s="448"/>
      <c r="T263" s="572" t="s">
        <v>2063</v>
      </c>
      <c r="U263" s="572" t="s">
        <v>628</v>
      </c>
      <c r="W263" s="495" t="s">
        <v>1011</v>
      </c>
      <c r="X263" s="495" t="s">
        <v>3388</v>
      </c>
      <c r="Z263" s="495"/>
      <c r="AA263" s="27"/>
      <c r="AB263" s="27"/>
      <c r="AC263" s="1072"/>
      <c r="AD263" s="585"/>
    </row>
    <row r="264" spans="2:30" ht="10.5" customHeight="1">
      <c r="B264" s="314"/>
      <c r="C264" s="436" t="s">
        <v>113</v>
      </c>
      <c r="D264" s="508">
        <v>34600</v>
      </c>
      <c r="F264" s="644"/>
      <c r="G264" s="1166" t="s">
        <v>2588</v>
      </c>
      <c r="H264" s="1166" t="s">
        <v>1311</v>
      </c>
      <c r="I264" s="1170" t="s">
        <v>764</v>
      </c>
      <c r="J264" s="1170" t="s">
        <v>2612</v>
      </c>
      <c r="K264" s="1168" t="s">
        <v>2575</v>
      </c>
      <c r="L264" s="1169" t="s">
        <v>424</v>
      </c>
      <c r="M264" s="1339" t="s">
        <v>1196</v>
      </c>
      <c r="N264" s="1339" t="s">
        <v>1205</v>
      </c>
      <c r="O264" s="1600" t="s">
        <v>4397</v>
      </c>
      <c r="P264" s="642" t="s">
        <v>675</v>
      </c>
      <c r="Q264" s="323"/>
      <c r="R264" s="190"/>
      <c r="S264" s="448"/>
      <c r="T264" s="572" t="s">
        <v>2065</v>
      </c>
      <c r="U264" s="572" t="s">
        <v>2585</v>
      </c>
      <c r="W264" s="495" t="s">
        <v>1679</v>
      </c>
      <c r="X264" s="495" t="s">
        <v>3388</v>
      </c>
      <c r="Z264" s="495"/>
      <c r="AA264" s="27"/>
      <c r="AB264" s="27"/>
      <c r="AC264" s="1072"/>
      <c r="AD264" s="585"/>
    </row>
    <row r="265" spans="2:30" ht="10.5" customHeight="1">
      <c r="B265" s="314"/>
      <c r="C265" s="436" t="s">
        <v>115</v>
      </c>
      <c r="D265" s="508">
        <v>50500</v>
      </c>
      <c r="F265" s="644"/>
      <c r="G265" s="1166" t="s">
        <v>2589</v>
      </c>
      <c r="H265" s="1166" t="s">
        <v>1311</v>
      </c>
      <c r="I265" s="1167" t="s">
        <v>2042</v>
      </c>
      <c r="J265" s="1167" t="s">
        <v>2612</v>
      </c>
      <c r="K265" s="1168" t="s">
        <v>620</v>
      </c>
      <c r="L265" s="1169" t="s">
        <v>424</v>
      </c>
      <c r="M265" s="1339" t="s">
        <v>2598</v>
      </c>
      <c r="N265" s="1339" t="s">
        <v>166</v>
      </c>
      <c r="O265" s="1600" t="s">
        <v>4398</v>
      </c>
      <c r="P265" s="642" t="s">
        <v>2327</v>
      </c>
      <c r="Q265" s="323"/>
      <c r="R265" s="190"/>
      <c r="S265" s="448"/>
      <c r="T265" s="572" t="s">
        <v>4738</v>
      </c>
      <c r="U265" s="572" t="s">
        <v>1206</v>
      </c>
      <c r="W265" s="495" t="s">
        <v>866</v>
      </c>
      <c r="X265" s="495" t="s">
        <v>3388</v>
      </c>
      <c r="Z265" s="495"/>
      <c r="AA265" s="27"/>
      <c r="AB265" s="27"/>
      <c r="AC265" s="1072"/>
      <c r="AD265" s="585"/>
    </row>
    <row r="266" spans="2:30" ht="10.5" customHeight="1">
      <c r="B266" s="314"/>
      <c r="C266" s="436" t="s">
        <v>2395</v>
      </c>
      <c r="D266" s="508">
        <v>43700</v>
      </c>
      <c r="F266" s="644"/>
      <c r="G266" s="1166" t="s">
        <v>2590</v>
      </c>
      <c r="H266" s="1166" t="s">
        <v>1311</v>
      </c>
      <c r="I266" s="1167" t="s">
        <v>2042</v>
      </c>
      <c r="J266" s="1167" t="s">
        <v>2612</v>
      </c>
      <c r="K266" s="1168" t="s">
        <v>620</v>
      </c>
      <c r="L266" s="1169" t="s">
        <v>424</v>
      </c>
      <c r="M266" s="1339" t="s">
        <v>2598</v>
      </c>
      <c r="N266" s="1339" t="s">
        <v>166</v>
      </c>
      <c r="O266" s="1600" t="s">
        <v>4399</v>
      </c>
      <c r="P266" s="642" t="s">
        <v>2328</v>
      </c>
      <c r="Q266" s="323"/>
      <c r="R266" s="190"/>
      <c r="S266" s="448"/>
      <c r="T266" s="572" t="s">
        <v>2564</v>
      </c>
      <c r="U266" s="572" t="s">
        <v>2006</v>
      </c>
      <c r="W266" s="495" t="s">
        <v>1740</v>
      </c>
      <c r="X266" s="495" t="s">
        <v>3388</v>
      </c>
      <c r="Z266" s="495"/>
      <c r="AA266" s="27"/>
      <c r="AB266" s="27"/>
      <c r="AC266" s="1072"/>
      <c r="AD266" s="585"/>
    </row>
    <row r="267" spans="2:30" ht="10.5" customHeight="1">
      <c r="B267" s="314"/>
      <c r="C267" s="436" t="s">
        <v>2397</v>
      </c>
      <c r="D267" s="508">
        <v>46700</v>
      </c>
      <c r="F267" s="644"/>
      <c r="G267" s="1166" t="s">
        <v>2591</v>
      </c>
      <c r="H267" s="1166" t="s">
        <v>1311</v>
      </c>
      <c r="I267" s="1170" t="s">
        <v>764</v>
      </c>
      <c r="J267" s="1170" t="s">
        <v>2612</v>
      </c>
      <c r="K267" s="1168" t="s">
        <v>2575</v>
      </c>
      <c r="L267" s="1169" t="s">
        <v>424</v>
      </c>
      <c r="M267" s="1339" t="s">
        <v>1196</v>
      </c>
      <c r="N267" s="1339" t="s">
        <v>1205</v>
      </c>
      <c r="O267" s="1600" t="s">
        <v>4400</v>
      </c>
      <c r="P267" s="642" t="s">
        <v>1246</v>
      </c>
      <c r="Q267" s="323"/>
      <c r="R267" s="190"/>
      <c r="S267" s="448"/>
      <c r="T267" s="572" t="s">
        <v>2067</v>
      </c>
      <c r="U267" s="572" t="s">
        <v>199</v>
      </c>
      <c r="W267" s="495" t="s">
        <v>631</v>
      </c>
      <c r="X267" s="495" t="s">
        <v>3388</v>
      </c>
      <c r="Z267" s="495"/>
      <c r="AA267" s="27"/>
      <c r="AB267" s="27"/>
      <c r="AC267" s="1072"/>
      <c r="AD267" s="585"/>
    </row>
    <row r="268" spans="2:30" ht="10.5" customHeight="1">
      <c r="B268" s="314"/>
      <c r="C268" s="436" t="s">
        <v>2399</v>
      </c>
      <c r="D268" s="508">
        <v>48000</v>
      </c>
      <c r="F268" s="644"/>
      <c r="G268" s="1166" t="s">
        <v>1091</v>
      </c>
      <c r="H268" s="1166" t="s">
        <v>1311</v>
      </c>
      <c r="I268" s="1170" t="s">
        <v>1092</v>
      </c>
      <c r="J268" s="1170" t="s">
        <v>2612</v>
      </c>
      <c r="K268" s="1168" t="s">
        <v>1952</v>
      </c>
      <c r="L268" s="1169" t="s">
        <v>424</v>
      </c>
      <c r="M268" s="1340" t="s">
        <v>2598</v>
      </c>
      <c r="N268" s="1340" t="s">
        <v>1320</v>
      </c>
      <c r="O268" s="1600" t="s">
        <v>4401</v>
      </c>
      <c r="P268" s="642" t="s">
        <v>1248</v>
      </c>
      <c r="Q268" s="323"/>
      <c r="R268" s="190"/>
      <c r="S268" s="448"/>
      <c r="T268" s="572" t="s">
        <v>2851</v>
      </c>
      <c r="U268" s="572" t="s">
        <v>662</v>
      </c>
      <c r="W268" s="495" t="s">
        <v>2287</v>
      </c>
      <c r="X268" s="495" t="s">
        <v>3388</v>
      </c>
      <c r="Z268" s="495"/>
      <c r="AA268" s="27"/>
      <c r="AB268" s="27"/>
      <c r="AC268" s="1072"/>
      <c r="AD268" s="585"/>
    </row>
    <row r="269" spans="2:30" ht="10.5" customHeight="1">
      <c r="F269" s="644"/>
      <c r="G269" s="1166" t="s">
        <v>1093</v>
      </c>
      <c r="H269" s="1166" t="s">
        <v>1311</v>
      </c>
      <c r="I269" s="1170" t="s">
        <v>764</v>
      </c>
      <c r="J269" s="1170" t="s">
        <v>2612</v>
      </c>
      <c r="K269" s="1168" t="s">
        <v>2575</v>
      </c>
      <c r="L269" s="1169" t="s">
        <v>424</v>
      </c>
      <c r="M269" s="1339" t="s">
        <v>1196</v>
      </c>
      <c r="N269" s="1339" t="s">
        <v>1205</v>
      </c>
      <c r="O269" s="1600" t="s">
        <v>4402</v>
      </c>
      <c r="P269" s="642" t="s">
        <v>1250</v>
      </c>
      <c r="Q269" s="323"/>
      <c r="R269" s="190"/>
      <c r="S269" s="448"/>
      <c r="T269" s="572" t="s">
        <v>2069</v>
      </c>
      <c r="U269" s="572" t="s">
        <v>199</v>
      </c>
      <c r="W269" s="495" t="s">
        <v>1033</v>
      </c>
      <c r="X269" s="495" t="s">
        <v>3388</v>
      </c>
      <c r="AA269" s="27"/>
      <c r="AB269" s="27"/>
      <c r="AC269" s="1072"/>
      <c r="AD269" s="585"/>
    </row>
    <row r="270" spans="2:30" ht="10.5" customHeight="1">
      <c r="F270" s="644"/>
      <c r="G270" s="1166" t="s">
        <v>1094</v>
      </c>
      <c r="H270" s="1166" t="s">
        <v>1211</v>
      </c>
      <c r="I270" s="1167" t="s">
        <v>1095</v>
      </c>
      <c r="J270" s="1167" t="s">
        <v>2611</v>
      </c>
      <c r="K270" s="1168" t="s">
        <v>1953</v>
      </c>
      <c r="L270" s="1169" t="s">
        <v>423</v>
      </c>
      <c r="M270" s="1340" t="s">
        <v>2598</v>
      </c>
      <c r="N270" s="1340" t="s">
        <v>1696</v>
      </c>
      <c r="O270" s="1600" t="s">
        <v>4403</v>
      </c>
      <c r="P270" s="642" t="s">
        <v>1251</v>
      </c>
      <c r="Q270" s="323"/>
      <c r="R270" s="190"/>
      <c r="S270" s="448"/>
      <c r="T270" s="572" t="s">
        <v>676</v>
      </c>
      <c r="U270" s="572" t="s">
        <v>2006</v>
      </c>
      <c r="W270" s="495" t="s">
        <v>1943</v>
      </c>
      <c r="X270" s="495" t="s">
        <v>3388</v>
      </c>
      <c r="AA270" s="27"/>
      <c r="AB270" s="27"/>
      <c r="AC270" s="1072"/>
      <c r="AD270" s="585"/>
    </row>
    <row r="271" spans="2:30" ht="10.5" customHeight="1">
      <c r="F271" s="644"/>
      <c r="G271" s="1166" t="s">
        <v>1096</v>
      </c>
      <c r="H271" s="1166" t="s">
        <v>1311</v>
      </c>
      <c r="I271" s="1170" t="s">
        <v>764</v>
      </c>
      <c r="J271" s="1170" t="s">
        <v>2612</v>
      </c>
      <c r="K271" s="1168" t="s">
        <v>2575</v>
      </c>
      <c r="L271" s="1169" t="s">
        <v>424</v>
      </c>
      <c r="M271" s="1339" t="s">
        <v>1196</v>
      </c>
      <c r="N271" s="1339" t="s">
        <v>1205</v>
      </c>
      <c r="O271" s="1600" t="s">
        <v>4404</v>
      </c>
      <c r="P271" s="642" t="s">
        <v>1253</v>
      </c>
      <c r="Q271" s="323"/>
      <c r="R271" s="190"/>
      <c r="S271" s="448"/>
      <c r="T271" s="572" t="s">
        <v>2329</v>
      </c>
      <c r="U271" s="572" t="s">
        <v>122</v>
      </c>
      <c r="W271" s="495" t="s">
        <v>492</v>
      </c>
      <c r="X271" s="495" t="s">
        <v>3388</v>
      </c>
      <c r="AA271" s="27"/>
      <c r="AB271" s="27"/>
      <c r="AC271" s="1072"/>
      <c r="AD271" s="585"/>
    </row>
    <row r="272" spans="2:30" ht="10.5" customHeight="1">
      <c r="F272" s="644"/>
      <c r="G272" s="1166" t="s">
        <v>1097</v>
      </c>
      <c r="H272" s="1166" t="s">
        <v>1311</v>
      </c>
      <c r="I272" s="1167" t="s">
        <v>1098</v>
      </c>
      <c r="J272" s="1167" t="s">
        <v>2611</v>
      </c>
      <c r="K272" s="1168" t="s">
        <v>1954</v>
      </c>
      <c r="L272" s="1169" t="s">
        <v>423</v>
      </c>
      <c r="M272" s="1340" t="s">
        <v>2598</v>
      </c>
      <c r="N272" s="1340" t="s">
        <v>1205</v>
      </c>
      <c r="O272" s="1600" t="s">
        <v>4405</v>
      </c>
      <c r="P272" s="642" t="s">
        <v>2493</v>
      </c>
      <c r="Q272" s="323"/>
      <c r="R272" s="190"/>
      <c r="S272" s="448"/>
      <c r="T272" s="572" t="s">
        <v>1247</v>
      </c>
      <c r="U272" s="572" t="s">
        <v>628</v>
      </c>
      <c r="W272" s="495" t="s">
        <v>1646</v>
      </c>
      <c r="X272" s="495" t="s">
        <v>3388</v>
      </c>
      <c r="AA272" s="27"/>
      <c r="AB272" s="27"/>
      <c r="AC272" s="1072"/>
      <c r="AD272" s="585"/>
    </row>
    <row r="273" spans="6:30" ht="10.5" customHeight="1">
      <c r="F273" s="644"/>
      <c r="G273" s="1166" t="s">
        <v>1099</v>
      </c>
      <c r="H273" s="1166" t="s">
        <v>1211</v>
      </c>
      <c r="I273" s="1170" t="s">
        <v>1100</v>
      </c>
      <c r="J273" s="1170" t="s">
        <v>2612</v>
      </c>
      <c r="K273" s="1168" t="s">
        <v>1955</v>
      </c>
      <c r="L273" s="1169" t="s">
        <v>424</v>
      </c>
      <c r="M273" s="1340" t="s">
        <v>2598</v>
      </c>
      <c r="N273" s="1340" t="s">
        <v>1320</v>
      </c>
      <c r="O273" s="1600" t="s">
        <v>4406</v>
      </c>
      <c r="P273" s="642" t="s">
        <v>82</v>
      </c>
      <c r="Q273" s="323"/>
      <c r="R273" s="190"/>
      <c r="S273" s="448"/>
      <c r="T273" s="572" t="s">
        <v>1249</v>
      </c>
      <c r="U273" s="572" t="s">
        <v>2243</v>
      </c>
      <c r="W273" s="495" t="s">
        <v>943</v>
      </c>
      <c r="X273" s="495" t="s">
        <v>3388</v>
      </c>
      <c r="AA273" s="27"/>
      <c r="AB273" s="27"/>
      <c r="AC273" s="1072"/>
      <c r="AD273" s="585"/>
    </row>
    <row r="274" spans="6:30" ht="10.5" customHeight="1">
      <c r="F274" s="644"/>
      <c r="G274" s="1166" t="s">
        <v>1101</v>
      </c>
      <c r="H274" s="1166" t="s">
        <v>1311</v>
      </c>
      <c r="I274" s="1170" t="s">
        <v>1102</v>
      </c>
      <c r="J274" s="1170" t="s">
        <v>2611</v>
      </c>
      <c r="K274" s="1168" t="s">
        <v>1956</v>
      </c>
      <c r="L274" s="1169" t="s">
        <v>423</v>
      </c>
      <c r="M274" s="1340" t="s">
        <v>2598</v>
      </c>
      <c r="N274" s="1340" t="s">
        <v>1205</v>
      </c>
      <c r="O274" s="1600" t="s">
        <v>4407</v>
      </c>
      <c r="P274" s="642" t="s">
        <v>83</v>
      </c>
      <c r="Q274" s="323"/>
      <c r="R274" s="190"/>
      <c r="S274" s="448"/>
      <c r="T274" s="572" t="s">
        <v>2482</v>
      </c>
      <c r="U274" s="572" t="s">
        <v>1105</v>
      </c>
      <c r="W274" s="495" t="s">
        <v>2306</v>
      </c>
      <c r="X274" s="495" t="s">
        <v>3388</v>
      </c>
      <c r="AA274" s="27"/>
      <c r="AB274" s="27"/>
      <c r="AC274" s="1072"/>
      <c r="AD274" s="585"/>
    </row>
    <row r="275" spans="6:30" ht="10.5" customHeight="1">
      <c r="F275" s="644"/>
      <c r="G275" s="1166" t="s">
        <v>1103</v>
      </c>
      <c r="H275" s="1166" t="s">
        <v>1211</v>
      </c>
      <c r="I275" s="1167" t="s">
        <v>1104</v>
      </c>
      <c r="J275" s="1167" t="s">
        <v>2611</v>
      </c>
      <c r="K275" s="1168" t="s">
        <v>1784</v>
      </c>
      <c r="L275" s="1169" t="s">
        <v>423</v>
      </c>
      <c r="M275" s="1340" t="s">
        <v>2598</v>
      </c>
      <c r="N275" s="1340" t="s">
        <v>161</v>
      </c>
      <c r="O275" s="1600" t="s">
        <v>4408</v>
      </c>
      <c r="P275" s="642" t="s">
        <v>84</v>
      </c>
      <c r="Q275" s="323"/>
      <c r="R275" s="190"/>
      <c r="S275" s="448"/>
      <c r="T275" s="572" t="s">
        <v>1252</v>
      </c>
      <c r="U275" s="572" t="s">
        <v>311</v>
      </c>
      <c r="W275" s="495" t="s">
        <v>323</v>
      </c>
      <c r="X275" s="495" t="s">
        <v>3388</v>
      </c>
      <c r="AA275" s="27"/>
      <c r="AB275" s="27"/>
      <c r="AC275" s="1072"/>
      <c r="AD275" s="585"/>
    </row>
    <row r="276" spans="6:30" ht="10.5" customHeight="1">
      <c r="F276" s="644"/>
      <c r="G276" s="1166" t="s">
        <v>1105</v>
      </c>
      <c r="H276" s="1166" t="s">
        <v>1311</v>
      </c>
      <c r="I276" s="1167" t="s">
        <v>1106</v>
      </c>
      <c r="J276" s="1167" t="s">
        <v>2611</v>
      </c>
      <c r="K276" s="1168" t="s">
        <v>1785</v>
      </c>
      <c r="L276" s="1169" t="s">
        <v>423</v>
      </c>
      <c r="M276" s="1340" t="s">
        <v>2598</v>
      </c>
      <c r="N276" s="1340" t="s">
        <v>166</v>
      </c>
      <c r="O276" s="1600" t="s">
        <v>4409</v>
      </c>
      <c r="P276" s="642" t="s">
        <v>86</v>
      </c>
      <c r="Q276" s="323"/>
      <c r="R276" s="190"/>
      <c r="S276" s="448"/>
      <c r="T276" s="572" t="s">
        <v>2492</v>
      </c>
      <c r="U276" s="572" t="s">
        <v>114</v>
      </c>
      <c r="W276" s="495" t="s">
        <v>325</v>
      </c>
      <c r="X276" s="495" t="s">
        <v>3388</v>
      </c>
      <c r="AA276" s="27"/>
      <c r="AB276" s="27"/>
      <c r="AC276" s="1072"/>
      <c r="AD276" s="585"/>
    </row>
    <row r="277" spans="6:30" ht="10.5" customHeight="1">
      <c r="F277" s="644"/>
      <c r="G277" s="1166" t="s">
        <v>1107</v>
      </c>
      <c r="H277" s="1166" t="s">
        <v>1211</v>
      </c>
      <c r="I277" s="1167" t="s">
        <v>1108</v>
      </c>
      <c r="J277" s="1167" t="s">
        <v>2611</v>
      </c>
      <c r="K277" s="1168" t="s">
        <v>1786</v>
      </c>
      <c r="L277" s="1169" t="s">
        <v>423</v>
      </c>
      <c r="M277" s="1340" t="s">
        <v>2598</v>
      </c>
      <c r="N277" s="1340" t="s">
        <v>1782</v>
      </c>
      <c r="O277" s="1600" t="s">
        <v>4410</v>
      </c>
      <c r="P277" s="642" t="s">
        <v>1227</v>
      </c>
      <c r="Q277" s="323"/>
      <c r="R277" s="190"/>
      <c r="S277" s="448"/>
      <c r="T277" s="572" t="s">
        <v>81</v>
      </c>
      <c r="U277" s="572" t="s">
        <v>196</v>
      </c>
      <c r="W277" s="495" t="s">
        <v>328</v>
      </c>
      <c r="X277" s="495" t="s">
        <v>3388</v>
      </c>
      <c r="AA277" s="27"/>
      <c r="AB277" s="27"/>
      <c r="AC277" s="1072"/>
      <c r="AD277" s="585"/>
    </row>
    <row r="278" spans="6:30" ht="10.5" customHeight="1">
      <c r="F278" s="644"/>
      <c r="G278" s="1166" t="s">
        <v>1109</v>
      </c>
      <c r="H278" s="1166" t="s">
        <v>1796</v>
      </c>
      <c r="I278" s="1170" t="s">
        <v>765</v>
      </c>
      <c r="J278" s="1170" t="s">
        <v>2612</v>
      </c>
      <c r="K278" s="1168" t="s">
        <v>2597</v>
      </c>
      <c r="L278" s="1169" t="s">
        <v>424</v>
      </c>
      <c r="M278" s="1340" t="s">
        <v>1196</v>
      </c>
      <c r="N278" s="1340" t="s">
        <v>1330</v>
      </c>
      <c r="O278" s="1600" t="s">
        <v>4411</v>
      </c>
      <c r="P278" s="642" t="s">
        <v>1229</v>
      </c>
      <c r="Q278" s="323"/>
      <c r="R278" s="190"/>
      <c r="S278" s="448"/>
      <c r="T278" s="572" t="s">
        <v>85</v>
      </c>
      <c r="U278" s="572" t="s">
        <v>2182</v>
      </c>
      <c r="W278" s="495" t="s">
        <v>1756</v>
      </c>
      <c r="X278" s="495" t="s">
        <v>3388</v>
      </c>
      <c r="AA278" s="27"/>
      <c r="AB278" s="27"/>
      <c r="AC278" s="1072"/>
      <c r="AD278" s="585"/>
    </row>
    <row r="279" spans="6:30" ht="10.5" customHeight="1">
      <c r="F279" s="644"/>
      <c r="G279" s="1166" t="s">
        <v>1110</v>
      </c>
      <c r="H279" s="1166" t="s">
        <v>1311</v>
      </c>
      <c r="I279" s="1170" t="s">
        <v>764</v>
      </c>
      <c r="J279" s="1170" t="s">
        <v>2612</v>
      </c>
      <c r="K279" s="1168" t="s">
        <v>2575</v>
      </c>
      <c r="L279" s="1169" t="s">
        <v>424</v>
      </c>
      <c r="M279" s="1339" t="s">
        <v>1196</v>
      </c>
      <c r="N279" s="1339" t="s">
        <v>1205</v>
      </c>
      <c r="O279" s="1600" t="s">
        <v>4412</v>
      </c>
      <c r="P279" s="642" t="s">
        <v>1231</v>
      </c>
      <c r="Q279" s="323"/>
      <c r="R279" s="190"/>
      <c r="S279" s="448"/>
      <c r="T279" s="572" t="s">
        <v>87</v>
      </c>
      <c r="U279" s="572" t="s">
        <v>1321</v>
      </c>
      <c r="W279" s="495" t="s">
        <v>691</v>
      </c>
      <c r="X279" s="495" t="s">
        <v>3388</v>
      </c>
      <c r="AA279" s="27"/>
      <c r="AB279" s="27"/>
      <c r="AC279" s="1072"/>
      <c r="AD279" s="585"/>
    </row>
    <row r="280" spans="6:30" ht="10.5" customHeight="1">
      <c r="F280" s="644"/>
      <c r="G280" s="1166" t="s">
        <v>1111</v>
      </c>
      <c r="H280" s="1166" t="s">
        <v>1211</v>
      </c>
      <c r="I280" s="1167" t="s">
        <v>2166</v>
      </c>
      <c r="J280" s="1167" t="s">
        <v>2611</v>
      </c>
      <c r="K280" s="1168" t="s">
        <v>1787</v>
      </c>
      <c r="L280" s="1169" t="s">
        <v>423</v>
      </c>
      <c r="M280" s="1340" t="s">
        <v>2598</v>
      </c>
      <c r="N280" s="1340" t="s">
        <v>161</v>
      </c>
      <c r="O280" s="1600" t="s">
        <v>4413</v>
      </c>
      <c r="P280" s="642" t="s">
        <v>1233</v>
      </c>
      <c r="Q280" s="323"/>
      <c r="R280" s="190"/>
      <c r="S280" s="448"/>
      <c r="T280" s="572" t="s">
        <v>1228</v>
      </c>
      <c r="U280" s="572" t="s">
        <v>1949</v>
      </c>
      <c r="W280" s="495" t="s">
        <v>2352</v>
      </c>
      <c r="X280" s="495" t="s">
        <v>3388</v>
      </c>
      <c r="AA280" s="27"/>
      <c r="AB280" s="27"/>
      <c r="AC280" s="1072"/>
      <c r="AD280" s="585"/>
    </row>
    <row r="281" spans="6:30" ht="10.5" customHeight="1">
      <c r="F281" s="644"/>
      <c r="G281" s="1166" t="s">
        <v>2167</v>
      </c>
      <c r="H281" s="1166" t="s">
        <v>1211</v>
      </c>
      <c r="I281" s="1167" t="s">
        <v>2168</v>
      </c>
      <c r="J281" s="1167" t="s">
        <v>2611</v>
      </c>
      <c r="K281" s="1168" t="s">
        <v>1788</v>
      </c>
      <c r="L281" s="1169" t="s">
        <v>423</v>
      </c>
      <c r="M281" s="1340" t="s">
        <v>2598</v>
      </c>
      <c r="N281" s="1340" t="s">
        <v>1326</v>
      </c>
      <c r="O281" s="1600" t="s">
        <v>4414</v>
      </c>
      <c r="P281" s="642" t="s">
        <v>1235</v>
      </c>
      <c r="Q281" s="323"/>
      <c r="R281" s="190"/>
      <c r="S281" s="448"/>
      <c r="T281" s="572" t="s">
        <v>1230</v>
      </c>
      <c r="U281" s="572" t="s">
        <v>179</v>
      </c>
      <c r="W281" s="495" t="s">
        <v>475</v>
      </c>
      <c r="X281" s="495" t="s">
        <v>3388</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4415</v>
      </c>
      <c r="P282" s="642" t="s">
        <v>1237</v>
      </c>
      <c r="Q282" s="323"/>
      <c r="R282" s="190"/>
      <c r="S282" s="448"/>
      <c r="T282" s="572" t="s">
        <v>1232</v>
      </c>
      <c r="U282" s="572" t="s">
        <v>1107</v>
      </c>
      <c r="W282" s="495" t="s">
        <v>3381</v>
      </c>
      <c r="X282" s="495" t="s">
        <v>3388</v>
      </c>
      <c r="AA282" s="27"/>
      <c r="AB282" s="27"/>
      <c r="AC282" s="1072"/>
      <c r="AD282" s="585"/>
    </row>
    <row r="283" spans="6:30" ht="10.5" customHeight="1">
      <c r="F283" s="644"/>
      <c r="G283" s="1166" t="s">
        <v>2169</v>
      </c>
      <c r="H283" s="1166" t="s">
        <v>1211</v>
      </c>
      <c r="I283" s="1170" t="s">
        <v>2170</v>
      </c>
      <c r="J283" s="1167" t="s">
        <v>2611</v>
      </c>
      <c r="K283" s="1168" t="s">
        <v>456</v>
      </c>
      <c r="L283" s="1169" t="s">
        <v>423</v>
      </c>
      <c r="M283" s="1340" t="s">
        <v>2598</v>
      </c>
      <c r="N283" s="1340" t="s">
        <v>1782</v>
      </c>
      <c r="O283" s="1600" t="s">
        <v>4416</v>
      </c>
      <c r="P283" s="642" t="s">
        <v>891</v>
      </c>
      <c r="Q283" s="323"/>
      <c r="R283" s="190"/>
      <c r="S283" s="448"/>
      <c r="T283" s="643" t="s">
        <v>1234</v>
      </c>
      <c r="U283" s="643" t="s">
        <v>1206</v>
      </c>
      <c r="W283" s="495" t="s">
        <v>3382</v>
      </c>
      <c r="X283" s="495" t="s">
        <v>3388</v>
      </c>
      <c r="AA283" s="27"/>
      <c r="AB283" s="27"/>
      <c r="AC283" s="1072"/>
      <c r="AD283" s="585"/>
    </row>
    <row r="284" spans="6:30" ht="10.5" customHeight="1">
      <c r="F284" s="644"/>
      <c r="G284" s="1166" t="s">
        <v>2171</v>
      </c>
      <c r="H284" s="1166" t="s">
        <v>1211</v>
      </c>
      <c r="I284" s="1170" t="s">
        <v>764</v>
      </c>
      <c r="J284" s="1170" t="s">
        <v>2612</v>
      </c>
      <c r="K284" s="1168" t="s">
        <v>2575</v>
      </c>
      <c r="L284" s="1169" t="s">
        <v>424</v>
      </c>
      <c r="M284" s="1339" t="s">
        <v>1196</v>
      </c>
      <c r="N284" s="1340" t="s">
        <v>1205</v>
      </c>
      <c r="O284" s="1600" t="s">
        <v>4417</v>
      </c>
      <c r="P284" s="642" t="s">
        <v>892</v>
      </c>
      <c r="Q284" s="323"/>
      <c r="R284" s="190"/>
      <c r="S284" s="448"/>
      <c r="T284" s="572" t="s">
        <v>1236</v>
      </c>
      <c r="U284" s="572" t="s">
        <v>2182</v>
      </c>
      <c r="W284" s="495" t="s">
        <v>78</v>
      </c>
      <c r="X284" s="495" t="s">
        <v>3388</v>
      </c>
      <c r="AA284" s="27"/>
      <c r="AB284" s="27"/>
      <c r="AC284" s="1073"/>
      <c r="AD284" s="585"/>
    </row>
    <row r="285" spans="6:30" ht="10.5" customHeight="1">
      <c r="F285" s="644"/>
      <c r="G285" s="1166" t="s">
        <v>2172</v>
      </c>
      <c r="H285" s="1166" t="s">
        <v>1311</v>
      </c>
      <c r="I285" s="1170" t="s">
        <v>2173</v>
      </c>
      <c r="J285" s="1170" t="s">
        <v>2611</v>
      </c>
      <c r="K285" s="1168" t="s">
        <v>221</v>
      </c>
      <c r="L285" s="1169" t="s">
        <v>423</v>
      </c>
      <c r="M285" s="1340" t="s">
        <v>2598</v>
      </c>
      <c r="N285" s="1339" t="s">
        <v>166</v>
      </c>
      <c r="O285" s="1600" t="s">
        <v>4418</v>
      </c>
      <c r="P285" s="642" t="s">
        <v>894</v>
      </c>
      <c r="Q285" s="323"/>
      <c r="R285" s="190"/>
      <c r="S285" s="448"/>
      <c r="T285" s="572" t="s">
        <v>2488</v>
      </c>
      <c r="U285" s="572" t="s">
        <v>1631</v>
      </c>
      <c r="W285" s="495" t="s">
        <v>2412</v>
      </c>
      <c r="X285" s="495" t="s">
        <v>3388</v>
      </c>
      <c r="AA285" s="27"/>
      <c r="AB285" s="27"/>
      <c r="AC285" s="1072"/>
      <c r="AD285" s="585"/>
    </row>
    <row r="286" spans="6:30" ht="10.5" customHeight="1">
      <c r="F286" s="644"/>
      <c r="G286" s="1166" t="s">
        <v>2174</v>
      </c>
      <c r="H286" s="1166" t="s">
        <v>1211</v>
      </c>
      <c r="I286" s="1167" t="s">
        <v>2175</v>
      </c>
      <c r="J286" s="1170" t="s">
        <v>2611</v>
      </c>
      <c r="K286" s="1168" t="s">
        <v>1421</v>
      </c>
      <c r="L286" s="1169" t="s">
        <v>423</v>
      </c>
      <c r="M286" s="1340" t="s">
        <v>2598</v>
      </c>
      <c r="N286" s="1340" t="s">
        <v>161</v>
      </c>
      <c r="O286" s="1600" t="s">
        <v>4419</v>
      </c>
      <c r="P286" s="642" t="s">
        <v>896</v>
      </c>
      <c r="Q286" s="323"/>
      <c r="R286" s="190"/>
      <c r="S286" s="448"/>
      <c r="T286" s="572" t="s">
        <v>161</v>
      </c>
      <c r="U286" s="572" t="s">
        <v>2587</v>
      </c>
      <c r="W286" s="495" t="s">
        <v>613</v>
      </c>
      <c r="X286" s="495" t="s">
        <v>3388</v>
      </c>
      <c r="AA286" s="27"/>
      <c r="AB286" s="27"/>
      <c r="AC286" s="1072"/>
      <c r="AD286" s="585"/>
    </row>
    <row r="287" spans="6:30" ht="10.5" customHeight="1">
      <c r="F287" s="644"/>
      <c r="G287" s="1166" t="s">
        <v>2176</v>
      </c>
      <c r="H287" s="1166" t="s">
        <v>1796</v>
      </c>
      <c r="I287" s="1167" t="s">
        <v>2177</v>
      </c>
      <c r="J287" s="1167" t="s">
        <v>2611</v>
      </c>
      <c r="K287" s="1168" t="s">
        <v>1422</v>
      </c>
      <c r="L287" s="1169" t="s">
        <v>423</v>
      </c>
      <c r="M287" s="1340" t="s">
        <v>2598</v>
      </c>
      <c r="N287" s="1340" t="s">
        <v>1782</v>
      </c>
      <c r="O287" s="1600" t="s">
        <v>4420</v>
      </c>
      <c r="P287" s="642" t="s">
        <v>2137</v>
      </c>
      <c r="Q287" s="323"/>
      <c r="R287" s="190"/>
      <c r="S287" s="448"/>
      <c r="T287" s="572" t="s">
        <v>893</v>
      </c>
      <c r="U287" s="572" t="s">
        <v>179</v>
      </c>
      <c r="W287" s="495" t="s">
        <v>967</v>
      </c>
      <c r="X287" s="495" t="s">
        <v>3388</v>
      </c>
      <c r="AA287" s="27"/>
      <c r="AB287" s="27"/>
      <c r="AC287" s="1072"/>
      <c r="AD287" s="585"/>
    </row>
    <row r="288" spans="6:30" ht="10.5" customHeight="1">
      <c r="F288" s="644"/>
      <c r="G288" s="1166" t="s">
        <v>2178</v>
      </c>
      <c r="H288" s="1166" t="s">
        <v>1211</v>
      </c>
      <c r="I288" s="1167" t="s">
        <v>2179</v>
      </c>
      <c r="J288" s="1167" t="s">
        <v>2611</v>
      </c>
      <c r="K288" s="1168" t="s">
        <v>1423</v>
      </c>
      <c r="L288" s="1169" t="s">
        <v>423</v>
      </c>
      <c r="M288" s="1340" t="s">
        <v>2598</v>
      </c>
      <c r="N288" s="1340" t="s">
        <v>161</v>
      </c>
      <c r="O288" s="1600" t="s">
        <v>4421</v>
      </c>
      <c r="P288" s="642" t="s">
        <v>2138</v>
      </c>
      <c r="Q288" s="323"/>
      <c r="R288" s="190"/>
      <c r="S288" s="448"/>
      <c r="T288" s="572" t="s">
        <v>895</v>
      </c>
      <c r="U288" s="572" t="s">
        <v>323</v>
      </c>
      <c r="W288" s="495" t="s">
        <v>1492</v>
      </c>
      <c r="X288" s="495" t="s">
        <v>3388</v>
      </c>
      <c r="AA288" s="27"/>
      <c r="AB288" s="27"/>
      <c r="AC288" s="1072"/>
      <c r="AD288" s="585"/>
    </row>
    <row r="289" spans="6:30" ht="10.5" customHeight="1">
      <c r="F289" s="644"/>
      <c r="G289" s="1166" t="s">
        <v>2180</v>
      </c>
      <c r="H289" s="1166" t="s">
        <v>1311</v>
      </c>
      <c r="I289" s="1167" t="s">
        <v>2181</v>
      </c>
      <c r="J289" s="1167" t="s">
        <v>2611</v>
      </c>
      <c r="K289" s="1168" t="s">
        <v>2011</v>
      </c>
      <c r="L289" s="1169" t="s">
        <v>423</v>
      </c>
      <c r="M289" s="1340" t="s">
        <v>2598</v>
      </c>
      <c r="N289" s="1340" t="s">
        <v>166</v>
      </c>
      <c r="O289" s="1600" t="s">
        <v>4422</v>
      </c>
      <c r="P289" s="642" t="s">
        <v>2054</v>
      </c>
      <c r="Q289" s="323"/>
      <c r="R289" s="190"/>
      <c r="S289" s="448"/>
      <c r="T289" s="643" t="s">
        <v>897</v>
      </c>
      <c r="U289" s="643" t="s">
        <v>1096</v>
      </c>
      <c r="W289" s="495" t="s">
        <v>2336</v>
      </c>
      <c r="X289" s="495" t="s">
        <v>3388</v>
      </c>
      <c r="AA289" s="27"/>
      <c r="AB289" s="27"/>
      <c r="AC289" s="1072"/>
      <c r="AD289" s="585"/>
    </row>
    <row r="290" spans="6:30" ht="10.5" customHeight="1">
      <c r="F290" s="644"/>
      <c r="G290" s="1166" t="s">
        <v>2182</v>
      </c>
      <c r="H290" s="1166" t="s">
        <v>1211</v>
      </c>
      <c r="I290" s="1167" t="s">
        <v>2183</v>
      </c>
      <c r="J290" s="1167" t="s">
        <v>2611</v>
      </c>
      <c r="K290" s="1168" t="s">
        <v>2012</v>
      </c>
      <c r="L290" s="1169" t="s">
        <v>423</v>
      </c>
      <c r="M290" s="1340" t="s">
        <v>2598</v>
      </c>
      <c r="N290" s="1340" t="s">
        <v>1326</v>
      </c>
      <c r="O290" s="1600" t="s">
        <v>4423</v>
      </c>
      <c r="P290" s="642" t="s">
        <v>2056</v>
      </c>
      <c r="Q290" s="323"/>
      <c r="R290" s="190"/>
      <c r="S290" s="448"/>
      <c r="T290" s="572" t="s">
        <v>2565</v>
      </c>
      <c r="U290" s="572" t="s">
        <v>2482</v>
      </c>
      <c r="W290" s="495" t="s">
        <v>821</v>
      </c>
      <c r="X290" s="495" t="s">
        <v>3388</v>
      </c>
      <c r="AA290" s="27"/>
      <c r="AB290" s="27"/>
      <c r="AC290" s="1073"/>
      <c r="AD290" s="585"/>
    </row>
    <row r="291" spans="6:30" ht="10.5" customHeight="1">
      <c r="F291" s="644"/>
      <c r="G291" s="1166" t="s">
        <v>2184</v>
      </c>
      <c r="H291" s="1166" t="s">
        <v>1211</v>
      </c>
      <c r="I291" s="1167" t="s">
        <v>870</v>
      </c>
      <c r="J291" s="1167" t="s">
        <v>2611</v>
      </c>
      <c r="K291" s="1168" t="s">
        <v>2013</v>
      </c>
      <c r="L291" s="1169" t="s">
        <v>423</v>
      </c>
      <c r="M291" s="1340" t="s">
        <v>2598</v>
      </c>
      <c r="N291" s="1340" t="s">
        <v>161</v>
      </c>
      <c r="O291" s="1600" t="s">
        <v>4424</v>
      </c>
      <c r="P291" s="642" t="s">
        <v>597</v>
      </c>
      <c r="Q291" s="323"/>
      <c r="R291" s="190"/>
      <c r="S291" s="448"/>
      <c r="T291" s="572" t="s">
        <v>2139</v>
      </c>
      <c r="U291" s="572" t="s">
        <v>1110</v>
      </c>
      <c r="W291" s="495" t="s">
        <v>824</v>
      </c>
      <c r="X291" s="495" t="s">
        <v>3388</v>
      </c>
      <c r="AA291" s="27"/>
      <c r="AB291" s="27"/>
      <c r="AC291" s="1072"/>
      <c r="AD291" s="585"/>
    </row>
    <row r="292" spans="6:30" ht="10.5" customHeight="1">
      <c r="F292" s="644"/>
      <c r="G292" s="1166" t="s">
        <v>871</v>
      </c>
      <c r="H292" s="1166" t="s">
        <v>1211</v>
      </c>
      <c r="I292" s="1167" t="s">
        <v>872</v>
      </c>
      <c r="J292" s="1167" t="s">
        <v>2611</v>
      </c>
      <c r="K292" s="1168" t="s">
        <v>2014</v>
      </c>
      <c r="L292" s="1169" t="s">
        <v>423</v>
      </c>
      <c r="M292" s="1340" t="s">
        <v>2598</v>
      </c>
      <c r="N292" s="1340" t="s">
        <v>1782</v>
      </c>
      <c r="O292" s="1600" t="s">
        <v>4425</v>
      </c>
      <c r="P292" s="642" t="s">
        <v>598</v>
      </c>
      <c r="Q292" s="323"/>
      <c r="R292" s="190"/>
      <c r="S292" s="448"/>
      <c r="T292" s="572" t="s">
        <v>2055</v>
      </c>
      <c r="U292" s="572" t="s">
        <v>1666</v>
      </c>
      <c r="W292" s="495" t="s">
        <v>1509</v>
      </c>
      <c r="X292" s="495" t="s">
        <v>3388</v>
      </c>
      <c r="AA292" s="27"/>
      <c r="AB292" s="27"/>
      <c r="AC292" s="1072"/>
      <c r="AD292" s="585"/>
    </row>
    <row r="293" spans="6:30" ht="10.5" customHeight="1">
      <c r="F293" s="644"/>
      <c r="G293" s="1166" t="s">
        <v>1665</v>
      </c>
      <c r="H293" s="1166" t="s">
        <v>1211</v>
      </c>
      <c r="I293" s="1170" t="s">
        <v>1782</v>
      </c>
      <c r="J293" s="1167" t="s">
        <v>2612</v>
      </c>
      <c r="K293" s="1168" t="s">
        <v>1161</v>
      </c>
      <c r="L293" s="1169" t="s">
        <v>424</v>
      </c>
      <c r="M293" s="1339" t="s">
        <v>2598</v>
      </c>
      <c r="N293" s="1340" t="s">
        <v>1782</v>
      </c>
      <c r="O293" s="1600" t="s">
        <v>4426</v>
      </c>
      <c r="P293" s="642" t="s">
        <v>600</v>
      </c>
      <c r="Q293" s="323"/>
      <c r="R293" s="190"/>
      <c r="S293" s="448"/>
      <c r="T293" s="572" t="s">
        <v>2057</v>
      </c>
      <c r="U293" s="572" t="s">
        <v>2532</v>
      </c>
      <c r="W293" s="495" t="s">
        <v>483</v>
      </c>
      <c r="X293" s="495" t="s">
        <v>3388</v>
      </c>
      <c r="AA293" s="27"/>
      <c r="AB293" s="27"/>
      <c r="AC293" s="1072"/>
      <c r="AD293" s="585"/>
    </row>
    <row r="294" spans="6:30" ht="10.5" customHeight="1">
      <c r="F294" s="644"/>
      <c r="G294" s="1166" t="s">
        <v>1666</v>
      </c>
      <c r="H294" s="1166" t="s">
        <v>1211</v>
      </c>
      <c r="I294" s="1170" t="s">
        <v>1667</v>
      </c>
      <c r="J294" s="1170" t="s">
        <v>2611</v>
      </c>
      <c r="K294" s="1168" t="s">
        <v>2015</v>
      </c>
      <c r="L294" s="1169" t="s">
        <v>423</v>
      </c>
      <c r="M294" s="1340" t="s">
        <v>2598</v>
      </c>
      <c r="N294" s="1339" t="s">
        <v>1696</v>
      </c>
      <c r="O294" s="1600" t="s">
        <v>4427</v>
      </c>
      <c r="P294" s="642" t="s">
        <v>602</v>
      </c>
      <c r="Q294" s="323"/>
      <c r="R294" s="190"/>
      <c r="S294" s="448"/>
      <c r="T294" s="572" t="s">
        <v>826</v>
      </c>
      <c r="U294" s="572" t="s">
        <v>318</v>
      </c>
      <c r="W294" s="495" t="s">
        <v>1393</v>
      </c>
      <c r="X294" s="495" t="s">
        <v>3388</v>
      </c>
      <c r="AA294" s="27"/>
      <c r="AB294" s="27"/>
      <c r="AC294" s="1072"/>
      <c r="AD294" s="585"/>
    </row>
    <row r="295" spans="6:30" ht="10.5" customHeight="1">
      <c r="F295" s="644"/>
      <c r="G295" s="1166" t="s">
        <v>1668</v>
      </c>
      <c r="H295" s="1166" t="s">
        <v>1211</v>
      </c>
      <c r="I295" s="1170" t="s">
        <v>1907</v>
      </c>
      <c r="J295" s="1170" t="s">
        <v>2611</v>
      </c>
      <c r="K295" s="1168" t="s">
        <v>1165</v>
      </c>
      <c r="L295" s="1169" t="s">
        <v>423</v>
      </c>
      <c r="M295" s="1340" t="s">
        <v>2598</v>
      </c>
      <c r="N295" s="1340" t="s">
        <v>1782</v>
      </c>
      <c r="O295" s="1600" t="s">
        <v>4428</v>
      </c>
      <c r="P295" s="642" t="s">
        <v>603</v>
      </c>
      <c r="Q295" s="323"/>
      <c r="R295" s="190"/>
      <c r="S295" s="448"/>
      <c r="T295" s="572" t="s">
        <v>599</v>
      </c>
      <c r="U295" s="572" t="s">
        <v>122</v>
      </c>
      <c r="W295" s="495" t="s">
        <v>1395</v>
      </c>
      <c r="X295" s="495" t="s">
        <v>3388</v>
      </c>
      <c r="AA295" s="27"/>
      <c r="AB295" s="27"/>
      <c r="AC295" s="1072"/>
      <c r="AD295" s="1076"/>
    </row>
    <row r="296" spans="6:30" ht="10.5" customHeight="1">
      <c r="F296" s="644"/>
      <c r="G296" s="1166" t="s">
        <v>1908</v>
      </c>
      <c r="H296" s="1166" t="s">
        <v>1211</v>
      </c>
      <c r="I296" s="1170" t="s">
        <v>1909</v>
      </c>
      <c r="J296" s="1170" t="s">
        <v>2611</v>
      </c>
      <c r="K296" s="1168" t="s">
        <v>1166</v>
      </c>
      <c r="L296" s="1169" t="s">
        <v>423</v>
      </c>
      <c r="M296" s="1340" t="s">
        <v>2598</v>
      </c>
      <c r="N296" s="1340" t="s">
        <v>1326</v>
      </c>
      <c r="O296" s="1600" t="s">
        <v>4429</v>
      </c>
      <c r="P296" s="642" t="s">
        <v>604</v>
      </c>
      <c r="Q296" s="323"/>
      <c r="R296" s="190"/>
      <c r="S296" s="448"/>
      <c r="T296" s="572" t="s">
        <v>2566</v>
      </c>
      <c r="U296" s="572" t="s">
        <v>1327</v>
      </c>
      <c r="W296" s="495" t="s">
        <v>2491</v>
      </c>
      <c r="X296" s="495" t="s">
        <v>3388</v>
      </c>
      <c r="AA296" s="27"/>
      <c r="AB296" s="27"/>
      <c r="AC296" s="1072"/>
      <c r="AD296" s="585"/>
    </row>
    <row r="297" spans="6:30" ht="10.5" customHeight="1">
      <c r="F297" s="644"/>
      <c r="G297" s="1166" t="s">
        <v>1910</v>
      </c>
      <c r="H297" s="1166" t="s">
        <v>1311</v>
      </c>
      <c r="I297" s="1170" t="s">
        <v>1911</v>
      </c>
      <c r="J297" s="1170" t="s">
        <v>2611</v>
      </c>
      <c r="K297" s="1168" t="s">
        <v>1167</v>
      </c>
      <c r="L297" s="1169" t="s">
        <v>423</v>
      </c>
      <c r="M297" s="1340" t="s">
        <v>2598</v>
      </c>
      <c r="N297" s="1340" t="s">
        <v>166</v>
      </c>
      <c r="O297" s="1600" t="s">
        <v>4430</v>
      </c>
      <c r="P297" s="642" t="s">
        <v>606</v>
      </c>
      <c r="Q297" s="323"/>
      <c r="R297" s="190"/>
      <c r="S297" s="448"/>
      <c r="T297" s="572" t="s">
        <v>601</v>
      </c>
      <c r="U297" s="572" t="s">
        <v>2588</v>
      </c>
      <c r="W297" s="495" t="s">
        <v>1057</v>
      </c>
      <c r="X297" s="495" t="s">
        <v>3388</v>
      </c>
      <c r="AA297" s="27"/>
      <c r="AB297" s="27"/>
      <c r="AC297" s="1072"/>
      <c r="AD297" s="585"/>
    </row>
    <row r="298" spans="6:30" ht="10.5" customHeight="1">
      <c r="F298" s="644"/>
      <c r="G298" s="1166" t="s">
        <v>1912</v>
      </c>
      <c r="H298" s="1166" t="s">
        <v>1211</v>
      </c>
      <c r="I298" s="1170" t="s">
        <v>1913</v>
      </c>
      <c r="J298" s="1170" t="s">
        <v>2611</v>
      </c>
      <c r="K298" s="1168" t="s">
        <v>1168</v>
      </c>
      <c r="L298" s="1169" t="s">
        <v>423</v>
      </c>
      <c r="M298" s="1340" t="s">
        <v>2598</v>
      </c>
      <c r="N298" s="1340" t="s">
        <v>1320</v>
      </c>
      <c r="O298" s="1600" t="s">
        <v>4431</v>
      </c>
      <c r="P298" s="642" t="s">
        <v>608</v>
      </c>
      <c r="Q298" s="323"/>
      <c r="R298" s="190"/>
      <c r="S298" s="448"/>
      <c r="T298" s="572" t="s">
        <v>2531</v>
      </c>
      <c r="U298" s="572" t="s">
        <v>2590</v>
      </c>
      <c r="W298" s="495" t="s">
        <v>1320</v>
      </c>
      <c r="X298" s="495" t="s">
        <v>3388</v>
      </c>
      <c r="AA298" s="27"/>
      <c r="AB298" s="27"/>
      <c r="AC298" s="1072"/>
      <c r="AD298" s="585"/>
    </row>
    <row r="299" spans="6:30" ht="10.5" customHeight="1">
      <c r="F299" s="644"/>
      <c r="G299" s="1166" t="s">
        <v>1914</v>
      </c>
      <c r="H299" s="1166" t="s">
        <v>1211</v>
      </c>
      <c r="I299" s="1167" t="s">
        <v>1915</v>
      </c>
      <c r="J299" s="1170" t="s">
        <v>2611</v>
      </c>
      <c r="K299" s="1168" t="s">
        <v>1169</v>
      </c>
      <c r="L299" s="1169" t="s">
        <v>423</v>
      </c>
      <c r="M299" s="1340" t="s">
        <v>2598</v>
      </c>
      <c r="N299" s="1340" t="s">
        <v>1205</v>
      </c>
      <c r="O299" s="1600" t="s">
        <v>4432</v>
      </c>
      <c r="P299" s="642" t="s">
        <v>547</v>
      </c>
      <c r="Q299" s="323"/>
      <c r="R299" s="190"/>
      <c r="S299" s="448"/>
      <c r="T299" s="572" t="s">
        <v>605</v>
      </c>
      <c r="U299" s="572" t="s">
        <v>2180</v>
      </c>
      <c r="W299" s="495" t="s">
        <v>179</v>
      </c>
      <c r="X299" s="495" t="s">
        <v>3388</v>
      </c>
      <c r="AA299" s="27"/>
      <c r="AB299" s="27"/>
      <c r="AC299" s="1072"/>
      <c r="AD299" s="585"/>
    </row>
    <row r="300" spans="6:30" ht="10.5" customHeight="1">
      <c r="F300" s="644"/>
      <c r="G300" s="1166" t="s">
        <v>1916</v>
      </c>
      <c r="H300" s="1166" t="s">
        <v>1211</v>
      </c>
      <c r="I300" s="1170" t="s">
        <v>1917</v>
      </c>
      <c r="J300" s="1167" t="s">
        <v>2611</v>
      </c>
      <c r="K300" s="1168" t="s">
        <v>1170</v>
      </c>
      <c r="L300" s="1169" t="s">
        <v>423</v>
      </c>
      <c r="M300" s="1340" t="s">
        <v>2598</v>
      </c>
      <c r="N300" s="1340" t="s">
        <v>1782</v>
      </c>
      <c r="O300" s="1600" t="s">
        <v>4433</v>
      </c>
      <c r="P300" s="642" t="s">
        <v>1156</v>
      </c>
      <c r="Q300" s="323"/>
      <c r="R300" s="190"/>
      <c r="S300" s="448"/>
      <c r="T300" s="572" t="s">
        <v>2852</v>
      </c>
      <c r="U300" s="572" t="s">
        <v>1101</v>
      </c>
      <c r="W300" s="495" t="s">
        <v>1575</v>
      </c>
      <c r="X300" s="495" t="s">
        <v>3388</v>
      </c>
      <c r="AA300" s="27"/>
      <c r="AB300" s="27"/>
      <c r="AC300" s="1072"/>
      <c r="AD300" s="585"/>
    </row>
    <row r="301" spans="6:30" ht="10.5" customHeight="1">
      <c r="F301" s="644"/>
      <c r="G301" s="1166" t="s">
        <v>1918</v>
      </c>
      <c r="H301" s="1166" t="s">
        <v>1211</v>
      </c>
      <c r="I301" s="1170" t="s">
        <v>1320</v>
      </c>
      <c r="J301" s="1170" t="s">
        <v>2612</v>
      </c>
      <c r="K301" s="1168" t="s">
        <v>2578</v>
      </c>
      <c r="L301" s="1169" t="s">
        <v>424</v>
      </c>
      <c r="M301" s="1339" t="s">
        <v>2598</v>
      </c>
      <c r="N301" s="1340" t="s">
        <v>1320</v>
      </c>
      <c r="O301" s="1600" t="s">
        <v>4434</v>
      </c>
      <c r="P301" s="642" t="s">
        <v>747</v>
      </c>
      <c r="Q301" s="323"/>
      <c r="R301" s="190"/>
      <c r="S301" s="448"/>
      <c r="T301" s="572" t="s">
        <v>607</v>
      </c>
      <c r="U301" s="572" t="s">
        <v>1635</v>
      </c>
      <c r="W301" s="495" t="s">
        <v>377</v>
      </c>
      <c r="X301" s="495" t="s">
        <v>3388</v>
      </c>
      <c r="AA301" s="27"/>
      <c r="AB301" s="27"/>
      <c r="AC301" s="1072"/>
      <c r="AD301" s="585"/>
    </row>
    <row r="302" spans="6:30" ht="10.5" customHeight="1">
      <c r="F302" s="644"/>
      <c r="G302" s="1166" t="s">
        <v>1919</v>
      </c>
      <c r="H302" s="1166" t="s">
        <v>1311</v>
      </c>
      <c r="I302" s="1170" t="s">
        <v>1920</v>
      </c>
      <c r="J302" s="1170" t="s">
        <v>2611</v>
      </c>
      <c r="K302" s="1168" t="s">
        <v>1171</v>
      </c>
      <c r="L302" s="1169" t="s">
        <v>423</v>
      </c>
      <c r="M302" s="1340" t="s">
        <v>2598</v>
      </c>
      <c r="N302" s="1339" t="s">
        <v>166</v>
      </c>
      <c r="O302" s="1600" t="s">
        <v>4435</v>
      </c>
      <c r="P302" s="642" t="s">
        <v>36</v>
      </c>
      <c r="Q302" s="323"/>
      <c r="R302" s="190"/>
      <c r="S302" s="448"/>
      <c r="T302" s="572" t="s">
        <v>546</v>
      </c>
      <c r="U302" s="572" t="s">
        <v>659</v>
      </c>
      <c r="W302" s="495" t="s">
        <v>379</v>
      </c>
      <c r="X302" s="495" t="s">
        <v>3388</v>
      </c>
      <c r="AA302" s="27"/>
      <c r="AB302" s="27"/>
      <c r="AC302" s="1072"/>
      <c r="AD302" s="585"/>
    </row>
    <row r="303" spans="6:30" ht="10.5" customHeight="1">
      <c r="F303" s="644"/>
      <c r="G303" s="1166" t="s">
        <v>2004</v>
      </c>
      <c r="H303" s="1166" t="s">
        <v>1211</v>
      </c>
      <c r="I303" s="1167" t="s">
        <v>2005</v>
      </c>
      <c r="J303" s="1170" t="s">
        <v>2611</v>
      </c>
      <c r="K303" s="1168" t="s">
        <v>1172</v>
      </c>
      <c r="L303" s="1169" t="s">
        <v>423</v>
      </c>
      <c r="M303" s="1340" t="s">
        <v>2598</v>
      </c>
      <c r="N303" s="1340" t="s">
        <v>1205</v>
      </c>
      <c r="O303" s="1600" t="s">
        <v>4436</v>
      </c>
      <c r="P303" s="642" t="s">
        <v>1963</v>
      </c>
      <c r="Q303" s="323"/>
      <c r="R303" s="190"/>
      <c r="S303" s="448"/>
      <c r="T303" s="572" t="s">
        <v>548</v>
      </c>
      <c r="U303" s="572" t="s">
        <v>160</v>
      </c>
      <c r="W303" s="495" t="s">
        <v>1607</v>
      </c>
      <c r="X303" s="495" t="s">
        <v>3388</v>
      </c>
      <c r="AA303" s="27"/>
      <c r="AB303" s="27"/>
      <c r="AC303" s="1072"/>
      <c r="AD303" s="585"/>
    </row>
    <row r="304" spans="6:30" ht="10.5" customHeight="1">
      <c r="F304" s="644"/>
      <c r="G304" s="1166" t="s">
        <v>2006</v>
      </c>
      <c r="H304" s="1166" t="s">
        <v>1311</v>
      </c>
      <c r="I304" s="1170" t="s">
        <v>1521</v>
      </c>
      <c r="J304" s="1167" t="s">
        <v>2612</v>
      </c>
      <c r="K304" s="1168" t="s">
        <v>1680</v>
      </c>
      <c r="L304" s="1169" t="s">
        <v>424</v>
      </c>
      <c r="M304" s="1339" t="s">
        <v>2598</v>
      </c>
      <c r="N304" s="1340" t="s">
        <v>1521</v>
      </c>
      <c r="O304" s="1600" t="s">
        <v>4437</v>
      </c>
      <c r="P304" s="642" t="s">
        <v>1965</v>
      </c>
      <c r="Q304" s="323"/>
      <c r="R304" s="190"/>
      <c r="S304" s="448"/>
      <c r="T304" s="572" t="s">
        <v>746</v>
      </c>
      <c r="U304" s="572" t="s">
        <v>1107</v>
      </c>
      <c r="W304" s="495" t="s">
        <v>1088</v>
      </c>
      <c r="X304" s="495" t="s">
        <v>3388</v>
      </c>
      <c r="AA304" s="27"/>
      <c r="AB304" s="27"/>
      <c r="AC304" s="1072"/>
      <c r="AD304" s="585"/>
    </row>
    <row r="305" spans="6:30" ht="10.5" customHeight="1">
      <c r="F305" s="644"/>
      <c r="G305" s="1166" t="s">
        <v>2007</v>
      </c>
      <c r="H305" s="1166" t="s">
        <v>1311</v>
      </c>
      <c r="I305" s="1170" t="s">
        <v>764</v>
      </c>
      <c r="J305" s="1170" t="s">
        <v>2612</v>
      </c>
      <c r="K305" s="1168" t="s">
        <v>2575</v>
      </c>
      <c r="L305" s="1169" t="s">
        <v>424</v>
      </c>
      <c r="M305" s="1339" t="s">
        <v>1196</v>
      </c>
      <c r="N305" s="1339" t="s">
        <v>1205</v>
      </c>
      <c r="O305" s="1600" t="s">
        <v>4438</v>
      </c>
      <c r="P305" s="642" t="s">
        <v>334</v>
      </c>
      <c r="Q305" s="323"/>
      <c r="R305" s="190"/>
      <c r="S305" s="448"/>
      <c r="T305" s="572" t="s">
        <v>748</v>
      </c>
      <c r="U305" s="572" t="s">
        <v>121</v>
      </c>
      <c r="W305" s="495" t="s">
        <v>3383</v>
      </c>
      <c r="X305" s="495" t="s">
        <v>3388</v>
      </c>
      <c r="AA305" s="27"/>
      <c r="AB305" s="27"/>
      <c r="AC305" s="1072"/>
      <c r="AD305" s="585"/>
    </row>
    <row r="306" spans="6:30" ht="10.5" customHeight="1">
      <c r="F306" s="644"/>
      <c r="G306" s="1166" t="s">
        <v>2008</v>
      </c>
      <c r="H306" s="1166" t="s">
        <v>1211</v>
      </c>
      <c r="I306" s="1170" t="s">
        <v>103</v>
      </c>
      <c r="J306" s="1170" t="s">
        <v>2611</v>
      </c>
      <c r="K306" s="1168" t="s">
        <v>1173</v>
      </c>
      <c r="L306" s="1169" t="s">
        <v>423</v>
      </c>
      <c r="M306" s="1340" t="s">
        <v>2598</v>
      </c>
      <c r="N306" s="1339" t="s">
        <v>1696</v>
      </c>
      <c r="O306" s="1600" t="s">
        <v>4439</v>
      </c>
      <c r="P306" s="642" t="s">
        <v>336</v>
      </c>
      <c r="Q306" s="323"/>
      <c r="R306" s="190"/>
      <c r="S306" s="448"/>
      <c r="T306" s="572" t="s">
        <v>37</v>
      </c>
      <c r="U306" s="572" t="s">
        <v>176</v>
      </c>
      <c r="W306" s="495" t="s">
        <v>3384</v>
      </c>
      <c r="X306" s="495" t="s">
        <v>3388</v>
      </c>
      <c r="AA306" s="27"/>
      <c r="AB306" s="27"/>
      <c r="AC306" s="1072"/>
      <c r="AD306" s="585"/>
    </row>
    <row r="307" spans="6:30" ht="10.5" customHeight="1">
      <c r="F307" s="644"/>
      <c r="G307" s="1166" t="s">
        <v>104</v>
      </c>
      <c r="H307" s="1166" t="s">
        <v>1311</v>
      </c>
      <c r="I307" s="1170" t="s">
        <v>105</v>
      </c>
      <c r="J307" s="1170" t="s">
        <v>2611</v>
      </c>
      <c r="K307" s="1168" t="s">
        <v>1174</v>
      </c>
      <c r="L307" s="1169" t="s">
        <v>423</v>
      </c>
      <c r="M307" s="1340" t="s">
        <v>2598</v>
      </c>
      <c r="N307" s="1340" t="s">
        <v>1330</v>
      </c>
      <c r="O307" s="1600" t="s">
        <v>4440</v>
      </c>
      <c r="P307" s="642" t="s">
        <v>338</v>
      </c>
      <c r="Q307" s="323"/>
      <c r="R307" s="190"/>
      <c r="S307" s="448"/>
      <c r="T307" s="572" t="s">
        <v>1964</v>
      </c>
      <c r="U307" s="572" t="s">
        <v>2243</v>
      </c>
      <c r="W307" s="495" t="s">
        <v>521</v>
      </c>
      <c r="X307" s="495" t="s">
        <v>3388</v>
      </c>
      <c r="AA307" s="27"/>
      <c r="AB307" s="27"/>
      <c r="AC307" s="1072"/>
      <c r="AD307" s="585"/>
    </row>
    <row r="308" spans="6:30" ht="10.5" customHeight="1">
      <c r="F308" s="644"/>
      <c r="G308" s="1166" t="s">
        <v>106</v>
      </c>
      <c r="H308" s="1166" t="s">
        <v>1211</v>
      </c>
      <c r="I308" s="1170" t="s">
        <v>107</v>
      </c>
      <c r="J308" s="1170" t="s">
        <v>2611</v>
      </c>
      <c r="K308" s="1168" t="s">
        <v>1175</v>
      </c>
      <c r="L308" s="1169" t="s">
        <v>423</v>
      </c>
      <c r="M308" s="1340" t="s">
        <v>2598</v>
      </c>
      <c r="N308" s="1340" t="s">
        <v>1320</v>
      </c>
      <c r="O308" s="1600" t="s">
        <v>4441</v>
      </c>
      <c r="P308" s="642" t="s">
        <v>340</v>
      </c>
      <c r="Q308" s="323"/>
      <c r="R308" s="190"/>
      <c r="S308" s="448"/>
      <c r="T308" s="572" t="s">
        <v>1966</v>
      </c>
      <c r="U308" s="572" t="s">
        <v>2591</v>
      </c>
      <c r="W308" s="495" t="s">
        <v>523</v>
      </c>
      <c r="X308" s="495" t="s">
        <v>3388</v>
      </c>
      <c r="AA308" s="27"/>
      <c r="AB308" s="27"/>
      <c r="AC308" s="1072"/>
      <c r="AD308" s="585"/>
    </row>
    <row r="309" spans="6:30" ht="10.5" customHeight="1">
      <c r="F309" s="644"/>
      <c r="G309" s="1166" t="s">
        <v>108</v>
      </c>
      <c r="H309" s="1166" t="s">
        <v>1211</v>
      </c>
      <c r="I309" s="1170" t="s">
        <v>109</v>
      </c>
      <c r="J309" s="1170" t="s">
        <v>2611</v>
      </c>
      <c r="K309" s="1168" t="s">
        <v>1176</v>
      </c>
      <c r="L309" s="1169" t="s">
        <v>423</v>
      </c>
      <c r="M309" s="1340" t="s">
        <v>2598</v>
      </c>
      <c r="N309" s="1340" t="s">
        <v>1326</v>
      </c>
      <c r="O309" s="1600" t="s">
        <v>4442</v>
      </c>
      <c r="P309" s="642" t="s">
        <v>342</v>
      </c>
      <c r="Q309" s="323"/>
      <c r="R309" s="190"/>
      <c r="S309" s="448"/>
      <c r="T309" s="572" t="s">
        <v>335</v>
      </c>
      <c r="U309" s="572" t="s">
        <v>1949</v>
      </c>
      <c r="W309" s="495" t="s">
        <v>529</v>
      </c>
      <c r="X309" s="495" t="s">
        <v>3388</v>
      </c>
      <c r="AA309" s="27"/>
      <c r="AB309" s="27"/>
      <c r="AC309" s="1072"/>
      <c r="AD309" s="585"/>
    </row>
    <row r="310" spans="6:30" ht="10.5" customHeight="1">
      <c r="F310" s="644"/>
      <c r="G310" s="1166" t="s">
        <v>110</v>
      </c>
      <c r="H310" s="1166" t="s">
        <v>1211</v>
      </c>
      <c r="I310" s="1170" t="s">
        <v>111</v>
      </c>
      <c r="J310" s="1170" t="s">
        <v>2611</v>
      </c>
      <c r="K310" s="1168" t="s">
        <v>1177</v>
      </c>
      <c r="L310" s="1169" t="s">
        <v>423</v>
      </c>
      <c r="M310" s="1340" t="s">
        <v>2598</v>
      </c>
      <c r="N310" s="1340" t="s">
        <v>161</v>
      </c>
      <c r="O310" s="1600" t="s">
        <v>4443</v>
      </c>
      <c r="P310" s="642" t="s">
        <v>344</v>
      </c>
      <c r="Q310" s="323"/>
      <c r="R310" s="190"/>
      <c r="S310" s="448"/>
      <c r="T310" s="572" t="s">
        <v>337</v>
      </c>
      <c r="U310" s="572" t="s">
        <v>874</v>
      </c>
      <c r="W310" s="495" t="s">
        <v>542</v>
      </c>
      <c r="X310" s="495" t="s">
        <v>3388</v>
      </c>
      <c r="AA310" s="27"/>
      <c r="AB310" s="27"/>
      <c r="AC310" s="1072"/>
      <c r="AD310" s="585"/>
    </row>
    <row r="311" spans="6:30" ht="10.5" customHeight="1">
      <c r="F311" s="644"/>
      <c r="G311" s="1166" t="s">
        <v>112</v>
      </c>
      <c r="H311" s="1166" t="s">
        <v>1211</v>
      </c>
      <c r="I311" s="1170" t="s">
        <v>113</v>
      </c>
      <c r="J311" s="1170" t="s">
        <v>2611</v>
      </c>
      <c r="K311" s="1168" t="s">
        <v>2356</v>
      </c>
      <c r="L311" s="1169" t="s">
        <v>423</v>
      </c>
      <c r="M311" s="1340" t="s">
        <v>2598</v>
      </c>
      <c r="N311" s="1340" t="s">
        <v>1320</v>
      </c>
      <c r="O311" s="1600" t="s">
        <v>4444</v>
      </c>
      <c r="P311" s="642" t="s">
        <v>1939</v>
      </c>
      <c r="Q311" s="323"/>
      <c r="R311" s="190"/>
      <c r="S311" s="448"/>
      <c r="T311" s="572" t="s">
        <v>339</v>
      </c>
      <c r="U311" s="572" t="s">
        <v>179</v>
      </c>
      <c r="W311" s="495" t="s">
        <v>1635</v>
      </c>
      <c r="X311" s="495" t="s">
        <v>3388</v>
      </c>
      <c r="AA311" s="27"/>
      <c r="AB311" s="27"/>
      <c r="AC311" s="1072"/>
      <c r="AD311" s="585"/>
    </row>
    <row r="312" spans="6:30" ht="10.5" customHeight="1">
      <c r="F312" s="644"/>
      <c r="G312" s="1166" t="s">
        <v>114</v>
      </c>
      <c r="H312" s="1166" t="s">
        <v>1311</v>
      </c>
      <c r="I312" s="1170" t="s">
        <v>115</v>
      </c>
      <c r="J312" s="1170" t="s">
        <v>2611</v>
      </c>
      <c r="K312" s="1168" t="s">
        <v>2357</v>
      </c>
      <c r="L312" s="1169" t="s">
        <v>423</v>
      </c>
      <c r="M312" s="1340" t="s">
        <v>2598</v>
      </c>
      <c r="N312" s="1340" t="s">
        <v>166</v>
      </c>
      <c r="O312" s="1600" t="s">
        <v>4445</v>
      </c>
      <c r="P312" s="642" t="s">
        <v>1941</v>
      </c>
      <c r="Q312" s="323"/>
      <c r="R312" s="190"/>
      <c r="S312" s="448"/>
      <c r="T312" s="572" t="s">
        <v>341</v>
      </c>
      <c r="U312" s="572" t="s">
        <v>2398</v>
      </c>
      <c r="W312" s="495" t="s">
        <v>2094</v>
      </c>
      <c r="X312" s="495" t="s">
        <v>3388</v>
      </c>
      <c r="AA312" s="27"/>
      <c r="AB312" s="27"/>
      <c r="AC312" s="1072"/>
      <c r="AD312" s="585"/>
    </row>
    <row r="313" spans="6:30" ht="10.5" customHeight="1">
      <c r="F313" s="644"/>
      <c r="G313" s="1166" t="s">
        <v>1949</v>
      </c>
      <c r="H313" s="1166" t="s">
        <v>1311</v>
      </c>
      <c r="I313" s="1167" t="s">
        <v>335</v>
      </c>
      <c r="J313" s="1170" t="s">
        <v>2612</v>
      </c>
      <c r="K313" s="1168" t="s">
        <v>2358</v>
      </c>
      <c r="L313" s="1169" t="s">
        <v>424</v>
      </c>
      <c r="M313" s="1340" t="s">
        <v>1196</v>
      </c>
      <c r="N313" s="1340" t="s">
        <v>1521</v>
      </c>
      <c r="O313" s="1600" t="s">
        <v>4446</v>
      </c>
      <c r="P313" s="642" t="s">
        <v>2153</v>
      </c>
      <c r="Q313" s="323"/>
      <c r="R313" s="190"/>
      <c r="S313" s="448"/>
      <c r="T313" s="643" t="s">
        <v>343</v>
      </c>
      <c r="U313" s="643" t="s">
        <v>1876</v>
      </c>
      <c r="W313" s="495" t="s">
        <v>3385</v>
      </c>
      <c r="X313" s="495" t="s">
        <v>3388</v>
      </c>
      <c r="AA313" s="27"/>
      <c r="AB313" s="27"/>
      <c r="AC313" s="1072"/>
      <c r="AD313" s="585"/>
    </row>
    <row r="314" spans="6:30" ht="10.5" customHeight="1">
      <c r="F314" s="644"/>
      <c r="G314" s="1166" t="s">
        <v>1950</v>
      </c>
      <c r="H314" s="1166" t="s">
        <v>1211</v>
      </c>
      <c r="I314" s="1170" t="s">
        <v>2395</v>
      </c>
      <c r="J314" s="1167" t="s">
        <v>2611</v>
      </c>
      <c r="K314" s="1168" t="s">
        <v>2359</v>
      </c>
      <c r="L314" s="1169" t="s">
        <v>423</v>
      </c>
      <c r="M314" s="1340" t="s">
        <v>2598</v>
      </c>
      <c r="N314" s="1340" t="s">
        <v>1782</v>
      </c>
      <c r="O314" s="1600" t="s">
        <v>4447</v>
      </c>
      <c r="P314" s="642" t="s">
        <v>153</v>
      </c>
      <c r="Q314" s="323"/>
      <c r="R314" s="190"/>
      <c r="S314" s="448"/>
      <c r="T314" s="572" t="s">
        <v>345</v>
      </c>
      <c r="U314" s="572" t="s">
        <v>175</v>
      </c>
      <c r="W314" s="495" t="s">
        <v>2247</v>
      </c>
      <c r="X314" s="495" t="s">
        <v>3388</v>
      </c>
      <c r="AA314" s="27"/>
      <c r="AB314" s="27"/>
      <c r="AC314" s="1073"/>
      <c r="AD314" s="585"/>
    </row>
    <row r="315" spans="6:30" ht="10.5" customHeight="1">
      <c r="F315" s="644"/>
      <c r="G315" s="1166" t="s">
        <v>2396</v>
      </c>
      <c r="H315" s="1166" t="s">
        <v>1311</v>
      </c>
      <c r="I315" s="1170" t="s">
        <v>2397</v>
      </c>
      <c r="J315" s="1170" t="s">
        <v>2611</v>
      </c>
      <c r="K315" s="1168" t="s">
        <v>421</v>
      </c>
      <c r="L315" s="1169" t="s">
        <v>423</v>
      </c>
      <c r="M315" s="1340" t="s">
        <v>2598</v>
      </c>
      <c r="N315" s="1340" t="s">
        <v>1330</v>
      </c>
      <c r="O315" s="1600" t="s">
        <v>4448</v>
      </c>
      <c r="P315" s="642" t="s">
        <v>154</v>
      </c>
      <c r="Q315" s="323"/>
      <c r="R315" s="190"/>
      <c r="S315" s="448"/>
      <c r="T315" s="572" t="s">
        <v>1940</v>
      </c>
      <c r="U315" s="572" t="s">
        <v>106</v>
      </c>
      <c r="W315" s="495" t="s">
        <v>398</v>
      </c>
      <c r="X315" s="495" t="s">
        <v>3388</v>
      </c>
      <c r="AA315" s="27"/>
      <c r="AB315" s="27"/>
      <c r="AC315" s="1072"/>
      <c r="AD315" s="585"/>
    </row>
    <row r="316" spans="6:30" ht="10.5" customHeight="1">
      <c r="F316" s="644"/>
      <c r="G316" s="1166" t="s">
        <v>2398</v>
      </c>
      <c r="H316" s="1166" t="s">
        <v>1211</v>
      </c>
      <c r="I316" s="1170" t="s">
        <v>2399</v>
      </c>
      <c r="J316" s="1170" t="s">
        <v>2611</v>
      </c>
      <c r="K316" s="1168" t="s">
        <v>422</v>
      </c>
      <c r="L316" s="1169" t="s">
        <v>423</v>
      </c>
      <c r="M316" s="1340" t="s">
        <v>2598</v>
      </c>
      <c r="N316" s="1340" t="s">
        <v>1320</v>
      </c>
      <c r="O316" s="1600" t="s">
        <v>4449</v>
      </c>
      <c r="P316" s="642" t="s">
        <v>1580</v>
      </c>
      <c r="Q316" s="323"/>
      <c r="R316" s="190"/>
      <c r="S316" s="448"/>
      <c r="T316" s="572" t="s">
        <v>195</v>
      </c>
      <c r="U316" s="572" t="s">
        <v>1665</v>
      </c>
      <c r="W316" s="495" t="s">
        <v>1839</v>
      </c>
      <c r="X316" s="495" t="s">
        <v>3388</v>
      </c>
      <c r="AA316" s="27"/>
      <c r="AB316" s="27"/>
      <c r="AC316" s="1072"/>
      <c r="AD316" s="585"/>
    </row>
    <row r="317" spans="6:30" ht="10.5" customHeight="1">
      <c r="F317" s="371"/>
      <c r="G317" s="1166" t="s">
        <v>2400</v>
      </c>
      <c r="H317" s="1166" t="s">
        <v>1211</v>
      </c>
      <c r="I317" s="1170" t="s">
        <v>1782</v>
      </c>
      <c r="J317" s="1170" t="s">
        <v>2612</v>
      </c>
      <c r="K317" s="1168" t="s">
        <v>1161</v>
      </c>
      <c r="L317" s="1169" t="s">
        <v>424</v>
      </c>
      <c r="M317" s="1339" t="s">
        <v>2598</v>
      </c>
      <c r="N317" s="1340" t="s">
        <v>1782</v>
      </c>
      <c r="O317" s="1600" t="s">
        <v>4450</v>
      </c>
      <c r="P317" s="642" t="s">
        <v>790</v>
      </c>
      <c r="Q317" s="323"/>
      <c r="R317" s="190"/>
      <c r="S317" s="448"/>
      <c r="T317" s="572" t="s">
        <v>2154</v>
      </c>
      <c r="U317" s="572" t="s">
        <v>195</v>
      </c>
      <c r="W317" s="495" t="s">
        <v>2271</v>
      </c>
      <c r="X317" s="495" t="s">
        <v>3388</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2176</v>
      </c>
      <c r="W318" s="495" t="s">
        <v>562</v>
      </c>
      <c r="X318" s="495" t="s">
        <v>3388</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1875</v>
      </c>
      <c r="W319" s="495" t="s">
        <v>1451</v>
      </c>
      <c r="X319" s="495" t="s">
        <v>3388</v>
      </c>
      <c r="AA319" s="27"/>
      <c r="AB319" s="27"/>
      <c r="AC319" s="1072"/>
      <c r="AD319" s="585"/>
    </row>
    <row r="320" spans="6:30" ht="10.5" customHeight="1">
      <c r="F320" s="371"/>
      <c r="G320" s="346"/>
      <c r="H320" s="346"/>
      <c r="I320" s="346"/>
      <c r="J320" s="346"/>
      <c r="K320" s="346"/>
      <c r="L320" s="346"/>
      <c r="M320" s="346"/>
      <c r="N320" s="346"/>
      <c r="O320" s="346"/>
      <c r="P320" s="642" t="s">
        <v>2421</v>
      </c>
      <c r="Q320" s="323"/>
      <c r="R320" s="190"/>
      <c r="S320" s="448"/>
      <c r="T320" s="572" t="s">
        <v>196</v>
      </c>
      <c r="U320" s="572" t="s">
        <v>628</v>
      </c>
      <c r="W320" s="495" t="s">
        <v>1582</v>
      </c>
      <c r="X320" s="495" t="s">
        <v>3388</v>
      </c>
      <c r="AA320" s="27"/>
      <c r="AB320" s="27"/>
      <c r="AC320" s="1073"/>
      <c r="AD320" s="585"/>
    </row>
    <row r="321" spans="6:30" ht="10.5" customHeight="1">
      <c r="F321" s="371"/>
      <c r="G321" s="346"/>
      <c r="H321" s="346"/>
      <c r="I321" s="346"/>
      <c r="J321" s="346"/>
      <c r="K321" s="346"/>
      <c r="L321" s="346"/>
      <c r="M321" s="346"/>
      <c r="N321" s="346"/>
      <c r="O321" s="346"/>
      <c r="P321" s="642" t="s">
        <v>2422</v>
      </c>
      <c r="Q321" s="323"/>
      <c r="R321" s="190"/>
      <c r="S321" s="448"/>
      <c r="T321" s="572" t="s">
        <v>2567</v>
      </c>
      <c r="U321" s="572" t="s">
        <v>2008</v>
      </c>
      <c r="W321" s="495" t="s">
        <v>2119</v>
      </c>
      <c r="X321" s="495" t="s">
        <v>3388</v>
      </c>
      <c r="AA321" s="27"/>
      <c r="AB321" s="27"/>
      <c r="AC321" s="1072"/>
      <c r="AD321" s="585"/>
    </row>
    <row r="322" spans="6:30" ht="10.5" customHeight="1">
      <c r="F322" s="371"/>
      <c r="G322" s="346"/>
      <c r="H322" s="346"/>
      <c r="I322" s="346"/>
      <c r="J322" s="346"/>
      <c r="K322" s="346"/>
      <c r="L322" s="346"/>
      <c r="M322" s="346"/>
      <c r="N322" s="346"/>
      <c r="O322" s="346"/>
      <c r="P322" s="642" t="s">
        <v>2424</v>
      </c>
      <c r="Q322" s="323"/>
      <c r="R322" s="190"/>
      <c r="S322" s="448"/>
      <c r="T322" s="572" t="s">
        <v>791</v>
      </c>
      <c r="U322" s="572" t="s">
        <v>106</v>
      </c>
      <c r="W322" s="495" t="s">
        <v>2121</v>
      </c>
      <c r="X322" s="495" t="s">
        <v>3388</v>
      </c>
      <c r="AA322" s="27"/>
      <c r="AB322" s="27"/>
      <c r="AC322" s="1072"/>
      <c r="AD322" s="585"/>
    </row>
    <row r="323" spans="6:30" ht="10.5" customHeight="1">
      <c r="F323" s="371"/>
      <c r="G323" s="346"/>
      <c r="H323" s="346"/>
      <c r="I323" s="346"/>
      <c r="J323" s="346"/>
      <c r="K323" s="346"/>
      <c r="L323" s="346"/>
      <c r="M323" s="346"/>
      <c r="N323" s="346"/>
      <c r="O323" s="346"/>
      <c r="P323" s="642" t="s">
        <v>2426</v>
      </c>
      <c r="Q323" s="323"/>
      <c r="R323" s="190"/>
      <c r="S323" s="448"/>
      <c r="T323" s="572" t="s">
        <v>793</v>
      </c>
      <c r="U323" s="572" t="s">
        <v>122</v>
      </c>
      <c r="W323" s="495" t="s">
        <v>1441</v>
      </c>
      <c r="X323" s="495" t="s">
        <v>3388</v>
      </c>
      <c r="AA323" s="27"/>
      <c r="AB323" s="27"/>
      <c r="AC323" s="1072"/>
      <c r="AD323" s="585"/>
    </row>
    <row r="324" spans="6:30" ht="10.5" customHeight="1">
      <c r="F324" s="371"/>
      <c r="G324" s="346"/>
      <c r="H324" s="346"/>
      <c r="I324" s="346"/>
      <c r="J324" s="346"/>
      <c r="K324" s="346"/>
      <c r="L324" s="346"/>
      <c r="M324" s="346"/>
      <c r="N324" s="346"/>
      <c r="O324" s="346"/>
      <c r="P324" s="642" t="s">
        <v>2427</v>
      </c>
      <c r="Q324" s="323"/>
      <c r="R324" s="190"/>
      <c r="S324" s="448"/>
      <c r="T324" s="572" t="s">
        <v>795</v>
      </c>
      <c r="U324" s="572" t="s">
        <v>326</v>
      </c>
      <c r="W324" s="495" t="s">
        <v>1556</v>
      </c>
      <c r="X324" s="495" t="s">
        <v>3388</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2853</v>
      </c>
      <c r="U325" s="572" t="s">
        <v>878</v>
      </c>
      <c r="W325" s="495" t="s">
        <v>1183</v>
      </c>
      <c r="X325" s="495" t="s">
        <v>3388</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2423</v>
      </c>
      <c r="U326" s="643" t="s">
        <v>1453</v>
      </c>
      <c r="W326" s="495" t="s">
        <v>1750</v>
      </c>
      <c r="X326" s="495" t="s">
        <v>3388</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2425</v>
      </c>
      <c r="U327" s="572" t="s">
        <v>1105</v>
      </c>
      <c r="W327" s="495" t="s">
        <v>1815</v>
      </c>
      <c r="X327" s="495" t="s">
        <v>3388</v>
      </c>
      <c r="AA327" s="27"/>
      <c r="AB327" s="27"/>
      <c r="AC327" s="1073"/>
      <c r="AD327" s="585"/>
    </row>
    <row r="328" spans="6:30" ht="10.5" customHeight="1">
      <c r="F328" s="371"/>
      <c r="G328" s="346"/>
      <c r="H328" s="346"/>
      <c r="I328" s="346"/>
      <c r="J328" s="346"/>
      <c r="K328" s="346"/>
      <c r="L328" s="346"/>
      <c r="M328" s="346"/>
      <c r="N328" s="346"/>
      <c r="O328" s="346"/>
      <c r="P328" s="642" t="s">
        <v>1921</v>
      </c>
      <c r="Q328" s="323"/>
      <c r="R328" s="190"/>
      <c r="S328" s="448"/>
      <c r="T328" s="572" t="s">
        <v>2568</v>
      </c>
      <c r="U328" s="572" t="s">
        <v>666</v>
      </c>
      <c r="W328" s="495" t="s">
        <v>1103</v>
      </c>
      <c r="X328" s="495" t="s">
        <v>3388</v>
      </c>
      <c r="AA328" s="27"/>
      <c r="AB328" s="27"/>
      <c r="AC328" s="1072"/>
      <c r="AD328" s="585"/>
    </row>
    <row r="329" spans="6:30" ht="10.5" customHeight="1">
      <c r="F329" s="371"/>
      <c r="G329" s="346"/>
      <c r="H329" s="346"/>
      <c r="I329" s="346"/>
      <c r="J329" s="346"/>
      <c r="K329" s="346"/>
      <c r="L329" s="346"/>
      <c r="M329" s="346"/>
      <c r="N329" s="346"/>
      <c r="O329" s="346"/>
      <c r="P329" s="642" t="s">
        <v>1922</v>
      </c>
      <c r="Q329" s="323"/>
      <c r="R329" s="190"/>
      <c r="S329" s="448"/>
      <c r="T329" s="572" t="s">
        <v>380</v>
      </c>
      <c r="U329" s="572" t="s">
        <v>2488</v>
      </c>
      <c r="W329" s="495" t="s">
        <v>3386</v>
      </c>
      <c r="X329" s="495" t="s">
        <v>3388</v>
      </c>
      <c r="AA329" s="27"/>
      <c r="AB329" s="27"/>
      <c r="AC329" s="1072"/>
      <c r="AD329" s="585"/>
    </row>
    <row r="330" spans="6:30" ht="10.5" customHeight="1">
      <c r="F330" s="371"/>
      <c r="G330" s="346"/>
      <c r="H330" s="346"/>
      <c r="I330" s="346"/>
      <c r="J330" s="346"/>
      <c r="K330" s="346"/>
      <c r="L330" s="346"/>
      <c r="M330" s="346"/>
      <c r="N330" s="346"/>
      <c r="O330" s="346"/>
      <c r="P330" s="642" t="s">
        <v>1924</v>
      </c>
      <c r="Q330" s="323"/>
      <c r="R330" s="190"/>
      <c r="S330" s="448"/>
      <c r="T330" s="645" t="s">
        <v>382</v>
      </c>
      <c r="U330" s="572" t="s">
        <v>2169</v>
      </c>
      <c r="W330" s="495" t="s">
        <v>2143</v>
      </c>
      <c r="X330" s="495" t="s">
        <v>3388</v>
      </c>
      <c r="AA330" s="27"/>
      <c r="AB330" s="27"/>
      <c r="AC330" s="1072"/>
      <c r="AD330" s="585"/>
    </row>
    <row r="331" spans="6:30" ht="10.5" customHeight="1">
      <c r="F331" s="371"/>
      <c r="G331" s="346"/>
      <c r="H331" s="346"/>
      <c r="I331" s="346"/>
      <c r="J331" s="346"/>
      <c r="K331" s="346"/>
      <c r="L331" s="346"/>
      <c r="M331" s="346"/>
      <c r="N331" s="346"/>
      <c r="O331" s="346"/>
      <c r="P331" s="642" t="s">
        <v>1925</v>
      </c>
      <c r="Q331" s="323"/>
      <c r="R331" s="190"/>
      <c r="S331" s="448"/>
      <c r="T331" s="572" t="s">
        <v>48</v>
      </c>
      <c r="U331" s="572" t="s">
        <v>953</v>
      </c>
      <c r="W331" s="495" t="s">
        <v>1519</v>
      </c>
      <c r="X331" s="495" t="s">
        <v>3388</v>
      </c>
      <c r="AA331" s="27"/>
      <c r="AB331" s="27"/>
      <c r="AC331" s="1074"/>
      <c r="AD331" s="585"/>
    </row>
    <row r="332" spans="6:30" ht="10.5" customHeight="1">
      <c r="F332" s="371"/>
      <c r="G332" s="346"/>
      <c r="H332" s="346"/>
      <c r="I332" s="346"/>
      <c r="J332" s="346"/>
      <c r="K332" s="346"/>
      <c r="L332" s="346"/>
      <c r="M332" s="346"/>
      <c r="N332" s="346"/>
      <c r="O332" s="346"/>
      <c r="P332" s="642" t="s">
        <v>1926</v>
      </c>
      <c r="Q332" s="323"/>
      <c r="R332" s="190"/>
      <c r="S332" s="448"/>
      <c r="T332" s="572" t="s">
        <v>50</v>
      </c>
      <c r="U332" s="572" t="s">
        <v>628</v>
      </c>
      <c r="W332" s="495" t="s">
        <v>63</v>
      </c>
      <c r="X332" s="495" t="s">
        <v>3388</v>
      </c>
      <c r="AA332" s="27"/>
      <c r="AB332" s="27"/>
      <c r="AC332" s="1072"/>
      <c r="AD332" s="585"/>
    </row>
    <row r="333" spans="6:30" ht="10.5" customHeight="1">
      <c r="F333" s="371"/>
      <c r="G333" s="346"/>
      <c r="H333" s="346"/>
      <c r="I333" s="346"/>
      <c r="J333" s="346"/>
      <c r="K333" s="346"/>
      <c r="L333" s="346"/>
      <c r="M333" s="346"/>
      <c r="N333" s="346"/>
      <c r="O333" s="346"/>
      <c r="P333" s="642" t="s">
        <v>1928</v>
      </c>
      <c r="Q333" s="323"/>
      <c r="R333" s="190"/>
      <c r="S333" s="448"/>
      <c r="T333" s="572" t="s">
        <v>873</v>
      </c>
      <c r="U333" s="572" t="s">
        <v>2486</v>
      </c>
      <c r="W333" s="495" t="s">
        <v>67</v>
      </c>
      <c r="X333" s="495" t="s">
        <v>3388</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1923</v>
      </c>
      <c r="U334" s="643" t="s">
        <v>873</v>
      </c>
      <c r="W334" s="495" t="s">
        <v>69</v>
      </c>
      <c r="X334" s="495" t="s">
        <v>3388</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2569</v>
      </c>
      <c r="U335" s="643" t="s">
        <v>628</v>
      </c>
      <c r="W335" s="495" t="s">
        <v>777</v>
      </c>
      <c r="X335" s="495" t="s">
        <v>3388</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2854</v>
      </c>
      <c r="U336" s="572" t="s">
        <v>2483</v>
      </c>
      <c r="W336" s="495" t="s">
        <v>941</v>
      </c>
      <c r="X336" s="495" t="s">
        <v>3388</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1927</v>
      </c>
      <c r="U337" s="572" t="s">
        <v>1453</v>
      </c>
      <c r="W337" s="495" t="s">
        <v>1043</v>
      </c>
      <c r="X337" s="495" t="s">
        <v>3388</v>
      </c>
      <c r="AA337" s="27"/>
      <c r="AB337" s="27"/>
      <c r="AC337" s="1072"/>
      <c r="AD337" s="585"/>
    </row>
    <row r="338" spans="6:30" ht="10.5" customHeight="1">
      <c r="F338" s="371"/>
      <c r="G338" s="346"/>
      <c r="H338" s="346"/>
      <c r="I338" s="346"/>
      <c r="J338" s="346"/>
      <c r="K338" s="346"/>
      <c r="L338" s="346"/>
      <c r="M338" s="346"/>
      <c r="N338" s="346"/>
      <c r="O338" s="346"/>
      <c r="P338" s="642" t="s">
        <v>2512</v>
      </c>
      <c r="Q338" s="323"/>
      <c r="R338" s="190"/>
      <c r="S338" s="448"/>
      <c r="T338" s="572" t="s">
        <v>1929</v>
      </c>
      <c r="U338" s="572" t="s">
        <v>1453</v>
      </c>
      <c r="W338" s="495" t="s">
        <v>2267</v>
      </c>
      <c r="X338" s="495" t="s">
        <v>3388</v>
      </c>
      <c r="AA338" s="27"/>
      <c r="AB338" s="27"/>
      <c r="AC338" s="1072"/>
      <c r="AD338" s="585"/>
    </row>
    <row r="339" spans="6:30" ht="10.5" customHeight="1">
      <c r="F339" s="371"/>
      <c r="G339" s="346"/>
      <c r="H339" s="346"/>
      <c r="I339" s="346"/>
      <c r="J339" s="346"/>
      <c r="K339" s="346"/>
      <c r="L339" s="346"/>
      <c r="M339" s="346"/>
      <c r="N339" s="346"/>
      <c r="O339" s="346"/>
      <c r="P339" s="642" t="s">
        <v>2514</v>
      </c>
      <c r="Q339" s="323"/>
      <c r="R339" s="190"/>
      <c r="S339" s="448"/>
      <c r="T339" s="572" t="s">
        <v>717</v>
      </c>
      <c r="U339" s="572" t="s">
        <v>121</v>
      </c>
      <c r="W339" s="495" t="s">
        <v>2520</v>
      </c>
      <c r="X339" s="495" t="s">
        <v>3388</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2163</v>
      </c>
      <c r="X340" s="495" t="s">
        <v>3388</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2855</v>
      </c>
      <c r="U341" s="572" t="s">
        <v>159</v>
      </c>
      <c r="W341" s="495" t="s">
        <v>1614</v>
      </c>
      <c r="X341" s="495" t="s">
        <v>3388</v>
      </c>
      <c r="AA341" s="27"/>
      <c r="AB341" s="27"/>
      <c r="AC341" s="1072"/>
      <c r="AD341" s="585"/>
    </row>
    <row r="342" spans="6:30" ht="10.5" customHeight="1">
      <c r="F342" s="371"/>
      <c r="G342" s="346"/>
      <c r="H342" s="346"/>
      <c r="I342" s="346"/>
      <c r="J342" s="346"/>
      <c r="K342" s="346"/>
      <c r="L342" s="346"/>
      <c r="M342" s="346"/>
      <c r="N342" s="346"/>
      <c r="O342" s="346"/>
      <c r="P342" s="642" t="s">
        <v>1823</v>
      </c>
      <c r="Q342" s="323"/>
      <c r="R342" s="190"/>
      <c r="S342" s="448"/>
      <c r="T342" s="572" t="s">
        <v>2856</v>
      </c>
      <c r="U342" s="572" t="s">
        <v>316</v>
      </c>
      <c r="W342" s="495" t="s">
        <v>2415</v>
      </c>
      <c r="X342" s="495" t="s">
        <v>3388</v>
      </c>
      <c r="AA342" s="27"/>
      <c r="AB342" s="27"/>
      <c r="AC342" s="1072"/>
      <c r="AD342" s="585"/>
    </row>
    <row r="343" spans="6:30" ht="10.5" customHeight="1">
      <c r="F343" s="371"/>
      <c r="G343" s="346"/>
      <c r="H343" s="346"/>
      <c r="I343" s="346"/>
      <c r="J343" s="346"/>
      <c r="K343" s="346"/>
      <c r="L343" s="346"/>
      <c r="M343" s="346"/>
      <c r="N343" s="346"/>
      <c r="O343" s="346"/>
      <c r="P343" s="642" t="s">
        <v>1825</v>
      </c>
      <c r="Q343" s="323"/>
      <c r="R343" s="190"/>
      <c r="S343" s="448"/>
      <c r="T343" s="572" t="s">
        <v>1140</v>
      </c>
      <c r="U343" s="572" t="s">
        <v>1453</v>
      </c>
      <c r="W343" s="495" t="s">
        <v>815</v>
      </c>
      <c r="X343" s="495" t="s">
        <v>3388</v>
      </c>
      <c r="AA343" s="27"/>
      <c r="AB343" s="27"/>
      <c r="AC343" s="1072"/>
      <c r="AD343" s="585"/>
    </row>
    <row r="344" spans="6:30" ht="10.5" customHeight="1">
      <c r="F344" s="371"/>
      <c r="G344" s="346"/>
      <c r="H344" s="346"/>
      <c r="I344" s="346"/>
      <c r="J344" s="346"/>
      <c r="K344" s="346"/>
      <c r="L344" s="346"/>
      <c r="M344" s="346"/>
      <c r="N344" s="346"/>
      <c r="O344" s="346"/>
      <c r="P344" s="642" t="s">
        <v>1890</v>
      </c>
      <c r="Q344" s="323"/>
      <c r="R344" s="190"/>
      <c r="S344" s="448"/>
      <c r="T344" s="572" t="s">
        <v>1142</v>
      </c>
      <c r="U344" s="572" t="s">
        <v>662</v>
      </c>
      <c r="W344" s="495" t="s">
        <v>168</v>
      </c>
      <c r="X344" s="495" t="s">
        <v>3388</v>
      </c>
      <c r="AA344" s="27"/>
      <c r="AB344" s="27"/>
      <c r="AC344" s="1072"/>
      <c r="AD344" s="585"/>
    </row>
    <row r="345" spans="6:30" ht="10.5" customHeight="1">
      <c r="F345" s="371"/>
      <c r="G345" s="346"/>
      <c r="H345" s="346"/>
      <c r="I345" s="346"/>
      <c r="J345" s="346"/>
      <c r="K345" s="346"/>
      <c r="L345" s="346"/>
      <c r="M345" s="346"/>
      <c r="N345" s="346"/>
      <c r="O345" s="346"/>
      <c r="P345" s="642" t="s">
        <v>1892</v>
      </c>
      <c r="Q345" s="323"/>
      <c r="R345" s="190"/>
      <c r="S345" s="448"/>
      <c r="T345" s="572" t="s">
        <v>2570</v>
      </c>
      <c r="U345" s="572" t="s">
        <v>2171</v>
      </c>
      <c r="W345" s="495" t="s">
        <v>1326</v>
      </c>
      <c r="X345" s="495" t="s">
        <v>3388</v>
      </c>
      <c r="AA345" s="27"/>
      <c r="AB345" s="27"/>
      <c r="AC345" s="1072"/>
      <c r="AD345" s="585"/>
    </row>
    <row r="346" spans="6:30" ht="10.5" customHeight="1">
      <c r="F346" s="371"/>
      <c r="G346" s="346"/>
      <c r="H346" s="346"/>
      <c r="I346" s="346"/>
      <c r="J346" s="346"/>
      <c r="K346" s="346"/>
      <c r="L346" s="346"/>
      <c r="M346" s="346"/>
      <c r="N346" s="346"/>
      <c r="O346" s="346"/>
      <c r="P346" s="642" t="s">
        <v>1893</v>
      </c>
      <c r="Q346" s="323"/>
      <c r="R346" s="190"/>
      <c r="S346" s="448"/>
      <c r="T346" s="572" t="s">
        <v>2571</v>
      </c>
      <c r="U346" s="572" t="s">
        <v>2530</v>
      </c>
      <c r="W346" s="495" t="s">
        <v>1072</v>
      </c>
      <c r="X346" s="495" t="s">
        <v>3388</v>
      </c>
      <c r="AA346" s="27"/>
      <c r="AB346" s="27"/>
      <c r="AC346" s="1072"/>
      <c r="AD346" s="585"/>
    </row>
    <row r="347" spans="6:30" ht="10.5" customHeight="1">
      <c r="F347" s="371"/>
      <c r="G347" s="346"/>
      <c r="H347" s="346"/>
      <c r="I347" s="346"/>
      <c r="J347" s="346"/>
      <c r="K347" s="346"/>
      <c r="L347" s="346"/>
      <c r="M347" s="346"/>
      <c r="N347" s="346"/>
      <c r="O347" s="346"/>
      <c r="P347" s="642" t="s">
        <v>1895</v>
      </c>
      <c r="Q347" s="323"/>
      <c r="R347" s="190"/>
      <c r="S347" s="448"/>
      <c r="T347" s="572" t="s">
        <v>1144</v>
      </c>
      <c r="U347" s="572" t="s">
        <v>1206</v>
      </c>
      <c r="W347" s="495" t="s">
        <v>1991</v>
      </c>
      <c r="X347" s="495" t="s">
        <v>3388</v>
      </c>
      <c r="AA347" s="27"/>
      <c r="AB347" s="27"/>
      <c r="AC347" s="1072"/>
      <c r="AD347" s="585"/>
    </row>
    <row r="348" spans="6:30" ht="10.5" customHeight="1">
      <c r="F348" s="371"/>
      <c r="G348" s="346"/>
      <c r="H348" s="346"/>
      <c r="I348" s="346"/>
      <c r="J348" s="346"/>
      <c r="K348" s="346"/>
      <c r="L348" s="346"/>
      <c r="M348" s="346"/>
      <c r="N348" s="346"/>
      <c r="O348" s="346"/>
      <c r="P348" s="642" t="s">
        <v>1897</v>
      </c>
      <c r="Q348" s="323"/>
      <c r="R348" s="190"/>
      <c r="S348" s="448"/>
      <c r="T348" s="572" t="s">
        <v>2513</v>
      </c>
      <c r="U348" s="572" t="s">
        <v>199</v>
      </c>
      <c r="W348" s="495" t="s">
        <v>1887</v>
      </c>
      <c r="X348" s="495" t="s">
        <v>3388</v>
      </c>
      <c r="AA348" s="27"/>
      <c r="AB348" s="27"/>
      <c r="AC348" s="1072"/>
      <c r="AD348" s="585"/>
    </row>
    <row r="349" spans="6:30" ht="10.5" customHeight="1">
      <c r="F349" s="371"/>
      <c r="G349" s="346"/>
      <c r="H349" s="346"/>
      <c r="I349" s="346"/>
      <c r="J349" s="346"/>
      <c r="K349" s="346"/>
      <c r="L349" s="346"/>
      <c r="M349" s="346"/>
      <c r="N349" s="346"/>
      <c r="O349" s="346"/>
      <c r="P349" s="642" t="s">
        <v>1931</v>
      </c>
      <c r="Q349" s="323"/>
      <c r="R349" s="190"/>
      <c r="S349" s="448"/>
      <c r="T349" s="572" t="s">
        <v>455</v>
      </c>
      <c r="U349" s="572" t="s">
        <v>1101</v>
      </c>
      <c r="W349" s="495" t="s">
        <v>2535</v>
      </c>
      <c r="X349" s="495" t="s">
        <v>3388</v>
      </c>
      <c r="AA349" s="27"/>
      <c r="AB349" s="27"/>
      <c r="AC349" s="1072"/>
      <c r="AD349" s="585"/>
    </row>
    <row r="350" spans="6:30" ht="10.5" customHeight="1">
      <c r="F350" s="371"/>
      <c r="G350" s="346"/>
      <c r="H350" s="346"/>
      <c r="I350" s="346"/>
      <c r="J350" s="346"/>
      <c r="K350" s="346"/>
      <c r="L350" s="346"/>
      <c r="M350" s="346"/>
      <c r="N350" s="346"/>
      <c r="O350" s="346"/>
      <c r="P350" s="642" t="s">
        <v>1933</v>
      </c>
      <c r="Q350" s="323"/>
      <c r="R350" s="190"/>
      <c r="S350" s="448"/>
      <c r="T350" s="643" t="s">
        <v>4739</v>
      </c>
      <c r="U350" s="643" t="s">
        <v>664</v>
      </c>
      <c r="W350" s="495" t="s">
        <v>1155</v>
      </c>
      <c r="X350" s="495" t="s">
        <v>3388</v>
      </c>
      <c r="AA350" s="27"/>
      <c r="AB350" s="27"/>
      <c r="AC350" s="1072"/>
      <c r="AD350" s="585"/>
    </row>
    <row r="351" spans="6:30" ht="10.5" customHeight="1">
      <c r="F351" s="371"/>
      <c r="G351" s="346"/>
      <c r="H351" s="346"/>
      <c r="I351" s="346"/>
      <c r="J351" s="346"/>
      <c r="K351" s="346"/>
      <c r="L351" s="346"/>
      <c r="M351" s="346"/>
      <c r="N351" s="346"/>
      <c r="O351" s="346"/>
      <c r="P351" s="642" t="s">
        <v>1934</v>
      </c>
      <c r="Q351" s="323"/>
      <c r="R351" s="190"/>
      <c r="S351" s="448"/>
      <c r="T351" s="643" t="s">
        <v>301</v>
      </c>
      <c r="U351" s="643" t="s">
        <v>1332</v>
      </c>
      <c r="W351" s="495" t="s">
        <v>2516</v>
      </c>
      <c r="X351" s="495" t="s">
        <v>3388</v>
      </c>
      <c r="AA351" s="27"/>
      <c r="AB351" s="27"/>
      <c r="AC351" s="1073"/>
      <c r="AD351" s="585"/>
    </row>
    <row r="352" spans="6:30" ht="10.5" customHeight="1">
      <c r="F352" s="371"/>
      <c r="G352" s="346"/>
      <c r="H352" s="346"/>
      <c r="I352" s="346"/>
      <c r="J352" s="346"/>
      <c r="K352" s="346"/>
      <c r="L352" s="346"/>
      <c r="M352" s="346"/>
      <c r="N352" s="346"/>
      <c r="O352" s="346"/>
      <c r="P352" s="642" t="s">
        <v>1936</v>
      </c>
      <c r="Q352" s="323"/>
      <c r="R352" s="190"/>
      <c r="S352" s="448"/>
      <c r="T352" s="643" t="s">
        <v>1824</v>
      </c>
      <c r="U352" s="643" t="s">
        <v>878</v>
      </c>
      <c r="W352" s="495" t="s">
        <v>816</v>
      </c>
      <c r="X352" s="495" t="s">
        <v>3388</v>
      </c>
      <c r="AA352" s="27"/>
      <c r="AB352" s="27"/>
      <c r="AC352" s="1073"/>
      <c r="AD352" s="585"/>
    </row>
    <row r="353" spans="6:30" ht="10.5" customHeight="1">
      <c r="F353" s="371"/>
      <c r="G353" s="346"/>
      <c r="H353" s="346"/>
      <c r="I353" s="346"/>
      <c r="J353" s="346"/>
      <c r="K353" s="346"/>
      <c r="L353" s="346"/>
      <c r="M353" s="346"/>
      <c r="N353" s="346"/>
      <c r="O353" s="346"/>
      <c r="P353" s="642" t="s">
        <v>1938</v>
      </c>
      <c r="Q353" s="323"/>
      <c r="R353" s="190"/>
      <c r="S353" s="448"/>
      <c r="T353" s="572" t="s">
        <v>1826</v>
      </c>
      <c r="U353" s="572" t="s">
        <v>1111</v>
      </c>
      <c r="W353" s="495" t="s">
        <v>2101</v>
      </c>
      <c r="X353" s="495" t="s">
        <v>3388</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1891</v>
      </c>
      <c r="U354" s="572" t="s">
        <v>2488</v>
      </c>
      <c r="W354" s="495" t="s">
        <v>939</v>
      </c>
      <c r="X354" s="495" t="s">
        <v>3388</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1894</v>
      </c>
      <c r="U355" s="643" t="s">
        <v>662</v>
      </c>
      <c r="W355" s="495" t="s">
        <v>2501</v>
      </c>
      <c r="X355" s="495" t="s">
        <v>3388</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1896</v>
      </c>
      <c r="U356" s="572" t="s">
        <v>1314</v>
      </c>
      <c r="W356" s="495" t="s">
        <v>1904</v>
      </c>
      <c r="X356" s="495" t="s">
        <v>3388</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2857</v>
      </c>
      <c r="U357" s="572" t="s">
        <v>199</v>
      </c>
      <c r="W357" s="495" t="s">
        <v>1413</v>
      </c>
      <c r="X357" s="495" t="s">
        <v>3388</v>
      </c>
      <c r="AA357" s="27"/>
      <c r="AB357" s="27"/>
      <c r="AC357" s="1072"/>
      <c r="AD357" s="585"/>
    </row>
    <row r="358" spans="6:30" ht="10.5" customHeight="1">
      <c r="F358" s="371"/>
      <c r="G358" s="346"/>
      <c r="H358" s="346"/>
      <c r="I358" s="346"/>
      <c r="J358" s="346"/>
      <c r="K358" s="346"/>
      <c r="L358" s="346"/>
      <c r="M358" s="346"/>
      <c r="N358" s="346"/>
      <c r="O358" s="346"/>
      <c r="P358" s="642" t="s">
        <v>2277</v>
      </c>
      <c r="Q358" s="323"/>
      <c r="R358" s="190"/>
      <c r="S358" s="448"/>
      <c r="T358" s="572" t="s">
        <v>1898</v>
      </c>
      <c r="U358" s="572" t="s">
        <v>1317</v>
      </c>
      <c r="W358" s="495" t="s">
        <v>2257</v>
      </c>
      <c r="X358" s="495" t="s">
        <v>3388</v>
      </c>
      <c r="AA358" s="27"/>
      <c r="AB358" s="27"/>
      <c r="AC358" s="1072"/>
      <c r="AD358" s="585"/>
    </row>
    <row r="359" spans="6:30" ht="10.5" customHeight="1">
      <c r="F359" s="371"/>
      <c r="G359" s="346"/>
      <c r="H359" s="346"/>
      <c r="I359" s="346"/>
      <c r="J359" s="346"/>
      <c r="K359" s="346"/>
      <c r="L359" s="346"/>
      <c r="M359" s="346"/>
      <c r="N359" s="346"/>
      <c r="O359" s="346"/>
      <c r="P359" s="642" t="s">
        <v>2279</v>
      </c>
      <c r="Q359" s="323"/>
      <c r="R359" s="190"/>
      <c r="S359" s="448"/>
      <c r="T359" s="572" t="s">
        <v>1932</v>
      </c>
      <c r="U359" s="572" t="s">
        <v>318</v>
      </c>
      <c r="W359" s="495" t="s">
        <v>2259</v>
      </c>
      <c r="X359" s="495" t="s">
        <v>3388</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2858</v>
      </c>
      <c r="U360" s="572" t="s">
        <v>655</v>
      </c>
      <c r="W360" s="495" t="s">
        <v>1116</v>
      </c>
      <c r="X360" s="495" t="s">
        <v>3388</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1935</v>
      </c>
      <c r="U361" s="572" t="s">
        <v>2585</v>
      </c>
      <c r="W361" s="495" t="s">
        <v>2124</v>
      </c>
      <c r="X361" s="495" t="s">
        <v>3388</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1937</v>
      </c>
      <c r="U362" s="572" t="s">
        <v>1314</v>
      </c>
      <c r="W362" s="495" t="s">
        <v>2125</v>
      </c>
      <c r="X362" s="495" t="s">
        <v>3388</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2243</v>
      </c>
      <c r="U363" s="572" t="s">
        <v>2527</v>
      </c>
      <c r="W363" s="495" t="s">
        <v>2126</v>
      </c>
      <c r="X363" s="495" t="s">
        <v>3388</v>
      </c>
      <c r="AA363" s="27"/>
      <c r="AB363" s="27"/>
      <c r="AC363" s="1072"/>
      <c r="AD363" s="585"/>
    </row>
    <row r="364" spans="6:30" ht="10.5" customHeight="1">
      <c r="F364" s="371"/>
      <c r="G364" s="346"/>
      <c r="H364" s="346"/>
      <c r="I364" s="346"/>
      <c r="J364" s="346"/>
      <c r="K364" s="346"/>
      <c r="L364" s="346"/>
      <c r="M364" s="346"/>
      <c r="N364" s="346"/>
      <c r="O364" s="346"/>
      <c r="P364" s="642" t="s">
        <v>2386</v>
      </c>
      <c r="Q364" s="323"/>
      <c r="R364" s="190"/>
      <c r="S364" s="448"/>
      <c r="T364" s="572" t="s">
        <v>2572</v>
      </c>
      <c r="U364" s="572" t="s">
        <v>2171</v>
      </c>
      <c r="W364" s="495" t="s">
        <v>2331</v>
      </c>
      <c r="X364" s="495" t="s">
        <v>3388</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2573</v>
      </c>
      <c r="U365" s="572" t="s">
        <v>2485</v>
      </c>
      <c r="W365" s="495" t="s">
        <v>2333</v>
      </c>
      <c r="X365" s="495" t="s">
        <v>3388</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2260</v>
      </c>
      <c r="X366" s="495" t="s">
        <v>3388</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3388</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2574</v>
      </c>
      <c r="U368" s="572" t="s">
        <v>2006</v>
      </c>
      <c r="W368" s="495" t="s">
        <v>1686</v>
      </c>
      <c r="X368" s="495" t="s">
        <v>3388</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2483</v>
      </c>
      <c r="W369" s="495" t="s">
        <v>1077</v>
      </c>
      <c r="X369" s="495" t="s">
        <v>3388</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2278</v>
      </c>
      <c r="U370" s="572" t="s">
        <v>657</v>
      </c>
      <c r="W370" s="495" t="s">
        <v>1693</v>
      </c>
      <c r="X370" s="495" t="s">
        <v>3388</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2280</v>
      </c>
      <c r="U371" s="572" t="s">
        <v>1315</v>
      </c>
      <c r="W371" s="495" t="s">
        <v>1694</v>
      </c>
      <c r="X371" s="495" t="s">
        <v>3388</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3388</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3388</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3388</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2387</v>
      </c>
      <c r="U375" s="572" t="s">
        <v>157</v>
      </c>
      <c r="W375" s="495" t="s">
        <v>1702</v>
      </c>
      <c r="X375" s="495" t="s">
        <v>3388</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2482</v>
      </c>
      <c r="W376" s="495" t="s">
        <v>1704</v>
      </c>
      <c r="X376" s="495" t="s">
        <v>3388</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3388</v>
      </c>
      <c r="AA377" s="27"/>
      <c r="AB377" s="27"/>
      <c r="AC377" s="1072"/>
      <c r="AD377" s="585"/>
    </row>
    <row r="378" spans="6:30" ht="10.5" customHeight="1">
      <c r="F378" s="371"/>
      <c r="G378" s="346"/>
      <c r="H378" s="346"/>
      <c r="I378" s="346"/>
      <c r="J378" s="346"/>
      <c r="K378" s="346"/>
      <c r="L378" s="346"/>
      <c r="M378" s="346"/>
      <c r="N378" s="346"/>
      <c r="O378" s="346"/>
      <c r="P378" s="642" t="s">
        <v>2460</v>
      </c>
      <c r="Q378" s="323"/>
      <c r="R378" s="190"/>
      <c r="S378" s="448"/>
      <c r="T378" s="572" t="s">
        <v>2362</v>
      </c>
      <c r="U378" s="572" t="s">
        <v>2480</v>
      </c>
      <c r="W378" s="495" t="s">
        <v>1709</v>
      </c>
      <c r="X378" s="495" t="s">
        <v>3388</v>
      </c>
      <c r="AA378" s="27"/>
      <c r="AB378" s="27"/>
      <c r="AC378" s="1072"/>
      <c r="AD378" s="585"/>
    </row>
    <row r="379" spans="6:30" ht="10.5" customHeight="1">
      <c r="F379" s="371"/>
      <c r="G379" s="346"/>
      <c r="H379" s="346"/>
      <c r="I379" s="346"/>
      <c r="J379" s="346"/>
      <c r="K379" s="346"/>
      <c r="L379" s="346"/>
      <c r="M379" s="346"/>
      <c r="N379" s="346"/>
      <c r="O379" s="346"/>
      <c r="P379" s="642" t="s">
        <v>3727</v>
      </c>
      <c r="Q379" s="323"/>
      <c r="R379" s="190"/>
      <c r="S379" s="448"/>
      <c r="T379" s="572" t="s">
        <v>232</v>
      </c>
      <c r="U379" s="572" t="s">
        <v>1520</v>
      </c>
      <c r="W379" s="495" t="s">
        <v>1710</v>
      </c>
      <c r="X379" s="495" t="s">
        <v>3388</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3388</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3388</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3388</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3388</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2488</v>
      </c>
      <c r="W384" s="495" t="s">
        <v>1541</v>
      </c>
      <c r="X384" s="495" t="s">
        <v>3388</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3388</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3388</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2241</v>
      </c>
      <c r="W387" s="495" t="s">
        <v>1548</v>
      </c>
      <c r="X387" s="495" t="s">
        <v>3388</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2461</v>
      </c>
      <c r="U388" s="572" t="s">
        <v>1877</v>
      </c>
      <c r="W388" s="495" t="s">
        <v>2382</v>
      </c>
      <c r="X388" s="495" t="s">
        <v>3388</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2178</v>
      </c>
      <c r="W389" s="495" t="s">
        <v>834</v>
      </c>
      <c r="X389" s="495" t="s">
        <v>3388</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3388</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2182</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2007</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2398</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2530</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1877</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2171</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2527</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1910</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2243</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2286</v>
      </c>
      <c r="Q414" s="323"/>
      <c r="R414" s="190"/>
      <c r="S414" s="448"/>
      <c r="T414" s="572" t="s">
        <v>1048</v>
      </c>
      <c r="U414" s="572" t="s">
        <v>2004</v>
      </c>
      <c r="AA414" s="27"/>
      <c r="AB414" s="27"/>
      <c r="AC414" s="1073"/>
      <c r="AD414" s="585"/>
    </row>
    <row r="415" spans="6:30" ht="10.5" customHeight="1">
      <c r="F415" s="371"/>
      <c r="G415" s="346"/>
      <c r="H415" s="346"/>
      <c r="I415" s="346"/>
      <c r="J415" s="346"/>
      <c r="K415" s="346"/>
      <c r="L415" s="346"/>
      <c r="M415" s="346"/>
      <c r="N415" s="346"/>
      <c r="O415" s="346"/>
      <c r="P415" s="642" t="s">
        <v>2002</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2530</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2859</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2527</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1942</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2160</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2860</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2003</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2861</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1910</v>
      </c>
      <c r="AA427" s="27"/>
      <c r="AB427" s="27"/>
      <c r="AC427" s="1072"/>
      <c r="AD427" s="585"/>
    </row>
    <row r="428" spans="6:30" ht="10.5" customHeight="1">
      <c r="F428" s="371"/>
      <c r="G428" s="346"/>
      <c r="H428" s="346"/>
      <c r="I428" s="346"/>
      <c r="J428" s="346"/>
      <c r="K428" s="346"/>
      <c r="L428" s="346"/>
      <c r="M428" s="346"/>
      <c r="N428" s="346"/>
      <c r="O428" s="346"/>
      <c r="P428" s="642" t="s">
        <v>2320</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2321</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2302</v>
      </c>
      <c r="Q430" s="323"/>
      <c r="R430" s="190"/>
      <c r="S430" s="448"/>
      <c r="T430" s="572" t="s">
        <v>415</v>
      </c>
      <c r="U430" s="572" t="s">
        <v>2167</v>
      </c>
      <c r="AA430" s="27"/>
      <c r="AB430" s="27"/>
      <c r="AC430" s="1073"/>
      <c r="AD430" s="585"/>
    </row>
    <row r="431" spans="6:30" ht="10.5" customHeight="1">
      <c r="F431" s="371"/>
      <c r="G431" s="346"/>
      <c r="H431" s="346"/>
      <c r="I431" s="346"/>
      <c r="J431" s="346"/>
      <c r="K431" s="346"/>
      <c r="L431" s="346"/>
      <c r="M431" s="346"/>
      <c r="N431" s="346"/>
      <c r="O431" s="346"/>
      <c r="P431" s="642" t="s">
        <v>2303</v>
      </c>
      <c r="Q431" s="323"/>
      <c r="R431" s="190"/>
      <c r="S431" s="448"/>
      <c r="T431" s="643" t="s">
        <v>1943</v>
      </c>
      <c r="U431" s="643" t="s">
        <v>1456</v>
      </c>
      <c r="AA431" s="27"/>
      <c r="AB431" s="27"/>
      <c r="AC431" s="1072"/>
      <c r="AD431" s="585"/>
    </row>
    <row r="432" spans="6:30" ht="10.5" customHeight="1">
      <c r="F432" s="371"/>
      <c r="G432" s="346"/>
      <c r="H432" s="346"/>
      <c r="I432" s="346"/>
      <c r="J432" s="346"/>
      <c r="K432" s="346"/>
      <c r="L432" s="346"/>
      <c r="M432" s="346"/>
      <c r="N432" s="346"/>
      <c r="O432" s="346"/>
      <c r="P432" s="642" t="s">
        <v>2305</v>
      </c>
      <c r="Q432" s="323"/>
      <c r="R432" s="190"/>
      <c r="S432" s="448"/>
      <c r="T432" s="572" t="s">
        <v>492</v>
      </c>
      <c r="U432" s="572" t="s">
        <v>2591</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2161</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1914</v>
      </c>
      <c r="AA434" s="27"/>
      <c r="AB434" s="27"/>
      <c r="AC434" s="1072"/>
      <c r="AD434" s="585"/>
    </row>
    <row r="435" spans="6:30" ht="10.5" customHeight="1">
      <c r="F435" s="371"/>
      <c r="G435" s="346"/>
      <c r="H435" s="346"/>
      <c r="I435" s="346"/>
      <c r="J435" s="346"/>
      <c r="K435" s="346"/>
      <c r="L435" s="346"/>
      <c r="M435" s="346"/>
      <c r="N435" s="346"/>
      <c r="O435" s="346"/>
      <c r="P435" s="642" t="s">
        <v>2113</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1974</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1976</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2483</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2322</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2862</v>
      </c>
      <c r="U440" s="572" t="s">
        <v>2184</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2304</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2306</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2248</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2169</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2482</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1973</v>
      </c>
      <c r="U447" s="643" t="s">
        <v>2398</v>
      </c>
      <c r="AA447" s="27"/>
      <c r="AB447" s="27"/>
      <c r="AC447" s="1072"/>
      <c r="AD447" s="585"/>
    </row>
    <row r="448" spans="6:30" ht="10.5" customHeight="1">
      <c r="F448" s="371"/>
      <c r="G448" s="346"/>
      <c r="H448" s="346"/>
      <c r="I448" s="346"/>
      <c r="J448" s="346"/>
      <c r="K448" s="346"/>
      <c r="L448" s="346"/>
      <c r="M448" s="346"/>
      <c r="N448" s="346"/>
      <c r="O448" s="346"/>
      <c r="P448" s="642" t="s">
        <v>2353</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1975</v>
      </c>
      <c r="U449" s="572" t="s">
        <v>2398</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1992</v>
      </c>
      <c r="Q455" s="323"/>
      <c r="R455" s="190"/>
      <c r="S455" s="448"/>
      <c r="T455" s="572" t="s">
        <v>73</v>
      </c>
      <c r="U455" s="572" t="s">
        <v>1918</v>
      </c>
      <c r="AA455" s="27"/>
      <c r="AB455" s="27"/>
      <c r="AC455" s="1072"/>
      <c r="AD455" s="585"/>
    </row>
    <row r="456" spans="6:30" ht="10.5" customHeight="1">
      <c r="F456" s="371"/>
      <c r="G456" s="346"/>
      <c r="H456" s="346"/>
      <c r="I456" s="346"/>
      <c r="J456" s="346"/>
      <c r="K456" s="346"/>
      <c r="L456" s="346"/>
      <c r="M456" s="346"/>
      <c r="N456" s="346"/>
      <c r="O456" s="346"/>
      <c r="P456" s="642" t="s">
        <v>1993</v>
      </c>
      <c r="Q456" s="323"/>
      <c r="R456" s="190"/>
      <c r="S456" s="448"/>
      <c r="T456" s="643" t="s">
        <v>2249</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2007</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2411</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2198</v>
      </c>
      <c r="Q460" s="323"/>
      <c r="R460" s="190"/>
      <c r="S460" s="448"/>
      <c r="T460" s="572" t="s">
        <v>2352</v>
      </c>
      <c r="U460" s="572" t="s">
        <v>2482</v>
      </c>
      <c r="AA460" s="27"/>
      <c r="AB460" s="27"/>
      <c r="AC460" s="1072"/>
      <c r="AD460" s="585"/>
    </row>
    <row r="461" spans="6:30" ht="10.5" customHeight="1">
      <c r="F461" s="371"/>
      <c r="G461" s="346"/>
      <c r="H461" s="346"/>
      <c r="I461" s="346"/>
      <c r="J461" s="346"/>
      <c r="K461" s="346"/>
      <c r="L461" s="346"/>
      <c r="M461" s="346"/>
      <c r="N461" s="346"/>
      <c r="O461" s="346"/>
      <c r="P461" s="642" t="s">
        <v>2199</v>
      </c>
      <c r="Q461" s="323"/>
      <c r="R461" s="190"/>
      <c r="S461" s="448"/>
      <c r="T461" s="572" t="s">
        <v>2354</v>
      </c>
      <c r="U461" s="572" t="s">
        <v>2178</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2485</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2863</v>
      </c>
      <c r="U468" s="572" t="s">
        <v>2531</v>
      </c>
      <c r="AA468" s="27"/>
      <c r="AB468" s="27"/>
      <c r="AC468" s="1073"/>
      <c r="AD468" s="585"/>
    </row>
    <row r="469" spans="6:30" ht="10.5" customHeight="1">
      <c r="F469" s="371"/>
      <c r="G469" s="346"/>
      <c r="H469" s="346"/>
      <c r="I469" s="346"/>
      <c r="J469" s="346"/>
      <c r="K469" s="346"/>
      <c r="L469" s="346"/>
      <c r="M469" s="346"/>
      <c r="N469" s="346"/>
      <c r="O469" s="346"/>
      <c r="P469" s="642" t="s">
        <v>2337</v>
      </c>
      <c r="Q469" s="323"/>
      <c r="R469" s="190"/>
      <c r="S469" s="448"/>
      <c r="T469" s="572" t="s">
        <v>1994</v>
      </c>
      <c r="U469" s="572" t="s">
        <v>2006</v>
      </c>
      <c r="AA469" s="27"/>
      <c r="AB469" s="27"/>
      <c r="AC469" s="1072"/>
      <c r="AD469" s="585"/>
    </row>
    <row r="470" spans="6:30" ht="10.5" customHeight="1">
      <c r="F470" s="371"/>
      <c r="G470" s="346"/>
      <c r="H470" s="346"/>
      <c r="I470" s="346"/>
      <c r="J470" s="346"/>
      <c r="K470" s="346"/>
      <c r="L470" s="346"/>
      <c r="M470" s="346"/>
      <c r="N470" s="346"/>
      <c r="O470" s="346"/>
      <c r="P470" s="642" t="s">
        <v>2595</v>
      </c>
      <c r="Q470" s="323"/>
      <c r="R470" s="190"/>
      <c r="S470" s="448"/>
      <c r="T470" s="572" t="s">
        <v>76</v>
      </c>
      <c r="U470" s="572" t="s">
        <v>1914</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2482</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2412</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2528</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2176</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2336</v>
      </c>
      <c r="U482" s="572" t="s">
        <v>2590</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2338</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2004</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2006</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2007</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1877</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2006</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2482</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2174</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1877</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2491</v>
      </c>
      <c r="U502" s="572" t="s">
        <v>1908</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2485</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2583</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2182</v>
      </c>
      <c r="AA506" s="27"/>
      <c r="AB506" s="27"/>
      <c r="AC506" s="1072"/>
      <c r="AD506" s="585"/>
    </row>
    <row r="507" spans="6:30" ht="10.5" customHeight="1">
      <c r="F507" s="371"/>
      <c r="G507" s="346"/>
      <c r="H507" s="346"/>
      <c r="I507" s="346"/>
      <c r="J507" s="346"/>
      <c r="K507" s="346"/>
      <c r="L507" s="346"/>
      <c r="M507" s="346"/>
      <c r="N507" s="346"/>
      <c r="O507" s="346"/>
      <c r="P507" s="642" t="s">
        <v>2323</v>
      </c>
      <c r="Q507" s="323"/>
      <c r="R507" s="190"/>
      <c r="S507" s="448"/>
      <c r="T507" s="572" t="s">
        <v>1575</v>
      </c>
      <c r="U507" s="572" t="s">
        <v>1877</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2588</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2485</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2172</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2527</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2864</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2590</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2398</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4060</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2324</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2076</v>
      </c>
      <c r="Q522" s="323"/>
      <c r="R522" s="190"/>
      <c r="S522" s="448"/>
      <c r="T522" s="572" t="s">
        <v>2865</v>
      </c>
      <c r="U522" s="572" t="s">
        <v>2182</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2593</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2093</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2095</v>
      </c>
      <c r="Q534" s="323"/>
      <c r="R534" s="190"/>
      <c r="S534" s="448"/>
      <c r="T534" s="572" t="s">
        <v>2077</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2007</v>
      </c>
      <c r="AA535" s="27"/>
      <c r="AB535" s="27"/>
      <c r="AC535" s="1072"/>
      <c r="AD535" s="585"/>
    </row>
    <row r="536" spans="6:30" ht="10.5" customHeight="1">
      <c r="F536" s="371"/>
      <c r="G536" s="346"/>
      <c r="H536" s="346"/>
      <c r="I536" s="346"/>
      <c r="J536" s="346"/>
      <c r="K536" s="346"/>
      <c r="L536" s="346"/>
      <c r="M536" s="346"/>
      <c r="N536" s="346"/>
      <c r="O536" s="346"/>
      <c r="P536" s="642" t="s">
        <v>2341</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2283</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2530</v>
      </c>
      <c r="AA541" s="27"/>
      <c r="AB541" s="27"/>
      <c r="AC541" s="1072"/>
      <c r="AD541" s="585"/>
    </row>
    <row r="542" spans="6:30" ht="10.5" customHeight="1">
      <c r="F542" s="371"/>
      <c r="G542" s="346"/>
      <c r="H542" s="346"/>
      <c r="I542" s="346"/>
      <c r="J542" s="346"/>
      <c r="K542" s="346"/>
      <c r="L542" s="346"/>
      <c r="M542" s="346"/>
      <c r="N542" s="346"/>
      <c r="O542" s="346"/>
      <c r="P542" s="642" t="s">
        <v>2246</v>
      </c>
      <c r="Q542" s="323"/>
      <c r="R542" s="190"/>
      <c r="S542" s="448"/>
      <c r="T542" s="572" t="s">
        <v>2583</v>
      </c>
      <c r="U542" s="572" t="s">
        <v>1332</v>
      </c>
      <c r="AA542" s="27"/>
      <c r="AB542" s="27"/>
      <c r="AC542" s="1072"/>
      <c r="AD542" s="585"/>
    </row>
    <row r="543" spans="6:30" ht="10.5" customHeight="1">
      <c r="F543" s="371"/>
      <c r="G543" s="346"/>
      <c r="H543" s="346"/>
      <c r="I543" s="346"/>
      <c r="J543" s="346"/>
      <c r="K543" s="346"/>
      <c r="L543" s="346"/>
      <c r="M543" s="346"/>
      <c r="N543" s="346"/>
      <c r="O543" s="346"/>
      <c r="P543" s="642" t="s">
        <v>2274</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2482</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2594</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2094</v>
      </c>
      <c r="U546" s="643" t="s">
        <v>2488</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2592</v>
      </c>
      <c r="Q551" s="323"/>
      <c r="R551" s="190"/>
      <c r="S551" s="448"/>
      <c r="T551" s="572" t="s">
        <v>2284</v>
      </c>
      <c r="U551" s="572" t="s">
        <v>1206</v>
      </c>
      <c r="AA551" s="27"/>
      <c r="AB551" s="27"/>
      <c r="AC551" s="1072"/>
      <c r="AD551" s="585"/>
    </row>
    <row r="552" spans="6:30" ht="10.5" customHeight="1">
      <c r="F552" s="371"/>
      <c r="G552" s="346"/>
      <c r="H552" s="346"/>
      <c r="I552" s="346"/>
      <c r="J552" s="346"/>
      <c r="K552" s="346"/>
      <c r="L552" s="346"/>
      <c r="M552" s="346"/>
      <c r="N552" s="346"/>
      <c r="O552" s="346"/>
      <c r="P552" s="642" t="s">
        <v>2453</v>
      </c>
      <c r="Q552" s="323"/>
      <c r="R552" s="190"/>
      <c r="S552" s="448"/>
      <c r="T552" s="572" t="s">
        <v>2284</v>
      </c>
      <c r="U552" s="572" t="s">
        <v>1206</v>
      </c>
      <c r="AA552" s="27"/>
      <c r="AB552" s="27"/>
      <c r="AC552" s="1072"/>
      <c r="AD552" s="585"/>
    </row>
    <row r="553" spans="6:30" ht="10.5" customHeight="1">
      <c r="F553" s="371"/>
      <c r="G553" s="346"/>
      <c r="H553" s="346"/>
      <c r="I553" s="346"/>
      <c r="J553" s="346"/>
      <c r="K553" s="346"/>
      <c r="L553" s="346"/>
      <c r="M553" s="346"/>
      <c r="N553" s="346"/>
      <c r="O553" s="346"/>
      <c r="P553" s="642" t="s">
        <v>1827</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1829</v>
      </c>
      <c r="Q554" s="323"/>
      <c r="R554" s="190"/>
      <c r="S554" s="448"/>
      <c r="T554" s="572" t="s">
        <v>2247</v>
      </c>
      <c r="U554" s="572" t="s">
        <v>1317</v>
      </c>
      <c r="AA554" s="27"/>
      <c r="AB554" s="27"/>
      <c r="AC554" s="1072"/>
      <c r="AD554" s="585"/>
    </row>
    <row r="555" spans="6:30" ht="10.5" customHeight="1">
      <c r="F555" s="371"/>
      <c r="G555" s="346"/>
      <c r="H555" s="346"/>
      <c r="I555" s="346"/>
      <c r="J555" s="346"/>
      <c r="K555" s="346"/>
      <c r="L555" s="346"/>
      <c r="M555" s="346"/>
      <c r="N555" s="346"/>
      <c r="O555" s="346"/>
      <c r="P555" s="642" t="s">
        <v>1831</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1832</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1834</v>
      </c>
      <c r="Q557" s="323"/>
      <c r="R557" s="190"/>
      <c r="S557" s="448"/>
      <c r="T557" s="572" t="s">
        <v>394</v>
      </c>
      <c r="U557" s="572" t="s">
        <v>2588</v>
      </c>
      <c r="AA557" s="27"/>
      <c r="AB557" s="27"/>
      <c r="AC557" s="1072"/>
      <c r="AD557" s="585"/>
    </row>
    <row r="558" spans="6:30" ht="10.5" customHeight="1">
      <c r="F558" s="371"/>
      <c r="G558" s="346"/>
      <c r="H558" s="346"/>
      <c r="I558" s="346"/>
      <c r="J558" s="346"/>
      <c r="K558" s="346"/>
      <c r="L558" s="346"/>
      <c r="M558" s="346"/>
      <c r="N558" s="346"/>
      <c r="O558" s="346"/>
      <c r="P558" s="642" t="s">
        <v>1836</v>
      </c>
      <c r="Q558" s="323"/>
      <c r="R558" s="190"/>
      <c r="S558" s="448"/>
      <c r="T558" s="572" t="s">
        <v>396</v>
      </c>
      <c r="U558" s="572" t="s">
        <v>2167</v>
      </c>
      <c r="AA558" s="27"/>
      <c r="AB558" s="27"/>
      <c r="AC558" s="1072"/>
      <c r="AD558" s="585"/>
    </row>
    <row r="559" spans="6:30" ht="10.5" customHeight="1">
      <c r="F559" s="371"/>
      <c r="G559" s="346"/>
      <c r="H559" s="346"/>
      <c r="I559" s="346"/>
      <c r="J559" s="346"/>
      <c r="K559" s="346"/>
      <c r="L559" s="346"/>
      <c r="M559" s="346"/>
      <c r="N559" s="346"/>
      <c r="O559" s="346"/>
      <c r="P559" s="642" t="s">
        <v>1838</v>
      </c>
      <c r="Q559" s="323"/>
      <c r="R559" s="190"/>
      <c r="S559" s="448"/>
      <c r="T559" s="572" t="s">
        <v>398</v>
      </c>
      <c r="U559" s="572" t="s">
        <v>2530</v>
      </c>
      <c r="AA559" s="27"/>
      <c r="AB559" s="27"/>
      <c r="AC559" s="1072"/>
      <c r="AD559" s="585"/>
    </row>
    <row r="560" spans="6:30" ht="10.5" customHeight="1">
      <c r="F560" s="371"/>
      <c r="G560" s="346"/>
      <c r="H560" s="346"/>
      <c r="I560" s="346"/>
      <c r="J560" s="346"/>
      <c r="K560" s="346"/>
      <c r="L560" s="346"/>
      <c r="M560" s="346"/>
      <c r="N560" s="346"/>
      <c r="O560" s="346"/>
      <c r="P560" s="642" t="s">
        <v>1840</v>
      </c>
      <c r="Q560" s="323"/>
      <c r="R560" s="190"/>
      <c r="S560" s="448"/>
      <c r="T560" s="572" t="s">
        <v>2588</v>
      </c>
      <c r="U560" s="572" t="s">
        <v>1781</v>
      </c>
      <c r="AA560" s="27"/>
      <c r="AB560" s="27"/>
      <c r="AC560" s="1072"/>
      <c r="AD560" s="585"/>
    </row>
    <row r="561" spans="6:30" ht="10.5" customHeight="1">
      <c r="F561" s="371"/>
      <c r="G561" s="346"/>
      <c r="H561" s="346"/>
      <c r="I561" s="346"/>
      <c r="J561" s="346"/>
      <c r="K561" s="346"/>
      <c r="L561" s="346"/>
      <c r="M561" s="346"/>
      <c r="N561" s="346"/>
      <c r="O561" s="346"/>
      <c r="P561" s="642" t="s">
        <v>1841</v>
      </c>
      <c r="Q561" s="323"/>
      <c r="R561" s="190"/>
      <c r="S561" s="448"/>
      <c r="T561" s="572" t="s">
        <v>1584</v>
      </c>
      <c r="U561" s="572" t="s">
        <v>2486</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2452</v>
      </c>
      <c r="U564" s="572" t="s">
        <v>2488</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2589</v>
      </c>
      <c r="AA565" s="27"/>
      <c r="AB565" s="27"/>
      <c r="AC565" s="1072"/>
      <c r="AD565" s="585"/>
    </row>
    <row r="566" spans="6:30" ht="10.5" customHeight="1">
      <c r="F566" s="371"/>
      <c r="G566" s="346"/>
      <c r="H566" s="346"/>
      <c r="I566" s="346"/>
      <c r="J566" s="346"/>
      <c r="K566" s="346"/>
      <c r="L566" s="346"/>
      <c r="M566" s="346"/>
      <c r="N566" s="346"/>
      <c r="O566" s="346"/>
      <c r="P566" s="642" t="s">
        <v>2272</v>
      </c>
      <c r="Q566" s="323"/>
      <c r="R566" s="190"/>
      <c r="S566" s="448"/>
      <c r="T566" s="572" t="s">
        <v>1828</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1830</v>
      </c>
      <c r="U567" s="572" t="s">
        <v>2241</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1833</v>
      </c>
      <c r="U568" s="572" t="s">
        <v>2241</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1835</v>
      </c>
      <c r="U569" s="572" t="s">
        <v>311</v>
      </c>
      <c r="AA569" s="27"/>
      <c r="AB569" s="27"/>
      <c r="AC569" s="1072"/>
      <c r="AD569" s="585"/>
    </row>
    <row r="570" spans="6:30" ht="10.5" customHeight="1">
      <c r="F570" s="371"/>
      <c r="G570" s="346"/>
      <c r="H570" s="346"/>
      <c r="I570" s="346"/>
      <c r="J570" s="346"/>
      <c r="K570" s="346"/>
      <c r="L570" s="346"/>
      <c r="M570" s="346"/>
      <c r="N570" s="346"/>
      <c r="O570" s="346"/>
      <c r="P570" s="642" t="s">
        <v>2052</v>
      </c>
      <c r="Q570" s="323"/>
      <c r="R570" s="190"/>
      <c r="S570" s="448"/>
      <c r="T570" s="572" t="s">
        <v>1837</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1839</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2589</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1945</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2118</v>
      </c>
      <c r="Q575" s="323"/>
      <c r="R575" s="190"/>
      <c r="S575" s="448"/>
      <c r="T575" s="572" t="s">
        <v>2590</v>
      </c>
      <c r="U575" s="572" t="s">
        <v>1320</v>
      </c>
      <c r="AA575" s="27"/>
      <c r="AB575" s="27"/>
      <c r="AC575" s="1072"/>
      <c r="AD575" s="585"/>
    </row>
    <row r="576" spans="6:30" ht="10.5" customHeight="1">
      <c r="F576" s="371"/>
      <c r="G576" s="346"/>
      <c r="H576" s="346"/>
      <c r="I576" s="346"/>
      <c r="J576" s="346"/>
      <c r="K576" s="346"/>
      <c r="L576" s="346"/>
      <c r="M576" s="346"/>
      <c r="N576" s="346"/>
      <c r="O576" s="346"/>
      <c r="P576" s="642" t="s">
        <v>2120</v>
      </c>
      <c r="Q576" s="323"/>
      <c r="R576" s="190"/>
      <c r="S576" s="448"/>
      <c r="T576" s="643" t="s">
        <v>1643</v>
      </c>
      <c r="U576" s="643" t="s">
        <v>2167</v>
      </c>
      <c r="AA576" s="27"/>
      <c r="AB576" s="27"/>
      <c r="AC576" s="1072"/>
      <c r="AD576" s="585"/>
    </row>
    <row r="577" spans="6:30" ht="10.5" customHeight="1">
      <c r="F577" s="371"/>
      <c r="G577" s="346"/>
      <c r="H577" s="346"/>
      <c r="I577" s="346"/>
      <c r="J577" s="346"/>
      <c r="K577" s="346"/>
      <c r="L577" s="346"/>
      <c r="M577" s="346"/>
      <c r="N577" s="346"/>
      <c r="O577" s="346"/>
      <c r="P577" s="642" t="s">
        <v>2122</v>
      </c>
      <c r="Q577" s="323"/>
      <c r="R577" s="190"/>
      <c r="S577" s="448"/>
      <c r="T577" s="572" t="s">
        <v>831</v>
      </c>
      <c r="U577" s="572" t="s">
        <v>2174</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2271</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2273</v>
      </c>
      <c r="U579" s="572" t="s">
        <v>2171</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2588</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2050</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1871</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2866</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2867</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2119</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2121</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2868</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2051</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1872</v>
      </c>
      <c r="U599" s="643" t="s">
        <v>1950</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1950</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2176</v>
      </c>
      <c r="AA601" s="27"/>
      <c r="AB601" s="27"/>
      <c r="AC601" s="1073"/>
      <c r="AD601" s="585"/>
    </row>
    <row r="602" spans="6:30" ht="10.5" customHeight="1">
      <c r="F602" s="371"/>
      <c r="G602" s="346"/>
      <c r="H602" s="346"/>
      <c r="I602" s="346"/>
      <c r="J602" s="346"/>
      <c r="K602" s="346"/>
      <c r="L602" s="346"/>
      <c r="M602" s="346"/>
      <c r="N602" s="346"/>
      <c r="O602" s="346"/>
      <c r="P602" s="642" t="s">
        <v>2142</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2144</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2146</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2148</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2150</v>
      </c>
      <c r="Q606" s="323"/>
      <c r="R606" s="190"/>
      <c r="S606" s="448"/>
      <c r="T606" s="572" t="s">
        <v>245</v>
      </c>
      <c r="U606" s="572" t="s">
        <v>2588</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2400</v>
      </c>
      <c r="AA607" s="27"/>
      <c r="AB607" s="27"/>
      <c r="AC607" s="1072"/>
      <c r="AD607" s="585"/>
    </row>
    <row r="608" spans="6:30" ht="10.5" customHeight="1">
      <c r="F608" s="371"/>
      <c r="G608" s="346"/>
      <c r="H608" s="346"/>
      <c r="I608" s="346"/>
      <c r="J608" s="346"/>
      <c r="K608" s="346"/>
      <c r="L608" s="346"/>
      <c r="M608" s="346"/>
      <c r="N608" s="346"/>
      <c r="O608" s="346"/>
      <c r="P608" s="642" t="s">
        <v>2016</v>
      </c>
      <c r="Q608" s="323"/>
      <c r="R608" s="190"/>
      <c r="S608" s="448"/>
      <c r="T608" s="572" t="s">
        <v>1750</v>
      </c>
      <c r="U608" s="572" t="s">
        <v>2485</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2396</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1916</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2141</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2143</v>
      </c>
      <c r="U621" s="572" t="s">
        <v>2182</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2145</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2147</v>
      </c>
      <c r="U623" s="572" t="s">
        <v>1453</v>
      </c>
      <c r="AA623" s="27"/>
      <c r="AB623" s="27"/>
      <c r="AC623" s="1072"/>
      <c r="AD623" s="585"/>
    </row>
    <row r="624" spans="6:30" ht="10.5" customHeight="1">
      <c r="F624" s="371"/>
      <c r="G624" s="346"/>
      <c r="H624" s="346"/>
      <c r="I624" s="346"/>
      <c r="J624" s="346"/>
      <c r="K624" s="346"/>
      <c r="L624" s="346"/>
      <c r="M624" s="346"/>
      <c r="N624" s="346"/>
      <c r="O624" s="346"/>
      <c r="P624" s="642" t="s">
        <v>2264</v>
      </c>
      <c r="Q624" s="323"/>
      <c r="R624" s="190"/>
      <c r="S624" s="448"/>
      <c r="T624" s="572" t="s">
        <v>2149</v>
      </c>
      <c r="U624" s="572" t="s">
        <v>667</v>
      </c>
      <c r="AA624" s="27"/>
      <c r="AB624" s="27"/>
      <c r="AC624" s="1072"/>
      <c r="AD624" s="585"/>
    </row>
    <row r="625" spans="6:30" ht="10.5" customHeight="1">
      <c r="F625" s="371"/>
      <c r="G625" s="346"/>
      <c r="H625" s="346"/>
      <c r="I625" s="346"/>
      <c r="J625" s="346"/>
      <c r="K625" s="346"/>
      <c r="L625" s="346"/>
      <c r="M625" s="346"/>
      <c r="N625" s="346"/>
      <c r="O625" s="346"/>
      <c r="P625" s="642" t="s">
        <v>2266</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2184</v>
      </c>
      <c r="AA626" s="27"/>
      <c r="AB626" s="27"/>
      <c r="AC626" s="1072"/>
      <c r="AD626" s="585"/>
    </row>
    <row r="627" spans="6:30" ht="10.5" customHeight="1">
      <c r="F627" s="371"/>
      <c r="G627" s="346"/>
      <c r="H627" s="346"/>
      <c r="I627" s="346"/>
      <c r="J627" s="346"/>
      <c r="K627" s="346"/>
      <c r="L627" s="346"/>
      <c r="M627" s="346"/>
      <c r="N627" s="346"/>
      <c r="O627" s="346"/>
      <c r="P627" s="642" t="s">
        <v>2519</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2162</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2174</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2482</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2488</v>
      </c>
      <c r="AA635" s="27"/>
      <c r="AB635" s="27"/>
      <c r="AC635" s="1072"/>
      <c r="AD635" s="585"/>
    </row>
    <row r="636" spans="6:30" ht="10.5" customHeight="1">
      <c r="F636" s="371"/>
      <c r="G636" s="346"/>
      <c r="H636" s="346"/>
      <c r="I636" s="346"/>
      <c r="J636" s="346"/>
      <c r="K636" s="346"/>
      <c r="L636" s="346"/>
      <c r="M636" s="346"/>
      <c r="N636" s="346"/>
      <c r="O636" s="346"/>
      <c r="P636" s="642" t="s">
        <v>2416</v>
      </c>
      <c r="Q636" s="323"/>
      <c r="R636" s="190"/>
      <c r="S636" s="448"/>
      <c r="T636" s="572" t="s">
        <v>941</v>
      </c>
      <c r="U636" s="572" t="s">
        <v>2531</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1950</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2869</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2379</v>
      </c>
      <c r="Q641" s="323"/>
      <c r="R641" s="190"/>
      <c r="S641" s="448"/>
      <c r="T641" s="572" t="s">
        <v>2265</v>
      </c>
      <c r="U641" s="572" t="s">
        <v>2167</v>
      </c>
      <c r="AA641" s="27"/>
      <c r="AB641" s="27"/>
      <c r="AC641" s="1072"/>
      <c r="AD641" s="585"/>
    </row>
    <row r="642" spans="6:30" ht="10.5" customHeight="1">
      <c r="F642" s="371"/>
      <c r="G642" s="346"/>
      <c r="H642" s="346"/>
      <c r="I642" s="346"/>
      <c r="J642" s="346"/>
      <c r="K642" s="346"/>
      <c r="L642" s="346"/>
      <c r="M642" s="346"/>
      <c r="N642" s="346"/>
      <c r="O642" s="346"/>
      <c r="P642" s="642" t="s">
        <v>2524</v>
      </c>
      <c r="Q642" s="323"/>
      <c r="R642" s="190"/>
      <c r="S642" s="448"/>
      <c r="T642" s="572" t="s">
        <v>2267</v>
      </c>
      <c r="U642" s="572" t="s">
        <v>658</v>
      </c>
      <c r="AA642" s="27"/>
      <c r="AB642" s="27"/>
      <c r="AC642" s="1072"/>
      <c r="AD642" s="585"/>
    </row>
    <row r="643" spans="6:30" ht="10.5" customHeight="1">
      <c r="F643" s="371"/>
      <c r="G643" s="346"/>
      <c r="H643" s="346"/>
      <c r="I643" s="346"/>
      <c r="J643" s="346"/>
      <c r="K643" s="346"/>
      <c r="L643" s="346"/>
      <c r="M643" s="346"/>
      <c r="N643" s="346"/>
      <c r="O643" s="346"/>
      <c r="P643" s="642" t="s">
        <v>2000</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2520</v>
      </c>
      <c r="U644" s="643" t="s">
        <v>2006</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2163</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2583</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1990</v>
      </c>
      <c r="Q651" s="323"/>
      <c r="R651" s="190"/>
      <c r="S651" s="448"/>
      <c r="T651" s="572" t="s">
        <v>2415</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1908</v>
      </c>
      <c r="AA653" s="27"/>
      <c r="AB653" s="27"/>
      <c r="AC653" s="1072"/>
      <c r="AD653" s="585"/>
    </row>
    <row r="654" spans="6:30" ht="10.5" customHeight="1">
      <c r="F654" s="371"/>
      <c r="G654" s="346"/>
      <c r="H654" s="346"/>
      <c r="I654" s="346"/>
      <c r="J654" s="346"/>
      <c r="K654" s="346"/>
      <c r="L654" s="346"/>
      <c r="M654" s="346"/>
      <c r="N654" s="346"/>
      <c r="O654" s="346"/>
      <c r="P654" s="642" t="s">
        <v>1881</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1882</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1884</v>
      </c>
      <c r="Q656" s="323"/>
      <c r="R656" s="190"/>
      <c r="S656" s="448"/>
      <c r="T656" s="572" t="s">
        <v>2870</v>
      </c>
      <c r="U656" s="572" t="s">
        <v>326</v>
      </c>
      <c r="AA656" s="27"/>
      <c r="AB656" s="27"/>
      <c r="AC656" s="1072"/>
      <c r="AD656" s="585"/>
    </row>
    <row r="657" spans="6:30" ht="10.5" customHeight="1">
      <c r="F657" s="371"/>
      <c r="G657" s="346"/>
      <c r="H657" s="346"/>
      <c r="I657" s="346"/>
      <c r="J657" s="346"/>
      <c r="K657" s="346"/>
      <c r="L657" s="346"/>
      <c r="M657" s="346"/>
      <c r="N657" s="346"/>
      <c r="O657" s="346"/>
      <c r="P657" s="642" t="s">
        <v>1886</v>
      </c>
      <c r="Q657" s="323"/>
      <c r="R657" s="190"/>
      <c r="S657" s="448"/>
      <c r="T657" s="572" t="s">
        <v>2871</v>
      </c>
      <c r="U657" s="572" t="s">
        <v>114</v>
      </c>
      <c r="AA657" s="27"/>
      <c r="AB657" s="27"/>
      <c r="AC657" s="1072"/>
      <c r="AD657" s="585"/>
    </row>
    <row r="658" spans="6:30" ht="10.5" customHeight="1">
      <c r="F658" s="371"/>
      <c r="G658" s="346"/>
      <c r="H658" s="346"/>
      <c r="I658" s="346"/>
      <c r="J658" s="346"/>
      <c r="K658" s="346"/>
      <c r="L658" s="346"/>
      <c r="M658" s="346"/>
      <c r="N658" s="346"/>
      <c r="O658" s="346"/>
      <c r="P658" s="642" t="s">
        <v>1888</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2525</v>
      </c>
      <c r="U659" s="572" t="s">
        <v>871</v>
      </c>
      <c r="AA659" s="27"/>
      <c r="AB659" s="27"/>
      <c r="AC659" s="1072"/>
      <c r="AD659" s="585"/>
    </row>
    <row r="660" spans="6:30" ht="10.5" customHeight="1">
      <c r="F660" s="371"/>
      <c r="G660" s="346"/>
      <c r="H660" s="346"/>
      <c r="I660" s="346"/>
      <c r="J660" s="346"/>
      <c r="K660" s="346"/>
      <c r="L660" s="346"/>
      <c r="M660" s="346"/>
      <c r="N660" s="346"/>
      <c r="O660" s="346"/>
      <c r="P660" s="642" t="s">
        <v>2534</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2536</v>
      </c>
      <c r="Q661" s="323"/>
      <c r="R661" s="190"/>
      <c r="S661" s="448"/>
      <c r="T661" s="643" t="s">
        <v>2167</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2765</v>
      </c>
      <c r="U662" s="572" t="s">
        <v>1608</v>
      </c>
      <c r="AA662" s="27"/>
      <c r="AB662" s="27"/>
      <c r="AC662" s="1073"/>
      <c r="AD662" s="585"/>
    </row>
    <row r="663" spans="6:30" ht="10.5" customHeight="1">
      <c r="F663" s="371"/>
      <c r="G663" s="346"/>
      <c r="H663" s="346"/>
      <c r="I663" s="346"/>
      <c r="J663" s="346"/>
      <c r="K663" s="346"/>
      <c r="L663" s="346"/>
      <c r="M663" s="346"/>
      <c r="N663" s="346"/>
      <c r="O663" s="346"/>
      <c r="P663" s="642" t="s">
        <v>2515</v>
      </c>
      <c r="Q663" s="323"/>
      <c r="R663" s="190"/>
      <c r="S663" s="448"/>
      <c r="T663" s="572" t="s">
        <v>1469</v>
      </c>
      <c r="U663" s="572" t="s">
        <v>2530</v>
      </c>
      <c r="AA663" s="27"/>
      <c r="AB663" s="27"/>
      <c r="AC663" s="1072"/>
      <c r="AD663" s="585"/>
    </row>
    <row r="664" spans="6:30" ht="10.5" customHeight="1">
      <c r="F664" s="371"/>
      <c r="G664" s="346"/>
      <c r="H664" s="346"/>
      <c r="I664" s="346"/>
      <c r="J664" s="346"/>
      <c r="K664" s="346"/>
      <c r="L664" s="346"/>
      <c r="M664" s="346"/>
      <c r="N664" s="346"/>
      <c r="O664" s="346"/>
      <c r="P664" s="642" t="s">
        <v>2517</v>
      </c>
      <c r="Q664" s="323"/>
      <c r="R664" s="190"/>
      <c r="S664" s="448"/>
      <c r="T664" s="572" t="s">
        <v>2872</v>
      </c>
      <c r="U664" s="572" t="s">
        <v>1950</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2099</v>
      </c>
      <c r="Q667" s="323"/>
      <c r="R667" s="190"/>
      <c r="S667" s="448"/>
      <c r="T667" s="572" t="s">
        <v>1306</v>
      </c>
      <c r="U667" s="572" t="s">
        <v>2180</v>
      </c>
      <c r="AA667" s="27"/>
      <c r="AB667" s="27"/>
      <c r="AC667" s="1072"/>
      <c r="AD667" s="585"/>
    </row>
    <row r="668" spans="6:30" ht="10.5" customHeight="1">
      <c r="F668" s="371"/>
      <c r="G668" s="346"/>
      <c r="H668" s="346"/>
      <c r="I668" s="346"/>
      <c r="J668" s="346"/>
      <c r="K668" s="346"/>
      <c r="L668" s="346"/>
      <c r="M668" s="346"/>
      <c r="N668" s="346"/>
      <c r="O668" s="346"/>
      <c r="P668" s="642" t="s">
        <v>2100</v>
      </c>
      <c r="Q668" s="323"/>
      <c r="R668" s="190"/>
      <c r="S668" s="448"/>
      <c r="T668" s="572" t="s">
        <v>1308</v>
      </c>
      <c r="U668" s="572" t="s">
        <v>2530</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1991</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1883</v>
      </c>
      <c r="U673" s="643" t="s">
        <v>1105</v>
      </c>
      <c r="AA673" s="27"/>
      <c r="AB673" s="27"/>
      <c r="AC673" s="1072"/>
      <c r="AD673" s="585"/>
    </row>
    <row r="674" spans="6:30" ht="10.5" customHeight="1">
      <c r="F674" s="371"/>
      <c r="G674" s="346"/>
      <c r="H674" s="346"/>
      <c r="I674" s="346"/>
      <c r="J674" s="346"/>
      <c r="K674" s="346"/>
      <c r="L674" s="346"/>
      <c r="M674" s="346"/>
      <c r="N674" s="346"/>
      <c r="O674" s="346"/>
      <c r="P674" s="642" t="s">
        <v>2500</v>
      </c>
      <c r="Q674" s="323"/>
      <c r="R674" s="190"/>
      <c r="S674" s="448"/>
      <c r="T674" s="643" t="s">
        <v>1885</v>
      </c>
      <c r="U674" s="643" t="s">
        <v>1455</v>
      </c>
      <c r="AA674" s="27"/>
      <c r="AB674" s="27"/>
      <c r="AC674" s="1073"/>
      <c r="AD674" s="585"/>
    </row>
    <row r="675" spans="6:30" ht="10.5" customHeight="1">
      <c r="F675" s="371"/>
      <c r="G675" s="346"/>
      <c r="H675" s="346"/>
      <c r="I675" s="346"/>
      <c r="J675" s="346"/>
      <c r="K675" s="346"/>
      <c r="L675" s="346"/>
      <c r="M675" s="346"/>
      <c r="N675" s="346"/>
      <c r="O675" s="346"/>
      <c r="P675" s="642" t="s">
        <v>2502</v>
      </c>
      <c r="Q675" s="323"/>
      <c r="R675" s="190"/>
      <c r="S675" s="448"/>
      <c r="T675" s="572" t="s">
        <v>1887</v>
      </c>
      <c r="U675" s="572" t="s">
        <v>2485</v>
      </c>
      <c r="AA675" s="27"/>
      <c r="AB675" s="27"/>
      <c r="AC675" s="1073"/>
      <c r="AD675" s="585"/>
    </row>
    <row r="676" spans="6:30" ht="10.5" customHeight="1">
      <c r="F676" s="371"/>
      <c r="G676" s="346"/>
      <c r="H676" s="346"/>
      <c r="I676" s="346"/>
      <c r="J676" s="346"/>
      <c r="K676" s="346"/>
      <c r="L676" s="346"/>
      <c r="M676" s="346"/>
      <c r="N676" s="346"/>
      <c r="O676" s="346"/>
      <c r="P676" s="642" t="s">
        <v>2503</v>
      </c>
      <c r="Q676" s="323"/>
      <c r="R676" s="190"/>
      <c r="S676" s="448"/>
      <c r="T676" s="572" t="s">
        <v>1889</v>
      </c>
      <c r="U676" s="572" t="s">
        <v>121</v>
      </c>
      <c r="AA676" s="27"/>
      <c r="AB676" s="27"/>
      <c r="AC676" s="1072"/>
      <c r="AD676" s="585"/>
    </row>
    <row r="677" spans="6:30" ht="10.5" customHeight="1">
      <c r="F677" s="371"/>
      <c r="G677" s="346"/>
      <c r="H677" s="346"/>
      <c r="I677" s="346"/>
      <c r="J677" s="346"/>
      <c r="K677" s="346"/>
      <c r="L677" s="346"/>
      <c r="M677" s="346"/>
      <c r="N677" s="346"/>
      <c r="O677" s="346"/>
      <c r="P677" s="642" t="s">
        <v>1900</v>
      </c>
      <c r="Q677" s="323"/>
      <c r="R677" s="190"/>
      <c r="S677" s="448"/>
      <c r="T677" s="572" t="s">
        <v>502</v>
      </c>
      <c r="U677" s="572" t="s">
        <v>2007</v>
      </c>
      <c r="AA677" s="27"/>
      <c r="AB677" s="27"/>
      <c r="AC677" s="1072"/>
      <c r="AD677" s="585"/>
    </row>
    <row r="678" spans="6:30" ht="10.5" customHeight="1">
      <c r="F678" s="371"/>
      <c r="G678" s="346"/>
      <c r="H678" s="346"/>
      <c r="I678" s="346"/>
      <c r="J678" s="346"/>
      <c r="K678" s="346"/>
      <c r="L678" s="346"/>
      <c r="M678" s="346"/>
      <c r="N678" s="346"/>
      <c r="O678" s="346"/>
      <c r="P678" s="642" t="s">
        <v>1901</v>
      </c>
      <c r="Q678" s="323"/>
      <c r="R678" s="190"/>
      <c r="S678" s="448"/>
      <c r="T678" s="572" t="s">
        <v>2535</v>
      </c>
      <c r="U678" s="572" t="s">
        <v>1912</v>
      </c>
      <c r="AA678" s="27"/>
      <c r="AB678" s="27"/>
      <c r="AC678" s="1072"/>
      <c r="AD678" s="585"/>
    </row>
    <row r="679" spans="6:30" ht="10.5" customHeight="1">
      <c r="F679" s="371"/>
      <c r="G679" s="346"/>
      <c r="H679" s="346"/>
      <c r="I679" s="346"/>
      <c r="J679" s="346"/>
      <c r="K679" s="346"/>
      <c r="L679" s="346"/>
      <c r="M679" s="346"/>
      <c r="N679" s="346"/>
      <c r="O679" s="346"/>
      <c r="P679" s="642" t="s">
        <v>1903</v>
      </c>
      <c r="Q679" s="323"/>
      <c r="R679" s="190"/>
      <c r="S679" s="448"/>
      <c r="T679" s="572" t="s">
        <v>4740</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2537</v>
      </c>
      <c r="U680" s="572" t="s">
        <v>2528</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2516</v>
      </c>
      <c r="U682" s="572" t="s">
        <v>877</v>
      </c>
      <c r="AA682" s="27"/>
      <c r="AB682" s="27"/>
      <c r="AC682" s="1072"/>
      <c r="AD682" s="585"/>
    </row>
    <row r="683" spans="6:30" ht="10.5" customHeight="1">
      <c r="F683" s="371"/>
      <c r="G683" s="346"/>
      <c r="H683" s="346"/>
      <c r="I683" s="346"/>
      <c r="J683" s="346"/>
      <c r="K683" s="346"/>
      <c r="L683" s="346"/>
      <c r="M683" s="346"/>
      <c r="N683" s="346"/>
      <c r="O683" s="346"/>
      <c r="P683" s="642" t="s">
        <v>2307</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2256</v>
      </c>
      <c r="Q686" s="323"/>
      <c r="R686" s="190"/>
      <c r="S686" s="448"/>
      <c r="T686" s="572" t="s">
        <v>2873</v>
      </c>
      <c r="U686" s="572" t="s">
        <v>876</v>
      </c>
      <c r="AA686" s="27"/>
      <c r="AB686" s="27"/>
      <c r="AC686" s="1072"/>
      <c r="AD686" s="585"/>
    </row>
    <row r="687" spans="6:30" ht="10.5" customHeight="1">
      <c r="F687" s="371"/>
      <c r="G687" s="346"/>
      <c r="H687" s="346"/>
      <c r="I687" s="346"/>
      <c r="J687" s="346"/>
      <c r="K687" s="346"/>
      <c r="L687" s="346"/>
      <c r="M687" s="346"/>
      <c r="N687" s="346"/>
      <c r="O687" s="346"/>
      <c r="P687" s="642" t="s">
        <v>2258</v>
      </c>
      <c r="Q687" s="323"/>
      <c r="R687" s="190"/>
      <c r="S687" s="448"/>
      <c r="T687" s="572" t="s">
        <v>2101</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2241</v>
      </c>
      <c r="AA689" s="27"/>
      <c r="AB689" s="27"/>
      <c r="AC689" s="1072"/>
      <c r="AD689" s="585"/>
    </row>
    <row r="690" spans="6:30" ht="10.5" customHeight="1">
      <c r="F690" s="371"/>
      <c r="G690" s="346"/>
      <c r="H690" s="346"/>
      <c r="I690" s="346"/>
      <c r="J690" s="346"/>
      <c r="K690" s="346"/>
      <c r="L690" s="346"/>
      <c r="M690" s="346"/>
      <c r="N690" s="346"/>
      <c r="O690" s="346"/>
      <c r="P690" s="642" t="s">
        <v>2046</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1967</v>
      </c>
      <c r="Q691" s="323"/>
      <c r="R691" s="190"/>
      <c r="S691" s="448"/>
      <c r="T691" s="572" t="s">
        <v>2501</v>
      </c>
      <c r="U691" s="572" t="s">
        <v>628</v>
      </c>
      <c r="AA691" s="27"/>
      <c r="AB691" s="27"/>
      <c r="AC691" s="1072"/>
      <c r="AD691" s="585"/>
    </row>
    <row r="692" spans="6:30" ht="10.5" customHeight="1">
      <c r="F692" s="371"/>
      <c r="G692" s="346"/>
      <c r="H692" s="346"/>
      <c r="I692" s="346"/>
      <c r="J692" s="346"/>
      <c r="K692" s="346"/>
      <c r="L692" s="346"/>
      <c r="M692" s="346"/>
      <c r="N692" s="346"/>
      <c r="O692" s="346"/>
      <c r="P692" s="642" t="s">
        <v>1969</v>
      </c>
      <c r="Q692" s="323"/>
      <c r="R692" s="190"/>
      <c r="S692" s="448"/>
      <c r="T692" s="572" t="s">
        <v>4741</v>
      </c>
      <c r="U692" s="572" t="s">
        <v>628</v>
      </c>
      <c r="AA692" s="27"/>
      <c r="AB692" s="27"/>
      <c r="AC692" s="1072"/>
      <c r="AD692" s="585"/>
    </row>
    <row r="693" spans="6:30" ht="10.5" customHeight="1">
      <c r="F693" s="371"/>
      <c r="G693" s="346"/>
      <c r="H693" s="346"/>
      <c r="I693" s="346"/>
      <c r="J693" s="346"/>
      <c r="K693" s="346"/>
      <c r="L693" s="346"/>
      <c r="M693" s="346"/>
      <c r="N693" s="346"/>
      <c r="O693" s="346"/>
      <c r="P693" s="642" t="s">
        <v>1971</v>
      </c>
      <c r="Q693" s="323"/>
      <c r="R693" s="190"/>
      <c r="S693" s="448"/>
      <c r="T693" s="572" t="s">
        <v>1899</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1902</v>
      </c>
      <c r="U694" s="572" t="s">
        <v>2241</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1904</v>
      </c>
      <c r="U695" s="572" t="s">
        <v>162</v>
      </c>
      <c r="AA695" s="27"/>
      <c r="AB695" s="27"/>
      <c r="AC695" s="1072"/>
      <c r="AD695" s="585"/>
    </row>
    <row r="696" spans="6:30" ht="10.5" customHeight="1">
      <c r="F696" s="371"/>
      <c r="G696" s="346"/>
      <c r="H696" s="346"/>
      <c r="I696" s="346"/>
      <c r="J696" s="346"/>
      <c r="K696" s="346"/>
      <c r="L696" s="346"/>
      <c r="M696" s="346"/>
      <c r="N696" s="346"/>
      <c r="O696" s="346"/>
      <c r="P696" s="642" t="s">
        <v>2096</v>
      </c>
      <c r="Q696" s="323"/>
      <c r="R696" s="190"/>
      <c r="S696" s="448"/>
      <c r="T696" s="572" t="s">
        <v>644</v>
      </c>
      <c r="U696" s="572" t="s">
        <v>2400</v>
      </c>
      <c r="AA696" s="27"/>
      <c r="AB696" s="27"/>
      <c r="AC696" s="1072"/>
      <c r="AD696" s="585"/>
    </row>
    <row r="697" spans="6:30" ht="10.5" customHeight="1">
      <c r="F697" s="371"/>
      <c r="G697" s="346"/>
      <c r="H697" s="346"/>
      <c r="I697" s="346"/>
      <c r="J697" s="346"/>
      <c r="K697" s="346"/>
      <c r="L697" s="346"/>
      <c r="M697" s="346"/>
      <c r="N697" s="346"/>
      <c r="O697" s="346"/>
      <c r="P697" s="642" t="s">
        <v>2123</v>
      </c>
      <c r="Q697" s="1122"/>
      <c r="R697" s="1122"/>
      <c r="S697" s="1123"/>
      <c r="T697" s="572" t="s">
        <v>817</v>
      </c>
      <c r="U697" s="572" t="s">
        <v>2171</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1910</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2004</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2308</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2241</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2255</v>
      </c>
      <c r="U703" s="572" t="s">
        <v>1916</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2257</v>
      </c>
      <c r="U704" s="572" t="s">
        <v>2167</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2259</v>
      </c>
      <c r="U705" s="572" t="s">
        <v>2400</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2874</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2178</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2047</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1968</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1970</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1972</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2875</v>
      </c>
      <c r="U713" s="572" t="s">
        <v>1910</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2097</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2124</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2004</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2125</v>
      </c>
      <c r="U718" s="572" t="s">
        <v>2004</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2126</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2331</v>
      </c>
      <c r="U720" s="572" t="s">
        <v>1875</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2332</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2333</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2334</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2335</v>
      </c>
      <c r="U724" s="572" t="s">
        <v>2396</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2260</v>
      </c>
      <c r="U725" s="572" t="s">
        <v>2172</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2398</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1949</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2530</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2241</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1949</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1908</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2485</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2007</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1877</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2400</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2396</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2589</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2008</v>
      </c>
      <c r="AA761" s="27"/>
      <c r="AB761" s="27"/>
      <c r="AC761" s="1072"/>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5">
      <c r="F763" s="371"/>
      <c r="G763" s="346"/>
      <c r="H763" s="346"/>
      <c r="I763" s="346"/>
      <c r="J763" s="646"/>
      <c r="K763" s="647"/>
      <c r="L763" s="187"/>
      <c r="M763" s="346"/>
      <c r="N763" s="346"/>
      <c r="O763" s="346"/>
      <c r="P763" s="346"/>
      <c r="Q763" s="346"/>
      <c r="R763" s="346"/>
      <c r="S763" s="346"/>
      <c r="T763" s="448" t="s">
        <v>298</v>
      </c>
      <c r="U763" s="448" t="s">
        <v>1914</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1877</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2178</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2380</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2381</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2382</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2004</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2876</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1910</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S2102"/>
  <sheetViews>
    <sheetView showGridLines="0" zoomScaleNormal="100" workbookViewId="0">
      <selection sqref="A1:XFD1048576"/>
    </sheetView>
  </sheetViews>
  <sheetFormatPr defaultColWidth="9.140625" defaultRowHeight="12.75"/>
  <cols>
    <col min="1" max="7" width="9.28515625" style="742" bestFit="1" customWidth="1"/>
    <col min="8" max="8" width="12.28515625" style="742" bestFit="1" customWidth="1"/>
    <col min="9" max="9" width="14.42578125" style="742" bestFit="1" customWidth="1"/>
    <col min="10" max="10" width="12.28515625" style="742" bestFit="1" customWidth="1"/>
    <col min="11" max="15" width="13" style="742" bestFit="1" customWidth="1"/>
    <col min="16" max="16" width="12.28515625" style="742" bestFit="1" customWidth="1"/>
    <col min="17" max="357" width="9.28515625" style="742" bestFit="1" customWidth="1"/>
    <col min="358" max="16384" width="9.140625" style="742"/>
  </cols>
  <sheetData>
    <row r="1" spans="1:1" ht="15.75">
      <c r="A1" s="2717" t="s">
        <v>979</v>
      </c>
    </row>
    <row r="2" spans="1:1" ht="16.5">
      <c r="A2" s="1644" t="str">
        <f>'Part I-Project Information'!F34</f>
        <v>55 Milton</v>
      </c>
    </row>
    <row r="3" spans="1:1" ht="16.5">
      <c r="A3" s="1644" t="str">
        <f>CONCATENATE('Part I-Project Information'!F38,", ", 'Part I-Project Information'!J39," County")</f>
        <v>Atlanta, Fulton County</v>
      </c>
    </row>
    <row r="5" spans="1:1" ht="12.75" customHeight="1">
      <c r="A5" s="1682" t="str">
        <f>'Project Narrative'!$A$5</f>
        <v xml:space="preserve">55 Milton is a Southeast Atlanta BeltLine loop site that was originally submitted as a 9% award in 2018. Prestwick will develop a market quality product consistent with The Manor at Scott’s Crossing and Gateway Capitol View in the City of Atlanta off of Milton Avenue. The multifamily complex will showcase 156 units (46-one bedroom, 63-two bedroom, and 27-three bedroom).  Eighteen (18) of the units will be reserved for persons facing homelessness through the Atlanta Housing HAVEN program.   All units will be in one individual building and there will be an integrated community center. The building’s attractive, modern exterior will consist of brick or stone complemented by hardi-plank façade providing maximum architectural appeal.  The project will seek the Southface Energy Institute’s Earth Craft certification.  
For the enjoyment and convenience of all residents, central common areas will include a community room with a kitchen, fitness center, business center with computer stations, a playground, community garden, wellness room, interior gathering areas and a laundry room. We will also offer a gazebo / picnic area and other green space.  Resident activities will be ongoing and designed to meet the needs of the changing community.  
The site's best amenity, however, might be its location.  The site is located within the Southeast corridor of the Atlanta Beltline.  This is a rapidly changing part of the city that has recently seen land sales increase significantly and multiple market rate multifamily developments approved. The site is within a short walking distance to several parks and other community amenities.
</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4459</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ht="13.5">
      <c r="A28" s="1647"/>
      <c r="B28" s="1654" t="s">
        <v>2363</v>
      </c>
      <c r="C28" s="1647"/>
      <c r="D28" s="1647"/>
      <c r="E28" s="1647"/>
      <c r="F28" s="1651"/>
      <c r="G28" s="1649" t="s">
        <v>5133</v>
      </c>
      <c r="H28" s="1647"/>
      <c r="I28" s="1647"/>
      <c r="J28" s="1647"/>
      <c r="K28" s="1647"/>
      <c r="L28" s="1651"/>
      <c r="M28" s="1647"/>
      <c r="N28" s="1647"/>
      <c r="O28" s="1647"/>
      <c r="P28" s="1657" t="s">
        <v>3869</v>
      </c>
    </row>
    <row r="29" spans="1:16" ht="14.25" customHeight="1">
      <c r="A29" s="1647"/>
      <c r="B29" s="2718" t="str">
        <f>'Part I-Project Information'!B6</f>
        <v>May 2019 Final</v>
      </c>
      <c r="C29" s="2718">
        <f>'Part I-Project Information'!C6</f>
        <v>0</v>
      </c>
      <c r="D29" s="2718">
        <f>'Part I-Project Information'!D6</f>
        <v>0</v>
      </c>
      <c r="E29" s="1636"/>
      <c r="F29" s="1651"/>
      <c r="G29" s="1649" t="s">
        <v>5134</v>
      </c>
      <c r="H29" s="1651"/>
      <c r="I29" s="1651"/>
      <c r="J29" s="1651"/>
      <c r="K29" s="1647"/>
      <c r="L29" s="1647"/>
      <c r="M29" s="1647"/>
      <c r="N29" s="1647"/>
      <c r="O29" s="1647" t="str">
        <f>'Part I-Project Information'!$O$6</f>
        <v>2019-5</v>
      </c>
      <c r="P29" s="1647"/>
    </row>
    <row r="30" spans="1:16" ht="12.75" customHeight="1">
      <c r="A30" s="1647"/>
      <c r="B30" s="2718">
        <f>'Part I-Project Information'!B7</f>
        <v>0</v>
      </c>
      <c r="C30" s="2718">
        <f>'Part I-Project Information'!C7</f>
        <v>0</v>
      </c>
      <c r="D30" s="2718">
        <f>'Part I-Project Information'!D7</f>
        <v>0</v>
      </c>
      <c r="E30" s="1636"/>
      <c r="F30" s="1647"/>
      <c r="G30" s="1652" t="s">
        <v>3317</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c r="A32" s="1647" t="s">
        <v>616</v>
      </c>
      <c r="B32" s="1647" t="s">
        <v>2374</v>
      </c>
      <c r="C32" s="1647"/>
      <c r="D32" s="1653"/>
      <c r="E32" s="1651"/>
      <c r="F32" s="1654" t="s">
        <v>3797</v>
      </c>
      <c r="G32" s="1647"/>
      <c r="H32" s="1647"/>
      <c r="I32" s="1655">
        <f>'Part I-Project Information'!I9</f>
        <v>1213455</v>
      </c>
      <c r="J32" s="1655">
        <f>'Part I-Project Information'!J9</f>
        <v>0</v>
      </c>
      <c r="K32" s="1647"/>
      <c r="L32" s="1647" t="s">
        <v>3798</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ht="13.5">
      <c r="A34" s="1654" t="s">
        <v>740</v>
      </c>
      <c r="B34" s="1647" t="s">
        <v>2039</v>
      </c>
      <c r="C34" s="1647"/>
      <c r="D34" s="1647"/>
      <c r="E34" s="1647"/>
      <c r="F34" s="1710" t="str">
        <f>'Part I-Project Information'!$F$11</f>
        <v>4% Credit/TE Bond</v>
      </c>
      <c r="G34" s="1710"/>
      <c r="H34" s="1710"/>
      <c r="I34" s="2719" t="s">
        <v>3714</v>
      </c>
      <c r="J34" s="1647" t="s">
        <v>5135</v>
      </c>
      <c r="K34" s="1647"/>
      <c r="L34" s="1651"/>
      <c r="M34" s="1647"/>
      <c r="N34" s="1647"/>
      <c r="O34" s="1647" t="str">
        <f>'Part I-Project Information'!$O$11</f>
        <v>2019PA-517</v>
      </c>
      <c r="P34" s="1647"/>
    </row>
    <row r="35" spans="1:16" ht="13.5">
      <c r="A35" s="1651"/>
      <c r="B35" s="1665"/>
      <c r="C35" s="1665"/>
      <c r="D35" s="1665"/>
      <c r="E35" s="1665"/>
      <c r="F35" s="1647"/>
      <c r="G35" s="1647"/>
      <c r="H35" s="1651"/>
      <c r="I35" s="1647"/>
      <c r="J35" s="1649" t="s">
        <v>5088</v>
      </c>
      <c r="K35" s="1654"/>
      <c r="L35" s="1647"/>
      <c r="M35" s="1651"/>
      <c r="N35" s="1647"/>
      <c r="O35" s="1647" t="str">
        <f>'Part I-Project Information'!$O$12</f>
        <v>Yes - see Comment</v>
      </c>
      <c r="P35" s="1647"/>
    </row>
    <row r="36" spans="1:16">
      <c r="A36" s="1651"/>
      <c r="B36" s="1665"/>
      <c r="C36" s="1665"/>
      <c r="D36" s="1665"/>
      <c r="E36" s="1665"/>
      <c r="F36" s="1647"/>
      <c r="G36" s="1647"/>
      <c r="H36" s="1651"/>
      <c r="I36" s="1647"/>
      <c r="J36" s="1654"/>
      <c r="K36" s="1654"/>
      <c r="L36" s="1647"/>
      <c r="M36" s="1651"/>
      <c r="N36" s="1647"/>
      <c r="O36" s="1647"/>
      <c r="P36" s="1647"/>
    </row>
    <row r="37" spans="1:16" ht="13.5">
      <c r="A37" s="1651"/>
      <c r="B37" s="1665" t="s">
        <v>5049</v>
      </c>
      <c r="C37" s="1665"/>
      <c r="D37" s="1665"/>
      <c r="E37" s="1665"/>
      <c r="F37" s="1729" t="str">
        <f>'Part I-Project Information'!F14</f>
        <v>Yes</v>
      </c>
      <c r="G37" s="1654" t="s">
        <v>5050</v>
      </c>
      <c r="H37" s="1647"/>
      <c r="I37" s="1647"/>
      <c r="J37" s="1647"/>
      <c r="K37" s="1647"/>
      <c r="L37" s="1647"/>
      <c r="M37" s="1647"/>
      <c r="N37" s="1710" t="str">
        <f>'Part I-Project Information'!N14</f>
        <v>4% Credit/TE Bond</v>
      </c>
      <c r="O37" s="1710">
        <f>'Part I-Project Information'!O14</f>
        <v>0</v>
      </c>
      <c r="P37" s="1710">
        <f>'Part I-Project Information'!P14</f>
        <v>0</v>
      </c>
    </row>
    <row r="38" spans="1:16">
      <c r="A38" s="1651"/>
      <c r="B38" s="1647" t="s">
        <v>3870</v>
      </c>
      <c r="C38" s="1647"/>
      <c r="D38" s="1647"/>
      <c r="E38" s="1647"/>
      <c r="F38" s="2023" t="str">
        <f>'Part I-Project Information'!F15</f>
        <v>Milton Terrace</v>
      </c>
      <c r="G38" s="2023">
        <f>'Part I-Project Information'!G15</f>
        <v>0</v>
      </c>
      <c r="H38" s="2023">
        <f>'Part I-Project Information'!H15</f>
        <v>0</v>
      </c>
      <c r="I38" s="2023">
        <f>'Part I-Project Information'!I15</f>
        <v>0</v>
      </c>
      <c r="J38" s="2023">
        <f>'Part I-Project Information'!J15</f>
        <v>0</v>
      </c>
      <c r="K38" s="2023">
        <f>'Part I-Project Information'!K15</f>
        <v>0</v>
      </c>
      <c r="L38" s="1647" t="s">
        <v>5036</v>
      </c>
      <c r="M38" s="1647"/>
      <c r="N38" s="1647"/>
      <c r="O38" s="1647" t="str">
        <f>'Part I-Project Information'!O15</f>
        <v>2018-007</v>
      </c>
      <c r="P38" s="1647">
        <f>'Part I-Project Information'!P15</f>
        <v>0</v>
      </c>
    </row>
    <row r="39" spans="1:16" ht="13.5">
      <c r="A39" s="1651"/>
      <c r="B39" s="1647" t="s">
        <v>3796</v>
      </c>
      <c r="C39" s="1647"/>
      <c r="D39" s="1647"/>
      <c r="E39" s="1647"/>
      <c r="F39" s="1729" t="str">
        <f>'Part I-Project Information'!F16</f>
        <v>No</v>
      </c>
      <c r="G39" s="1647" t="s">
        <v>5037</v>
      </c>
      <c r="H39" s="1651"/>
      <c r="I39" s="1652"/>
      <c r="J39" s="1654"/>
      <c r="K39" s="1647"/>
      <c r="L39" s="1647"/>
      <c r="M39" s="1647"/>
      <c r="N39" s="1710" t="str">
        <f>'Part I-Project Information'!N16</f>
        <v>Qualified w/out Conditions</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4479</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3878</v>
      </c>
      <c r="C43" s="1647"/>
      <c r="D43" s="1647"/>
      <c r="E43" s="1647"/>
      <c r="F43" s="1647" t="str">
        <f>'Part I-Project Information'!F20</f>
        <v>Prestwick Development Company</v>
      </c>
      <c r="G43" s="1647">
        <f>'Part I-Project Information'!G20</f>
        <v>0</v>
      </c>
      <c r="H43" s="1647">
        <f>'Part I-Project Information'!H20</f>
        <v>0</v>
      </c>
      <c r="I43" s="1647" t="s">
        <v>1797</v>
      </c>
      <c r="J43" s="1647" t="str">
        <f>'Part I-Project Information'!J20</f>
        <v>Wiley A. Tucker, III</v>
      </c>
      <c r="K43" s="1647">
        <f>'Part I-Project Information'!K20</f>
        <v>0</v>
      </c>
      <c r="L43" s="1647">
        <f>'Part I-Project Information'!L20</f>
        <v>0</v>
      </c>
      <c r="M43" s="1654" t="s">
        <v>1979</v>
      </c>
      <c r="N43" s="1647" t="str">
        <f>'Part I-Project Information'!N20</f>
        <v>Manager</v>
      </c>
      <c r="O43" s="1647">
        <f>'Part I-Project Information'!O20</f>
        <v>0</v>
      </c>
      <c r="P43" s="1647">
        <f>'Part I-Project Information'!P20</f>
        <v>0</v>
      </c>
    </row>
    <row r="44" spans="1:16" ht="12.75" customHeight="1">
      <c r="A44" s="1647"/>
      <c r="B44" s="1654" t="s">
        <v>1980</v>
      </c>
      <c r="C44" s="1647"/>
      <c r="D44" s="1647"/>
      <c r="E44" s="1647"/>
      <c r="F44" s="1647" t="str">
        <f>'Part I-Project Information'!F21</f>
        <v>3715 Northside Parkway Bldg 200 Ste 175</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3877</v>
      </c>
      <c r="N44" s="1659"/>
      <c r="O44" s="1659"/>
      <c r="P44" s="1659"/>
    </row>
    <row r="45" spans="1:16" ht="12.75" customHeight="1">
      <c r="A45" s="1647"/>
      <c r="B45" s="1654" t="s">
        <v>618</v>
      </c>
      <c r="C45" s="1647"/>
      <c r="D45" s="1647"/>
      <c r="E45" s="1647"/>
      <c r="F45" s="1647" t="str">
        <f>'Part I-Project Information'!F22</f>
        <v>Atlanta</v>
      </c>
      <c r="G45" s="1647">
        <f>'Part I-Project Information'!G22</f>
        <v>0</v>
      </c>
      <c r="H45" s="1647">
        <f>'Part I-Project Information'!H22</f>
        <v>0</v>
      </c>
      <c r="I45" s="1654" t="s">
        <v>1799</v>
      </c>
      <c r="J45" s="1680" t="str">
        <f>'Part I-Project Information'!J22</f>
        <v>GA</v>
      </c>
      <c r="K45" s="1647"/>
      <c r="L45" s="1647"/>
      <c r="M45" s="1659"/>
      <c r="N45" s="1659"/>
      <c r="O45" s="1659"/>
      <c r="P45" s="1659"/>
    </row>
    <row r="46" spans="1:16">
      <c r="A46" s="1647"/>
      <c r="B46" s="1654" t="s">
        <v>2228</v>
      </c>
      <c r="C46" s="1647"/>
      <c r="D46" s="1647"/>
      <c r="E46" s="1647"/>
      <c r="F46" s="2115">
        <f>'Part I-Project Information'!F23</f>
        <v>303272800</v>
      </c>
      <c r="G46" s="2115">
        <f>'Part I-Project Information'!G23</f>
        <v>0</v>
      </c>
      <c r="H46" s="2115">
        <f>'Part I-Project Information'!H23</f>
        <v>0</v>
      </c>
      <c r="I46" s="1654" t="s">
        <v>1720</v>
      </c>
      <c r="J46" s="2116">
        <f>'Part I-Project Information'!J23</f>
        <v>4049493871</v>
      </c>
      <c r="K46" s="2116">
        <f>'Part I-Project Information'!K23</f>
        <v>0</v>
      </c>
      <c r="L46" s="1651" t="s">
        <v>1719</v>
      </c>
      <c r="M46" s="1651">
        <f>'Part I-Project Information'!M23</f>
        <v>0</v>
      </c>
      <c r="N46" s="1654" t="s">
        <v>1721</v>
      </c>
      <c r="O46" s="2116">
        <f>'Part I-Project Information'!O23</f>
        <v>4049493871</v>
      </c>
      <c r="P46" s="2116">
        <f>'Part I-Project Information'!P23</f>
        <v>0</v>
      </c>
    </row>
    <row r="47" spans="1:16">
      <c r="A47" s="1647"/>
      <c r="B47" s="1654" t="s">
        <v>1983</v>
      </c>
      <c r="C47" s="1647"/>
      <c r="D47" s="1647"/>
      <c r="E47" s="1647"/>
      <c r="F47" s="1647" t="str">
        <f>'Part I-Project Information'!F24</f>
        <v>jody@prestwickcompanies.com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1978</v>
      </c>
      <c r="O47" s="2116">
        <f>'Part I-Project Information'!O24</f>
        <v>4049663824</v>
      </c>
      <c r="P47" s="2116">
        <f>'Part I-Project Information'!P24</f>
        <v>0</v>
      </c>
    </row>
    <row r="48" spans="1:16">
      <c r="A48" s="1651"/>
      <c r="B48" s="1647" t="s">
        <v>4478</v>
      </c>
      <c r="C48" s="1653"/>
      <c r="D48" s="1647"/>
      <c r="E48" s="1647"/>
      <c r="F48" s="1647"/>
      <c r="G48" s="1647"/>
      <c r="H48" s="1651"/>
      <c r="I48" s="1647"/>
      <c r="J48" s="1653"/>
      <c r="K48" s="1647"/>
      <c r="L48" s="1647"/>
      <c r="M48" s="1647"/>
      <c r="N48" s="1647"/>
      <c r="O48" s="1647"/>
      <c r="P48" s="1660"/>
    </row>
    <row r="49" spans="1:16">
      <c r="A49" s="1647"/>
      <c r="B49" s="1647" t="s">
        <v>3878</v>
      </c>
      <c r="C49" s="1647"/>
      <c r="D49" s="1647"/>
      <c r="E49" s="1647"/>
      <c r="F49" s="1647" t="str">
        <f>'Part I-Project Information'!F26</f>
        <v>Prestwick Development Company</v>
      </c>
      <c r="G49" s="1647">
        <f>'Part I-Project Information'!G26</f>
        <v>0</v>
      </c>
      <c r="H49" s="1647">
        <f>'Part I-Project Information'!H26</f>
        <v>0</v>
      </c>
      <c r="I49" s="1647" t="s">
        <v>1797</v>
      </c>
      <c r="J49" s="1647" t="str">
        <f>'Part I-Project Information'!J26</f>
        <v>Edrick Harris</v>
      </c>
      <c r="K49" s="1647">
        <f>'Part I-Project Information'!K26</f>
        <v>0</v>
      </c>
      <c r="L49" s="1647">
        <f>'Part I-Project Information'!L26</f>
        <v>0</v>
      </c>
      <c r="M49" s="1654" t="s">
        <v>1979</v>
      </c>
      <c r="N49" s="1647" t="str">
        <f>'Part I-Project Information'!N26</f>
        <v>SVP</v>
      </c>
      <c r="O49" s="1647">
        <f>'Part I-Project Information'!O26</f>
        <v>0</v>
      </c>
      <c r="P49" s="1647">
        <f>'Part I-Project Information'!P26</f>
        <v>0</v>
      </c>
    </row>
    <row r="50" spans="1:16" ht="12.75" customHeight="1">
      <c r="A50" s="1647"/>
      <c r="B50" s="1654" t="s">
        <v>1980</v>
      </c>
      <c r="C50" s="1647"/>
      <c r="D50" s="1647"/>
      <c r="E50" s="1647"/>
      <c r="F50" s="1647" t="str">
        <f>'Part I-Project Information'!F27</f>
        <v>3715 Northside Parkway Bldg 200 Ste 175</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3877</v>
      </c>
      <c r="N50" s="1659"/>
      <c r="O50" s="1659"/>
      <c r="P50" s="1659"/>
    </row>
    <row r="51" spans="1:16" ht="12.75" customHeight="1">
      <c r="A51" s="1647"/>
      <c r="B51" s="1654" t="s">
        <v>618</v>
      </c>
      <c r="C51" s="1647"/>
      <c r="D51" s="1647"/>
      <c r="E51" s="1647"/>
      <c r="F51" s="1647" t="str">
        <f>'Part I-Project Information'!F28</f>
        <v>Atlanta</v>
      </c>
      <c r="G51" s="1647">
        <f>'Part I-Project Information'!G28</f>
        <v>0</v>
      </c>
      <c r="H51" s="1647">
        <f>'Part I-Project Information'!H28</f>
        <v>0</v>
      </c>
      <c r="I51" s="1654" t="s">
        <v>1799</v>
      </c>
      <c r="J51" s="1680" t="str">
        <f>'Part I-Project Information'!J28</f>
        <v>GA</v>
      </c>
      <c r="K51" s="1647"/>
      <c r="L51" s="1647"/>
      <c r="M51" s="1659"/>
      <c r="N51" s="1659"/>
      <c r="O51" s="1659"/>
      <c r="P51" s="1659"/>
    </row>
    <row r="52" spans="1:16">
      <c r="A52" s="1647"/>
      <c r="B52" s="1654" t="s">
        <v>2228</v>
      </c>
      <c r="C52" s="1647"/>
      <c r="D52" s="1647"/>
      <c r="E52" s="1647"/>
      <c r="F52" s="2115">
        <f>'Part I-Project Information'!F29</f>
        <v>303272800</v>
      </c>
      <c r="G52" s="2115">
        <f>'Part I-Project Information'!G29</f>
        <v>0</v>
      </c>
      <c r="H52" s="2115">
        <f>'Part I-Project Information'!H29</f>
        <v>0</v>
      </c>
      <c r="I52" s="1654" t="s">
        <v>1720</v>
      </c>
      <c r="J52" s="2116">
        <f>'Part I-Project Information'!J29</f>
        <v>6787050738</v>
      </c>
      <c r="K52" s="2116">
        <f>'Part I-Project Information'!K29</f>
        <v>0</v>
      </c>
      <c r="L52" s="1651" t="s">
        <v>1719</v>
      </c>
      <c r="M52" s="1651">
        <f>'Part I-Project Information'!M29</f>
        <v>0</v>
      </c>
      <c r="N52" s="1654" t="s">
        <v>1721</v>
      </c>
      <c r="O52" s="2116">
        <f>'Part I-Project Information'!O29</f>
        <v>6787050738</v>
      </c>
      <c r="P52" s="2116">
        <f>'Part I-Project Information'!P29</f>
        <v>0</v>
      </c>
    </row>
    <row r="53" spans="1:16">
      <c r="A53" s="1647"/>
      <c r="B53" s="1654" t="s">
        <v>1983</v>
      </c>
      <c r="C53" s="1647"/>
      <c r="D53" s="1647"/>
      <c r="E53" s="1647"/>
      <c r="F53" s="1647" t="str">
        <f>'Part I-Project Information'!F30</f>
        <v>edrick@prestwickcompanies.com</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1978</v>
      </c>
      <c r="O53" s="2116">
        <f>'Part I-Project Information'!O30</f>
        <v>4043177597</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55 Milton</v>
      </c>
      <c r="G57" s="2023">
        <f>'Part I-Project Information'!G34</f>
        <v>0</v>
      </c>
      <c r="H57" s="2023">
        <f>'Part I-Project Information'!H34</f>
        <v>0</v>
      </c>
      <c r="I57" s="2023">
        <f>'Part I-Project Information'!I34</f>
        <v>0</v>
      </c>
      <c r="J57" s="2023">
        <f>'Part I-Project Information'!J34</f>
        <v>0</v>
      </c>
      <c r="K57" s="2023">
        <f>'Part I-Project Information'!K34</f>
        <v>0</v>
      </c>
      <c r="L57" s="1654" t="s">
        <v>2191</v>
      </c>
      <c r="M57" s="1647"/>
      <c r="N57" s="1647"/>
      <c r="O57" s="1647" t="str">
        <f>'Part I-Project Information'!O34</f>
        <v>No</v>
      </c>
      <c r="P57" s="1647">
        <f>'Part I-Project Information'!P34</f>
        <v>0</v>
      </c>
    </row>
    <row r="58" spans="1:16">
      <c r="A58" s="1657"/>
      <c r="B58" s="1647" t="s">
        <v>2698</v>
      </c>
      <c r="C58" s="1647"/>
      <c r="D58" s="1657"/>
      <c r="E58" s="1647"/>
      <c r="F58" s="2023" t="str">
        <f>'Part I-Project Information'!F35</f>
        <v>55 Milton Avenue</v>
      </c>
      <c r="G58" s="2023">
        <f>'Part I-Project Information'!G35</f>
        <v>0</v>
      </c>
      <c r="H58" s="2023">
        <f>'Part I-Project Information'!H35</f>
        <v>0</v>
      </c>
      <c r="I58" s="2023">
        <f>'Part I-Project Information'!I35</f>
        <v>0</v>
      </c>
      <c r="J58" s="2023">
        <f>'Part I-Project Information'!J35</f>
        <v>0</v>
      </c>
      <c r="K58" s="2023">
        <f>'Part I-Project Information'!K35</f>
        <v>0</v>
      </c>
      <c r="L58" s="1647" t="s">
        <v>3682</v>
      </c>
      <c r="M58" s="1647"/>
      <c r="N58" s="1647"/>
      <c r="O58" s="1647">
        <f>'Part I-Project Information'!O35</f>
        <v>0</v>
      </c>
      <c r="P58" s="1647">
        <f>'Part I-Project Information'!P35</f>
        <v>0</v>
      </c>
    </row>
    <row r="59" spans="1:16">
      <c r="A59" s="1657"/>
      <c r="B59" s="1647" t="s">
        <v>5089</v>
      </c>
      <c r="C59" s="1647"/>
      <c r="D59" s="1657"/>
      <c r="E59" s="1647"/>
      <c r="F59" s="2023">
        <f>'Part I-Project Information'!F36</f>
        <v>0</v>
      </c>
      <c r="G59" s="2023">
        <f>'Part I-Project Information'!G36</f>
        <v>0</v>
      </c>
      <c r="H59" s="2023">
        <f>'Part I-Project Information'!H36</f>
        <v>0</v>
      </c>
      <c r="I59" s="2023">
        <f>'Part I-Project Information'!I36</f>
        <v>0</v>
      </c>
      <c r="J59" s="2023">
        <f>'Part I-Project Information'!J36</f>
        <v>0</v>
      </c>
      <c r="K59" s="2023">
        <f>'Part I-Project Information'!K36</f>
        <v>0</v>
      </c>
      <c r="L59" s="1654" t="s">
        <v>2049</v>
      </c>
      <c r="M59" s="1647"/>
      <c r="N59" s="1651" t="str">
        <f>'Part I-Project Information'!N36</f>
        <v>No</v>
      </c>
      <c r="O59" s="1651" t="s">
        <v>3681</v>
      </c>
      <c r="P59" s="1651">
        <f>'Part I-Project Information'!P36</f>
        <v>0</v>
      </c>
    </row>
    <row r="60" spans="1:16">
      <c r="A60" s="1657"/>
      <c r="B60" s="1647" t="s">
        <v>3735</v>
      </c>
      <c r="C60" s="1647"/>
      <c r="D60" s="1657"/>
      <c r="E60" s="1647"/>
      <c r="F60" s="1647" t="s">
        <v>3716</v>
      </c>
      <c r="G60" s="2117">
        <f>'Part I-Project Information'!G37</f>
        <v>33.724460999999998</v>
      </c>
      <c r="H60" s="2117">
        <f>'Part I-Project Information'!H37</f>
        <v>0</v>
      </c>
      <c r="I60" s="1651" t="s">
        <v>3717</v>
      </c>
      <c r="J60" s="2117">
        <f>'Part I-Project Information'!J37</f>
        <v>-84.386662000000001</v>
      </c>
      <c r="K60" s="2117">
        <f>'Part I-Project Information'!K37</f>
        <v>0</v>
      </c>
      <c r="L60" s="1654" t="s">
        <v>2282</v>
      </c>
      <c r="M60" s="1647"/>
      <c r="N60" s="1647"/>
      <c r="O60" s="2118">
        <f>'Part I-Project Information'!O37</f>
        <v>3.43</v>
      </c>
      <c r="P60" s="2118">
        <f>'Part I-Project Information'!P37</f>
        <v>0</v>
      </c>
    </row>
    <row r="61" spans="1:16" ht="16.5">
      <c r="A61" s="1651"/>
      <c r="B61" s="1647" t="s">
        <v>618</v>
      </c>
      <c r="C61" s="1647"/>
      <c r="D61" s="1647"/>
      <c r="E61" s="1647"/>
      <c r="F61" s="1647" t="str">
        <f>'Part I-Project Information'!F38</f>
        <v>Atlanta</v>
      </c>
      <c r="G61" s="1647">
        <f>'Part I-Project Information'!G38</f>
        <v>0</v>
      </c>
      <c r="H61" s="1647">
        <f>'Part I-Project Information'!H38</f>
        <v>0</v>
      </c>
      <c r="I61" s="1661" t="s">
        <v>5136</v>
      </c>
      <c r="J61" s="2115">
        <f>'Part I-Project Information'!J38</f>
        <v>303152303</v>
      </c>
      <c r="K61" s="2115">
        <f>'Part I-Project Information'!K38</f>
        <v>0</v>
      </c>
      <c r="L61" s="1647" t="str">
        <f>IF(AND(NOT(F57=""),NOT(F61="Select from list"),J61=""),"Enter Zip!","")</f>
        <v/>
      </c>
      <c r="M61" s="1662" t="s">
        <v>2905</v>
      </c>
      <c r="N61" s="1647"/>
      <c r="O61" s="2119" t="str">
        <f>'Part I-Project Information'!O38</f>
        <v>0055.01</v>
      </c>
      <c r="P61" s="2120">
        <f>'Part I-Project Information'!P38</f>
        <v>0</v>
      </c>
    </row>
    <row r="62" spans="1:16">
      <c r="A62" s="1651"/>
      <c r="B62" s="1647" t="s">
        <v>3568</v>
      </c>
      <c r="C62" s="1647"/>
      <c r="D62" s="1647"/>
      <c r="E62" s="1647"/>
      <c r="F62" s="1647" t="str">
        <f>'Part I-Project Information'!F39</f>
        <v>Within City Limits</v>
      </c>
      <c r="G62" s="1647">
        <f>'Part I-Project Information'!G39</f>
        <v>0</v>
      </c>
      <c r="H62" s="1647">
        <f>'Part I-Project Information'!H39</f>
        <v>0</v>
      </c>
      <c r="I62" s="1663" t="s">
        <v>619</v>
      </c>
      <c r="J62" s="2023" t="str">
        <f>'Part I-Project Information'!J39</f>
        <v>Fulton</v>
      </c>
      <c r="K62" s="2023"/>
      <c r="L62" s="1647"/>
      <c r="M62" s="1654" t="s">
        <v>451</v>
      </c>
      <c r="N62" s="1664" t="str">
        <f>'Part I-Project Information'!N39</f>
        <v>Yes</v>
      </c>
      <c r="O62" s="1651" t="s">
        <v>452</v>
      </c>
      <c r="P62" s="1664" t="str">
        <f>'Part I-Project Information'!P39</f>
        <v>No</v>
      </c>
    </row>
    <row r="63" spans="1:16">
      <c r="A63" s="1651"/>
      <c r="B63" s="1647"/>
      <c r="C63" s="1647" t="s">
        <v>1558</v>
      </c>
      <c r="D63" s="1647"/>
      <c r="E63" s="1647"/>
      <c r="F63" s="1654">
        <f>'Part I-Project Information'!F40</f>
        <v>0</v>
      </c>
      <c r="G63" s="1647" t="s">
        <v>2780</v>
      </c>
      <c r="H63" s="1647"/>
      <c r="I63" s="1651" t="str">
        <f>'Part I-Project Information'!I40</f>
        <v>No</v>
      </c>
      <c r="J63" s="1651" t="s">
        <v>2800</v>
      </c>
      <c r="K63" s="1651" t="str">
        <f>'Part I-Project Information'!K40</f>
        <v>Urban</v>
      </c>
      <c r="L63" s="1647"/>
      <c r="M63" s="1654" t="s">
        <v>2610</v>
      </c>
      <c r="N63" s="1651" t="str">
        <f>'Part I-Project Information'!N40</f>
        <v>MSA</v>
      </c>
      <c r="O63" s="1647" t="str">
        <f>'Part I-Project Information'!O40</f>
        <v>Atlanta-Sandy Springs-Marietta</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ht="13.5">
      <c r="A65" s="1651"/>
      <c r="B65" s="1647"/>
      <c r="C65" s="1647" t="s">
        <v>5137</v>
      </c>
      <c r="D65" s="1647"/>
      <c r="E65" s="1647"/>
      <c r="F65" s="1665" t="s">
        <v>2761</v>
      </c>
      <c r="G65" s="1665"/>
      <c r="H65" s="1647" t="s">
        <v>736</v>
      </c>
      <c r="I65" s="1647"/>
      <c r="J65" s="1647" t="s">
        <v>737</v>
      </c>
      <c r="K65" s="1647"/>
      <c r="L65" s="1787" t="s">
        <v>5138</v>
      </c>
      <c r="M65" s="1647"/>
      <c r="N65" s="1647"/>
      <c r="O65" s="1647"/>
      <c r="P65" s="1647"/>
    </row>
    <row r="66" spans="1:16">
      <c r="A66" s="1651"/>
      <c r="B66" s="1647" t="s">
        <v>5090</v>
      </c>
      <c r="C66" s="1647"/>
      <c r="D66" s="1647"/>
      <c r="E66" s="1647"/>
      <c r="F66" s="2121">
        <f>'Part I-Project Information'!F43</f>
        <v>5</v>
      </c>
      <c r="G66" s="2121">
        <f>'Part I-Project Information'!G43</f>
        <v>0</v>
      </c>
      <c r="H66" s="2121">
        <f>'Part I-Project Information'!H43</f>
        <v>36</v>
      </c>
      <c r="I66" s="2121">
        <f>'Part I-Project Information'!I43</f>
        <v>0</v>
      </c>
      <c r="J66" s="2121">
        <f>'Part I-Project Information'!J43</f>
        <v>59</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2759</v>
      </c>
      <c r="M67" s="1647"/>
      <c r="N67" s="1668" t="s">
        <v>2758</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City of Atlanta</v>
      </c>
      <c r="G69" s="1779">
        <f>'Part I-Project Information'!G46</f>
        <v>0</v>
      </c>
      <c r="H69" s="1779">
        <f>'Part I-Project Information'!H46</f>
        <v>0</v>
      </c>
      <c r="I69" s="1779">
        <f>'Part I-Project Information'!I46</f>
        <v>0</v>
      </c>
      <c r="J69" s="1779">
        <f>'Part I-Project Information'!J46</f>
        <v>0</v>
      </c>
      <c r="K69" s="1779">
        <f>'Part I-Project Information'!K46</f>
        <v>0</v>
      </c>
      <c r="L69" s="1669" t="s">
        <v>2703</v>
      </c>
      <c r="M69" s="1647" t="str">
        <f>'Part I-Project Information'!M46</f>
        <v>www.atlantaga.gov</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Keisha Lance Bottoms</v>
      </c>
      <c r="G70" s="1779">
        <f>'Part I-Project Information'!G47</f>
        <v>0</v>
      </c>
      <c r="H70" s="1779">
        <f>'Part I-Project Information'!H47</f>
        <v>0</v>
      </c>
      <c r="I70" s="1651" t="s">
        <v>1979</v>
      </c>
      <c r="J70" s="1647" t="str">
        <f>'Part I-Project Information'!J47</f>
        <v>Mayor</v>
      </c>
      <c r="K70" s="1647">
        <f>'Part I-Project Information'!K47</f>
        <v>0</v>
      </c>
      <c r="L70" s="1669"/>
      <c r="M70" s="1647"/>
      <c r="N70" s="1647"/>
      <c r="O70" s="1647"/>
      <c r="P70" s="1647"/>
    </row>
    <row r="71" spans="1:16">
      <c r="A71" s="1651"/>
      <c r="B71" s="1647" t="s">
        <v>1980</v>
      </c>
      <c r="C71" s="1647"/>
      <c r="D71" s="1647"/>
      <c r="E71" s="1647"/>
      <c r="F71" s="1779" t="str">
        <f>'Part I-Project Information'!F48</f>
        <v>55 Trinity Avenue</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Atlanta</v>
      </c>
      <c r="N71" s="1779">
        <f>'Part I-Project Information'!N48</f>
        <v>0</v>
      </c>
      <c r="O71" s="1779">
        <f>'Part I-Project Information'!O48</f>
        <v>0</v>
      </c>
      <c r="P71" s="1779">
        <f>'Part I-Project Information'!P48</f>
        <v>0</v>
      </c>
    </row>
    <row r="72" spans="1:16">
      <c r="A72" s="1651"/>
      <c r="B72" s="1654" t="s">
        <v>2228</v>
      </c>
      <c r="C72" s="1647"/>
      <c r="D72" s="1647"/>
      <c r="E72" s="1647"/>
      <c r="F72" s="2115">
        <f>'Part I-Project Information'!F49</f>
        <v>303033543</v>
      </c>
      <c r="G72" s="2115">
        <f>'Part I-Project Information'!G49</f>
        <v>0</v>
      </c>
      <c r="H72" s="1651" t="s">
        <v>1981</v>
      </c>
      <c r="I72" s="2116">
        <f>'Part I-Project Information'!I49</f>
        <v>4043306100</v>
      </c>
      <c r="J72" s="2116">
        <f>'Part I-Project Information'!J49</f>
        <v>0</v>
      </c>
      <c r="K72" s="2116">
        <f>'Part I-Project Information'!K49</f>
        <v>0</v>
      </c>
      <c r="L72" s="1654" t="s">
        <v>1800</v>
      </c>
      <c r="M72" s="1779" t="str">
        <f>'Part I-Project Information'!M49</f>
        <v>klbottoms@atlantaga.gov</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1982</v>
      </c>
      <c r="C76" s="1647" t="s">
        <v>5091</v>
      </c>
      <c r="D76" s="1647"/>
      <c r="E76" s="1647"/>
      <c r="F76" s="1647"/>
      <c r="G76" s="1647"/>
      <c r="H76" s="1647"/>
      <c r="I76" s="1647"/>
      <c r="J76" s="1647"/>
      <c r="K76" s="1652"/>
      <c r="L76" s="1647"/>
      <c r="M76" s="1667"/>
      <c r="N76" s="1667"/>
      <c r="O76" s="1667"/>
      <c r="P76" s="1667"/>
    </row>
    <row r="77" spans="1:16" ht="13.5">
      <c r="A77" s="1653"/>
      <c r="B77" s="1651"/>
      <c r="C77" s="1647" t="s">
        <v>2294</v>
      </c>
      <c r="D77" s="1647"/>
      <c r="E77" s="1647"/>
      <c r="F77" s="1653"/>
      <c r="G77" s="1653"/>
      <c r="H77" s="1672">
        <f>'Part VI-Revenues &amp; Expenses'!$O$103</f>
        <v>156</v>
      </c>
      <c r="I77" s="1653"/>
      <c r="J77" s="1653"/>
      <c r="K77" s="1654" t="s">
        <v>3673</v>
      </c>
      <c r="L77" s="1647"/>
      <c r="M77" s="1673" t="s">
        <v>3672</v>
      </c>
      <c r="N77" s="1672">
        <f>'Part VI-Revenues &amp; Expenses'!$O$110</f>
        <v>0</v>
      </c>
      <c r="O77" s="1674" t="s">
        <v>3356</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0</v>
      </c>
      <c r="I79" s="1676" t="s">
        <v>2909</v>
      </c>
      <c r="J79" s="1647"/>
      <c r="K79" s="1647" t="s">
        <v>348</v>
      </c>
      <c r="L79" s="1647"/>
      <c r="M79" s="1647"/>
      <c r="N79" s="1647"/>
      <c r="O79" s="1647"/>
      <c r="P79" s="2122">
        <f>'Part I-Project Information'!P56</f>
        <v>0</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1984</v>
      </c>
      <c r="C81" s="1647" t="s">
        <v>2295</v>
      </c>
      <c r="D81" s="1647"/>
      <c r="E81" s="1647"/>
      <c r="F81" s="1647"/>
      <c r="G81" s="1647"/>
      <c r="H81" s="1651" t="str">
        <f>'Part I-Project Information'!H58</f>
        <v>Yes</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2275</v>
      </c>
      <c r="D83" s="1647"/>
      <c r="E83" s="1647"/>
      <c r="F83" s="1647"/>
      <c r="G83" s="1647"/>
      <c r="H83" s="1647"/>
      <c r="I83" s="1678" t="s">
        <v>3564</v>
      </c>
      <c r="J83" s="1657" t="s">
        <v>2114</v>
      </c>
      <c r="K83" s="1653" t="s">
        <v>2301</v>
      </c>
      <c r="L83" s="1647"/>
      <c r="M83" s="1647"/>
      <c r="N83" s="1647"/>
      <c r="O83" s="1647"/>
      <c r="P83" s="1651"/>
    </row>
    <row r="84" spans="1:16">
      <c r="A84" s="1651"/>
      <c r="B84" s="1680"/>
      <c r="C84" s="1653" t="s">
        <v>2276</v>
      </c>
      <c r="D84" s="1647"/>
      <c r="E84" s="1647"/>
      <c r="F84" s="1647"/>
      <c r="G84" s="1647"/>
      <c r="H84" s="1681">
        <f>SUM(H85:H91)</f>
        <v>156</v>
      </c>
      <c r="I84" s="1681">
        <f>SUM(I85:I91)</f>
        <v>18</v>
      </c>
      <c r="J84" s="1651"/>
      <c r="K84" s="1653" t="s">
        <v>2772</v>
      </c>
      <c r="L84" s="1647"/>
      <c r="M84" s="1647"/>
      <c r="N84" s="1647"/>
      <c r="O84" s="1647"/>
      <c r="P84" s="1681">
        <f>SUM(P85:P91)</f>
        <v>135422</v>
      </c>
    </row>
    <row r="85" spans="1:16">
      <c r="A85" s="1651"/>
      <c r="B85" s="1680"/>
      <c r="C85" s="1653"/>
      <c r="D85" s="1665" t="s">
        <v>4713</v>
      </c>
      <c r="E85" s="1647"/>
      <c r="F85" s="1647"/>
      <c r="G85" s="1647"/>
      <c r="H85" s="1681">
        <f>'Part VI-Revenues &amp; Expenses'!$O$56</f>
        <v>23</v>
      </c>
      <c r="I85" s="1681">
        <f>'Part VI-Revenues &amp; Expenses'!$O$81</f>
        <v>0</v>
      </c>
      <c r="J85" s="1651"/>
      <c r="K85" s="1653"/>
      <c r="L85" s="1665" t="s">
        <v>4713</v>
      </c>
      <c r="M85" s="1647"/>
      <c r="N85" s="1647"/>
      <c r="O85" s="1647"/>
      <c r="P85" s="1681">
        <f>'Part VI-Revenues &amp; Expenses'!$O$145</f>
        <v>19967</v>
      </c>
    </row>
    <row r="86" spans="1:16">
      <c r="A86" s="1651"/>
      <c r="B86" s="1680"/>
      <c r="C86" s="1653"/>
      <c r="D86" s="1665" t="s">
        <v>4714</v>
      </c>
      <c r="E86" s="1647"/>
      <c r="F86" s="1647"/>
      <c r="G86" s="1647"/>
      <c r="H86" s="1681">
        <f>'Part VI-Revenues &amp; Expenses'!$O$57</f>
        <v>0</v>
      </c>
      <c r="I86" s="1681">
        <f>'Part VI-Revenues &amp; Expenses'!$O$82</f>
        <v>0</v>
      </c>
      <c r="J86" s="1651"/>
      <c r="K86" s="1653"/>
      <c r="L86" s="1665" t="s">
        <v>4714</v>
      </c>
      <c r="M86" s="1647"/>
      <c r="N86" s="1647"/>
      <c r="O86" s="1647"/>
      <c r="P86" s="1681">
        <f>'Part VI-Revenues &amp; Expenses'!$O$146</f>
        <v>0</v>
      </c>
    </row>
    <row r="87" spans="1:16">
      <c r="A87" s="1651"/>
      <c r="B87" s="1653"/>
      <c r="C87" s="1647"/>
      <c r="D87" s="1665" t="s">
        <v>4711</v>
      </c>
      <c r="E87" s="1665"/>
      <c r="F87" s="1647"/>
      <c r="G87" s="1647"/>
      <c r="H87" s="1681">
        <f>'Part VI-Revenues &amp; Expenses'!$O$58</f>
        <v>87</v>
      </c>
      <c r="I87" s="1681">
        <f>'Part VI-Revenues &amp; Expenses'!$O$83</f>
        <v>0</v>
      </c>
      <c r="J87" s="1647"/>
      <c r="K87" s="1647"/>
      <c r="L87" s="1665" t="s">
        <v>4711</v>
      </c>
      <c r="M87" s="1647"/>
      <c r="N87" s="1647"/>
      <c r="O87" s="1647"/>
      <c r="P87" s="1681">
        <f>'Part VI-Revenues &amp; Expenses'!$O$147</f>
        <v>75521</v>
      </c>
    </row>
    <row r="88" spans="1:16">
      <c r="A88" s="1651"/>
      <c r="B88" s="1647"/>
      <c r="C88" s="1647"/>
      <c r="D88" s="1665" t="s">
        <v>4712</v>
      </c>
      <c r="E88" s="1647"/>
      <c r="F88" s="1647"/>
      <c r="G88" s="1647"/>
      <c r="H88" s="1681">
        <f>'Part VI-Revenues &amp; Expenses'!$O$59</f>
        <v>46</v>
      </c>
      <c r="I88" s="1681">
        <f>'Part VI-Revenues &amp; Expenses'!$O$84</f>
        <v>18</v>
      </c>
      <c r="J88" s="1647"/>
      <c r="K88" s="1647"/>
      <c r="L88" s="1665" t="s">
        <v>4712</v>
      </c>
      <c r="M88" s="1647"/>
      <c r="N88" s="1647"/>
      <c r="O88" s="1647"/>
      <c r="P88" s="1681">
        <f>'Part VI-Revenues &amp; Expenses'!$O$148</f>
        <v>39934</v>
      </c>
    </row>
    <row r="89" spans="1:16">
      <c r="A89" s="1651"/>
      <c r="B89" s="1647"/>
      <c r="C89" s="1647"/>
      <c r="D89" s="1665" t="s">
        <v>4715</v>
      </c>
      <c r="E89" s="1665"/>
      <c r="F89" s="1647"/>
      <c r="G89" s="1647"/>
      <c r="H89" s="1681">
        <f>'Part VI-Revenues &amp; Expenses'!$O$60</f>
        <v>0</v>
      </c>
      <c r="I89" s="1681">
        <f>'Part VI-Revenues &amp; Expenses'!$O$85</f>
        <v>0</v>
      </c>
      <c r="J89" s="1647"/>
      <c r="K89" s="1647"/>
      <c r="L89" s="1665" t="s">
        <v>4715</v>
      </c>
      <c r="M89" s="1647"/>
      <c r="N89" s="1647"/>
      <c r="O89" s="1647"/>
      <c r="P89" s="1681">
        <f>'Part VI-Revenues &amp; Expenses'!$O$149</f>
        <v>0</v>
      </c>
    </row>
    <row r="90" spans="1:16">
      <c r="A90" s="1651"/>
      <c r="B90" s="1647"/>
      <c r="C90" s="1647"/>
      <c r="D90" s="1665" t="s">
        <v>4716</v>
      </c>
      <c r="E90" s="1665"/>
      <c r="F90" s="1647"/>
      <c r="G90" s="1647"/>
      <c r="H90" s="1681">
        <f>'Part VI-Revenues &amp; Expenses'!$O$61</f>
        <v>0</v>
      </c>
      <c r="I90" s="1681">
        <f>'Part VI-Revenues &amp; Expenses'!$O$86</f>
        <v>0</v>
      </c>
      <c r="J90" s="1647"/>
      <c r="K90" s="1647"/>
      <c r="L90" s="1665" t="s">
        <v>4716</v>
      </c>
      <c r="M90" s="1647"/>
      <c r="N90" s="1647"/>
      <c r="O90" s="1647"/>
      <c r="P90" s="1681">
        <f>'Part VI-Revenues &amp; Expenses'!$O$150</f>
        <v>0</v>
      </c>
    </row>
    <row r="91" spans="1:16">
      <c r="A91" s="1651"/>
      <c r="B91" s="1647"/>
      <c r="C91" s="1647"/>
      <c r="D91" s="1665" t="s">
        <v>4717</v>
      </c>
      <c r="E91" s="1665"/>
      <c r="F91" s="1647"/>
      <c r="G91" s="1647"/>
      <c r="H91" s="1681">
        <f>'Part VI-Revenues &amp; Expenses'!$O$62</f>
        <v>0</v>
      </c>
      <c r="I91" s="1681">
        <f>'Part VI-Revenues &amp; Expenses'!$O$87</f>
        <v>0</v>
      </c>
      <c r="J91" s="1647"/>
      <c r="K91" s="1647"/>
      <c r="L91" s="1665" t="s">
        <v>4717</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2773</v>
      </c>
      <c r="L92" s="1647"/>
      <c r="M92" s="1647"/>
      <c r="N92" s="1647"/>
      <c r="O92" s="1647"/>
      <c r="P92" s="1681">
        <f>'Part VI-Revenues &amp; Expenses'!$O$153</f>
        <v>0</v>
      </c>
    </row>
    <row r="93" spans="1:16">
      <c r="A93" s="1651"/>
      <c r="B93" s="1647"/>
      <c r="C93" s="1653" t="s">
        <v>2406</v>
      </c>
      <c r="D93" s="1647"/>
      <c r="E93" s="1647"/>
      <c r="F93" s="1647"/>
      <c r="G93" s="1647"/>
      <c r="H93" s="1681">
        <f>H84+H92</f>
        <v>156</v>
      </c>
      <c r="I93" s="1647"/>
      <c r="J93" s="1651"/>
      <c r="K93" s="1653" t="s">
        <v>2774</v>
      </c>
      <c r="L93" s="1647"/>
      <c r="M93" s="1647"/>
      <c r="N93" s="1647"/>
      <c r="O93" s="1647"/>
      <c r="P93" s="1681">
        <f>P84+P92</f>
        <v>135422</v>
      </c>
    </row>
    <row r="94" spans="1:16">
      <c r="A94" s="1651"/>
      <c r="B94" s="1647"/>
      <c r="C94" s="1653" t="s">
        <v>2407</v>
      </c>
      <c r="D94" s="1647"/>
      <c r="E94" s="1647"/>
      <c r="F94" s="1647"/>
      <c r="G94" s="1647"/>
      <c r="H94" s="1681">
        <f>'Part VI-Revenues &amp; Expenses'!$O$66</f>
        <v>0</v>
      </c>
      <c r="I94" s="1647"/>
      <c r="J94" s="1651"/>
      <c r="K94" s="1653" t="s">
        <v>2775</v>
      </c>
      <c r="L94" s="1647"/>
      <c r="M94" s="1647"/>
      <c r="N94" s="1647"/>
      <c r="O94" s="1647"/>
      <c r="P94" s="1681">
        <f>'Part VI-Revenues &amp; Expenses'!$O$155</f>
        <v>0</v>
      </c>
    </row>
    <row r="95" spans="1:16">
      <c r="A95" s="1651"/>
      <c r="B95" s="1647"/>
      <c r="C95" s="1653" t="s">
        <v>1793</v>
      </c>
      <c r="D95" s="1647"/>
      <c r="E95" s="1647"/>
      <c r="F95" s="1647"/>
      <c r="G95" s="1647"/>
      <c r="H95" s="1681">
        <f>+H93+H94</f>
        <v>156</v>
      </c>
      <c r="I95" s="1647"/>
      <c r="J95" s="1647"/>
      <c r="K95" s="1653" t="s">
        <v>1420</v>
      </c>
      <c r="L95" s="1647"/>
      <c r="M95" s="1647"/>
      <c r="N95" s="1647"/>
      <c r="O95" s="1647"/>
      <c r="P95" s="1681">
        <f>+P93+P94</f>
        <v>135422</v>
      </c>
    </row>
    <row r="96" spans="1:16">
      <c r="A96" s="1651"/>
      <c r="B96" s="1647"/>
      <c r="C96" s="1647"/>
      <c r="D96" s="1647"/>
      <c r="E96" s="1647"/>
      <c r="F96" s="1647"/>
      <c r="G96" s="1647"/>
      <c r="H96" s="1647"/>
      <c r="I96" s="1651"/>
      <c r="J96" s="1647"/>
      <c r="K96" s="1647"/>
      <c r="L96" s="1651"/>
      <c r="M96" s="1651"/>
      <c r="N96" s="1647"/>
      <c r="O96" s="1647"/>
      <c r="P96" s="1660"/>
    </row>
    <row r="97" spans="1:16" ht="13.5">
      <c r="A97" s="1651"/>
      <c r="B97" s="1651" t="s">
        <v>1735</v>
      </c>
      <c r="C97" s="1647" t="s">
        <v>2296</v>
      </c>
      <c r="D97" s="1665" t="s">
        <v>1995</v>
      </c>
      <c r="E97" s="1647"/>
      <c r="F97" s="1647"/>
      <c r="G97" s="1647"/>
      <c r="H97" s="1681">
        <f>'Part I-Project Information'!H74</f>
        <v>1</v>
      </c>
      <c r="I97" s="1647"/>
      <c r="J97" s="1647"/>
      <c r="K97" s="1653" t="s">
        <v>5139</v>
      </c>
      <c r="L97" s="1647"/>
      <c r="M97" s="1647"/>
      <c r="N97" s="1647"/>
      <c r="O97" s="1647"/>
      <c r="P97" s="1681">
        <f>'Part I-Project Information'!P74</f>
        <v>6000</v>
      </c>
    </row>
    <row r="98" spans="1:16">
      <c r="A98" s="1651"/>
      <c r="B98" s="1651"/>
      <c r="C98" s="1647"/>
      <c r="D98" s="1680" t="s">
        <v>1996</v>
      </c>
      <c r="E98" s="1647"/>
      <c r="F98" s="1647"/>
      <c r="G98" s="1647"/>
      <c r="H98" s="1681">
        <f>'Part I-Project Information'!H75</f>
        <v>0</v>
      </c>
      <c r="I98" s="1647"/>
      <c r="J98" s="1647"/>
      <c r="K98" s="1653" t="s">
        <v>252</v>
      </c>
      <c r="L98" s="1647"/>
      <c r="M98" s="1647"/>
      <c r="N98" s="1647"/>
      <c r="O98" s="1647"/>
      <c r="P98" s="1681">
        <f>+P95+P97</f>
        <v>141422</v>
      </c>
    </row>
    <row r="99" spans="1:16">
      <c r="A99" s="1651"/>
      <c r="B99" s="1651"/>
      <c r="C99" s="1647"/>
      <c r="D99" s="1680" t="s">
        <v>1997</v>
      </c>
      <c r="E99" s="1647"/>
      <c r="F99" s="1647"/>
      <c r="G99" s="1647"/>
      <c r="H99" s="1681">
        <f>+H97+H98</f>
        <v>1</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2842</v>
      </c>
      <c r="D101" s="1647"/>
      <c r="E101" s="1647"/>
      <c r="F101" s="1647"/>
      <c r="G101" s="1647"/>
      <c r="H101" s="1681">
        <f>'Part I-Project Information'!H78</f>
        <v>190</v>
      </c>
      <c r="I101" s="1647"/>
      <c r="J101" s="1647"/>
      <c r="K101" s="1682" t="s">
        <v>3853</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1982</v>
      </c>
      <c r="C105" s="1654" t="s">
        <v>4490</v>
      </c>
      <c r="D105" s="1680"/>
      <c r="E105" s="1680"/>
      <c r="F105" s="1647"/>
      <c r="G105" s="1651"/>
      <c r="H105" s="1647" t="str">
        <f>'Part I-Project Information'!H82</f>
        <v>Family</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4961</v>
      </c>
      <c r="L107" s="1685" t="s">
        <v>2910</v>
      </c>
      <c r="M107" s="1681">
        <f>'Part I-Project Information'!M84</f>
        <v>0</v>
      </c>
      <c r="N107" s="1685" t="s">
        <v>2911</v>
      </c>
      <c r="O107" s="1681">
        <f>'Part I-Project Information'!O84</f>
        <v>0</v>
      </c>
      <c r="P107" s="1654" t="s">
        <v>4960</v>
      </c>
    </row>
    <row r="108" spans="1:16">
      <c r="A108" s="1651"/>
      <c r="B108" s="1651"/>
      <c r="C108" s="1647"/>
      <c r="D108" s="1654"/>
      <c r="E108" s="1680"/>
      <c r="F108" s="1647"/>
      <c r="G108" s="1647"/>
      <c r="H108" s="1647"/>
      <c r="I108" s="1647"/>
      <c r="J108" s="1682"/>
      <c r="K108" s="1682"/>
      <c r="L108" s="1657" t="s">
        <v>2912</v>
      </c>
      <c r="M108" s="1681">
        <f>'Part I-Project Information'!M85</f>
        <v>0</v>
      </c>
      <c r="N108" s="1657" t="s">
        <v>3873</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1984</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3695</v>
      </c>
      <c r="P110" s="1687">
        <f>'DCA Underwriting Assumptions'!$Q$139</f>
        <v>0.05</v>
      </c>
    </row>
    <row r="111" spans="1:16">
      <c r="A111" s="1651"/>
      <c r="B111" s="1651"/>
      <c r="C111" s="1647"/>
      <c r="D111" s="1680" t="s">
        <v>2840</v>
      </c>
      <c r="E111" s="1680"/>
      <c r="F111" s="1680" t="s">
        <v>796</v>
      </c>
      <c r="G111" s="1647"/>
      <c r="H111" s="1681">
        <f>'Part VIII-Threshold Criteria'!K330</f>
        <v>0</v>
      </c>
      <c r="I111" s="1647"/>
      <c r="J111" s="1647"/>
      <c r="K111" s="1647" t="s">
        <v>2841</v>
      </c>
      <c r="L111" s="1647"/>
      <c r="M111" s="1647"/>
      <c r="N111" s="1686">
        <f>IF(H110=0,0,H111/H110)</f>
        <v>0</v>
      </c>
      <c r="O111" s="1657" t="s">
        <v>3695</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1843</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3695</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4867</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1982</v>
      </c>
      <c r="C117" s="1654" t="s">
        <v>2375</v>
      </c>
      <c r="D117" s="1680"/>
      <c r="E117" s="1647"/>
      <c r="F117" s="1654"/>
      <c r="G117" s="1647"/>
      <c r="H117" s="1647"/>
      <c r="I117" s="1647"/>
      <c r="J117" s="1647"/>
      <c r="K117" s="1647" t="str">
        <f>'Part I-Project Information'!K94</f>
        <v>Income Averaging</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1984</v>
      </c>
      <c r="C119" s="1647" t="s">
        <v>1534</v>
      </c>
      <c r="D119" s="1647"/>
      <c r="E119" s="1647"/>
      <c r="F119" s="1647"/>
      <c r="G119" s="1647"/>
      <c r="H119" s="1647"/>
      <c r="I119" s="1647"/>
      <c r="J119" s="1647"/>
      <c r="K119" s="1654" t="s">
        <v>4936</v>
      </c>
      <c r="L119" s="1647"/>
      <c r="M119" s="1647"/>
      <c r="N119" s="2720"/>
      <c r="O119" s="1647"/>
      <c r="P119" s="1651" t="str">
        <f>'Part I-Project Information'!P96</f>
        <v>Select</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2040</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1982</v>
      </c>
      <c r="C123" s="1647" t="s">
        <v>2707</v>
      </c>
      <c r="D123" s="1647"/>
      <c r="E123" s="1647"/>
      <c r="F123" s="1665" t="s">
        <v>2599</v>
      </c>
      <c r="G123" s="1647"/>
      <c r="H123" s="1651" t="str">
        <f>'Part I-Project Information'!H100</f>
        <v>No</v>
      </c>
      <c r="I123" s="1647"/>
      <c r="J123" s="1647"/>
      <c r="K123" s="1654" t="s">
        <v>3891</v>
      </c>
      <c r="L123" s="1647"/>
      <c r="M123" s="1647"/>
      <c r="N123" s="1647"/>
      <c r="O123" s="1647"/>
      <c r="P123" s="1651" t="str">
        <f>'Part I-Project Information'!P100</f>
        <v>No</v>
      </c>
    </row>
    <row r="124" spans="1:16">
      <c r="A124" s="1653"/>
      <c r="B124" s="1651"/>
      <c r="C124" s="1647"/>
      <c r="D124" s="1647"/>
      <c r="E124" s="1647"/>
      <c r="F124" s="1680" t="s">
        <v>3897</v>
      </c>
      <c r="G124" s="1647"/>
      <c r="H124" s="1651" t="str">
        <f>'Part I-Project Information'!H101</f>
        <v>No</v>
      </c>
      <c r="I124" s="1647"/>
      <c r="J124" s="1647"/>
      <c r="K124" s="1654" t="s">
        <v>4727</v>
      </c>
      <c r="L124" s="1647"/>
      <c r="M124" s="1647"/>
      <c r="N124" s="1647"/>
      <c r="O124" s="1647"/>
      <c r="P124" s="1651" t="str">
        <f>'Part I-Project Information'!P101</f>
        <v>No</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1984</v>
      </c>
      <c r="C126" s="1647" t="s">
        <v>2708</v>
      </c>
      <c r="D126" s="1647"/>
      <c r="E126" s="1647"/>
      <c r="F126" s="1654" t="s">
        <v>2678</v>
      </c>
      <c r="G126" s="1647"/>
      <c r="H126" s="1651" t="str">
        <f>'Part I-Project Information'!H103</f>
        <v>No</v>
      </c>
      <c r="I126" s="1689" t="s">
        <v>2709</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2782</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t="str">
        <f>'Part I-Project Information'!E109</f>
        <v>Urban Residential Finance Authority of the City of Atlanta, Georgia</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43545</v>
      </c>
      <c r="P132" s="2123">
        <f>'Part I-Project Information'!P109</f>
        <v>0</v>
      </c>
    </row>
    <row r="133" spans="1:16">
      <c r="A133" s="1647"/>
      <c r="B133" s="1647"/>
      <c r="C133" s="1654" t="s">
        <v>1021</v>
      </c>
      <c r="D133" s="1657"/>
      <c r="E133" s="1647" t="str">
        <f>'Part I-Project Information'!E110</f>
        <v>133 Peachtree Street, NE, Suite 2900</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c r="A134" s="1647"/>
      <c r="B134" s="1647"/>
      <c r="C134" s="1654" t="s">
        <v>618</v>
      </c>
      <c r="D134" s="1647"/>
      <c r="E134" s="1647" t="str">
        <f>'Part I-Project Information'!E111</f>
        <v>Atlanta</v>
      </c>
      <c r="F134" s="1665">
        <f>'Part I-Project Information'!F111</f>
        <v>0</v>
      </c>
      <c r="G134" s="1665">
        <f>'Part I-Project Information'!G111</f>
        <v>0</v>
      </c>
      <c r="H134" s="1651" t="s">
        <v>1799</v>
      </c>
      <c r="I134" s="1654" t="str">
        <f>'Part I-Project Information'!I111</f>
        <v>GA</v>
      </c>
      <c r="J134" s="1651" t="s">
        <v>2228</v>
      </c>
      <c r="K134" s="2115">
        <f>'Part I-Project Information'!K111</f>
        <v>303030000</v>
      </c>
      <c r="L134" s="1665">
        <f>'Part I-Project Information'!L111</f>
        <v>0</v>
      </c>
      <c r="M134" s="1653" t="s">
        <v>3663</v>
      </c>
      <c r="N134" s="1653"/>
      <c r="O134" s="1766">
        <f>'Part I-Project Information'!O111</f>
        <v>18000000</v>
      </c>
      <c r="P134" s="1766">
        <f>'Part I-Project Information'!P111</f>
        <v>0</v>
      </c>
    </row>
    <row r="135" spans="1:16">
      <c r="A135" s="1647"/>
      <c r="B135" s="1647"/>
      <c r="C135" s="1647" t="s">
        <v>2193</v>
      </c>
      <c r="D135" s="1647"/>
      <c r="E135" s="1647" t="str">
        <f>'Part I-Project Information'!E112</f>
        <v>Dawn Luke</v>
      </c>
      <c r="F135" s="1665">
        <f>'Part I-Project Information'!F112</f>
        <v>0</v>
      </c>
      <c r="G135" s="1665">
        <f>'Part I-Project Information'!G112</f>
        <v>0</v>
      </c>
      <c r="H135" s="1651" t="s">
        <v>1979</v>
      </c>
      <c r="I135" s="1647" t="str">
        <f>'Part I-Project Information'!I112</f>
        <v>SVP</v>
      </c>
      <c r="J135" s="1665">
        <f>'Part I-Project Information'!J112</f>
        <v>0</v>
      </c>
      <c r="K135" s="1665">
        <f>'Part I-Project Information'!K112</f>
        <v>0</v>
      </c>
      <c r="L135" s="1651" t="s">
        <v>1983</v>
      </c>
      <c r="M135" s="1647" t="str">
        <f>'Part I-Project Information'!M112</f>
        <v>dluke@investatlanta.com</v>
      </c>
      <c r="N135" s="1665">
        <f>'Part I-Project Information'!N112</f>
        <v>0</v>
      </c>
      <c r="O135" s="1665">
        <f>'Part I-Project Information'!O112</f>
        <v>0</v>
      </c>
      <c r="P135" s="1665">
        <f>'Part I-Project Information'!P112</f>
        <v>0</v>
      </c>
    </row>
    <row r="136" spans="1:16">
      <c r="A136" s="1647"/>
      <c r="B136" s="1647"/>
      <c r="C136" s="1654" t="s">
        <v>2192</v>
      </c>
      <c r="D136" s="1647"/>
      <c r="E136" s="2116">
        <f>'Part I-Project Information'!E113</f>
        <v>4048804100</v>
      </c>
      <c r="F136" s="2116">
        <f>'Part I-Project Information'!F113</f>
        <v>0</v>
      </c>
      <c r="G136" s="2116">
        <f>'Part I-Project Information'!G113</f>
        <v>0</v>
      </c>
      <c r="H136" s="1651" t="s">
        <v>1802</v>
      </c>
      <c r="I136" s="2116">
        <f>'Part I-Project Information'!I113</f>
        <v>4048809333</v>
      </c>
      <c r="J136" s="1665">
        <f>'Part I-Project Information'!J113</f>
        <v>0</v>
      </c>
      <c r="K136" s="1651" t="s">
        <v>2703</v>
      </c>
      <c r="L136" s="2023" t="str">
        <f>'Part I-Project Information'!L113</f>
        <v>www.investatlanta.com</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2152</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1982</v>
      </c>
      <c r="C142" s="1680" t="s">
        <v>1412</v>
      </c>
      <c r="D142" s="1680"/>
      <c r="E142" s="1680"/>
      <c r="F142" s="1651"/>
      <c r="G142" s="1651"/>
      <c r="H142" s="1661">
        <f>'Part I-Project Information'!H119</f>
        <v>0</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1984</v>
      </c>
      <c r="C144" s="1680" t="s">
        <v>416</v>
      </c>
      <c r="D144" s="1680"/>
      <c r="E144" s="1680"/>
      <c r="F144" s="1651"/>
      <c r="G144" s="1651"/>
      <c r="H144" s="2124">
        <f>'Part I-Project Information'!H121</f>
        <v>0</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2134</v>
      </c>
      <c r="D147" s="1680"/>
      <c r="E147" s="1647"/>
      <c r="F147" s="1680" t="s">
        <v>1134</v>
      </c>
      <c r="G147" s="1651"/>
      <c r="H147" s="1651"/>
      <c r="I147" s="1651" t="s">
        <v>1294</v>
      </c>
      <c r="J147" s="1680" t="s">
        <v>2134</v>
      </c>
      <c r="K147" s="1680"/>
      <c r="L147" s="1647"/>
      <c r="M147" s="1680" t="s">
        <v>1134</v>
      </c>
      <c r="N147" s="1651"/>
      <c r="O147" s="1651"/>
      <c r="P147" s="1651" t="s">
        <v>1294</v>
      </c>
    </row>
    <row r="148" spans="1:16" ht="13.5">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5">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5">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5">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5">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5">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2114</v>
      </c>
      <c r="C155" s="1658" t="s">
        <v>1846</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2134</v>
      </c>
      <c r="D157" s="1680"/>
      <c r="E157" s="1647"/>
      <c r="F157" s="1680" t="s">
        <v>1134</v>
      </c>
      <c r="G157" s="1651"/>
      <c r="H157" s="1651"/>
      <c r="I157" s="1651"/>
      <c r="J157" s="1680" t="s">
        <v>2134</v>
      </c>
      <c r="K157" s="1680"/>
      <c r="L157" s="1647"/>
      <c r="M157" s="1680" t="s">
        <v>1134</v>
      </c>
      <c r="N157" s="1651"/>
      <c r="O157" s="1651"/>
      <c r="P157" s="1651"/>
    </row>
    <row r="158" spans="1:16" ht="13.5">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5">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5">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5">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5">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5">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5092</v>
      </c>
      <c r="C166" s="1647"/>
      <c r="D166" s="1647"/>
      <c r="E166" s="1647"/>
      <c r="F166" s="1647"/>
      <c r="G166" s="1647"/>
      <c r="H166" s="1647"/>
      <c r="I166" s="1651" t="str">
        <f>'Part I-Project Information'!I143</f>
        <v>&lt;&lt;Select&gt;&gt;</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1982</v>
      </c>
      <c r="C168" s="1654" t="s">
        <v>1713</v>
      </c>
      <c r="D168" s="1647"/>
      <c r="E168" s="1647"/>
      <c r="F168" s="1647"/>
      <c r="G168" s="1647"/>
      <c r="H168" s="1647"/>
      <c r="I168" s="1651">
        <f>'Part I-Project Information'!I145</f>
        <v>0</v>
      </c>
      <c r="J168" s="1647"/>
      <c r="K168" s="1647"/>
      <c r="L168" s="1647"/>
      <c r="M168" s="1651"/>
      <c r="N168" s="1647"/>
      <c r="O168" s="1647"/>
      <c r="P168" s="1660"/>
    </row>
    <row r="169" spans="1:16">
      <c r="A169" s="1651"/>
      <c r="B169" s="1651"/>
      <c r="C169" s="1680" t="s">
        <v>2419</v>
      </c>
      <c r="D169" s="1680"/>
      <c r="E169" s="1680"/>
      <c r="F169" s="1651"/>
      <c r="G169" s="1647"/>
      <c r="H169" s="1647"/>
      <c r="I169" s="1651">
        <f>'Part I-Project Information'!I146</f>
        <v>0</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2420</v>
      </c>
      <c r="D171" s="1680"/>
      <c r="E171" s="1680"/>
      <c r="F171" s="1651"/>
      <c r="G171" s="1647"/>
      <c r="H171" s="1647"/>
      <c r="I171" s="1651">
        <f>'Part I-Project Information'!I148</f>
        <v>0</v>
      </c>
      <c r="J171" s="1647"/>
      <c r="K171" s="1653" t="s">
        <v>2244</v>
      </c>
      <c r="L171" s="1647"/>
      <c r="M171" s="1647"/>
      <c r="N171" s="1647"/>
      <c r="O171" s="1647" t="str">
        <f>'Part I-Project Information'!O148</f>
        <v>GA-</v>
      </c>
      <c r="P171" s="1647">
        <f>'Part I-Project Information'!P148</f>
        <v>0</v>
      </c>
    </row>
    <row r="172" spans="1:16">
      <c r="A172" s="1651"/>
      <c r="B172" s="1651"/>
      <c r="C172" s="1680" t="s">
        <v>2418</v>
      </c>
      <c r="D172" s="1647"/>
      <c r="E172" s="1647"/>
      <c r="F172" s="1651"/>
      <c r="G172" s="1647"/>
      <c r="H172" s="1647"/>
      <c r="I172" s="1651">
        <f>'Part I-Project Information'!I149</f>
        <v>0</v>
      </c>
      <c r="J172" s="1647"/>
      <c r="K172" s="1653" t="s">
        <v>2245</v>
      </c>
      <c r="L172" s="1647"/>
      <c r="M172" s="1647"/>
      <c r="N172" s="1647"/>
      <c r="O172" s="1647" t="str">
        <f>'Part I-Project Information'!O149</f>
        <v>GA-</v>
      </c>
      <c r="P172" s="1647">
        <f>'Part I-Project Information'!P149</f>
        <v>0</v>
      </c>
    </row>
    <row r="173" spans="1:16">
      <c r="A173" s="1651"/>
      <c r="B173" s="1651"/>
      <c r="C173" s="1680" t="s">
        <v>2165</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1984</v>
      </c>
      <c r="C175" s="1756" t="s">
        <v>2700</v>
      </c>
      <c r="D175" s="1680"/>
      <c r="E175" s="1665" t="s">
        <v>5140</v>
      </c>
      <c r="F175" s="1665"/>
      <c r="G175" s="1665"/>
      <c r="H175" s="1647"/>
      <c r="I175" s="1661">
        <f>'Part I-Project Information'!I152</f>
        <v>0</v>
      </c>
      <c r="J175" s="1647"/>
      <c r="K175" s="1665" t="s">
        <v>5054</v>
      </c>
      <c r="L175" s="1665"/>
      <c r="M175" s="1665"/>
      <c r="N175" s="1647"/>
      <c r="O175" s="1661">
        <f>'Part I-Project Information'!O152</f>
        <v>0</v>
      </c>
      <c r="P175" s="1660"/>
    </row>
    <row r="176" spans="1:16">
      <c r="A176" s="1651"/>
      <c r="B176" s="1647"/>
      <c r="C176" s="1680"/>
      <c r="D176" s="1680"/>
      <c r="E176" s="1665" t="s">
        <v>5141</v>
      </c>
      <c r="F176" s="1665"/>
      <c r="G176" s="1665"/>
      <c r="H176" s="1647"/>
      <c r="I176" s="1661">
        <f>'Part I-Project Information'!I153</f>
        <v>0</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5051</v>
      </c>
      <c r="D178" s="1680"/>
      <c r="E178" s="1680"/>
      <c r="F178" s="1651"/>
      <c r="G178" s="1647"/>
      <c r="H178" s="1647"/>
      <c r="I178" s="1661">
        <f>'Part I-Project Information'!I155</f>
        <v>0</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1982</v>
      </c>
      <c r="C182" s="1661" t="s">
        <v>1821</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f>'Part I-Project Information'!I160</f>
        <v>0</v>
      </c>
      <c r="J183" s="1647"/>
      <c r="K183" s="1647"/>
      <c r="L183" s="1647"/>
      <c r="M183" s="1647"/>
      <c r="N183" s="1647"/>
      <c r="O183" s="1647"/>
      <c r="P183" s="1660"/>
    </row>
    <row r="184" spans="1:16" ht="12.75" customHeight="1">
      <c r="A184" s="1651"/>
      <c r="B184" s="1651"/>
      <c r="C184" s="1682" t="s">
        <v>5083</v>
      </c>
      <c r="D184" s="1682"/>
      <c r="E184" s="1682"/>
      <c r="F184" s="1682"/>
      <c r="G184" s="1647" t="s">
        <v>4780</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4779</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4781</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4725</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4726</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1979</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2228</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1978</v>
      </c>
      <c r="N190" s="2116">
        <f>'Part I-Project Information'!N167</f>
        <v>0</v>
      </c>
      <c r="O190" s="2116">
        <f>'Part I-Project Information'!O167</f>
        <v>0</v>
      </c>
      <c r="P190" s="2116">
        <f>'Part I-Project Information'!P167</f>
        <v>0</v>
      </c>
    </row>
    <row r="191" spans="1:16">
      <c r="A191" s="1651"/>
      <c r="B191" s="1651"/>
      <c r="C191" s="1647" t="s">
        <v>2703</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4782</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1984</v>
      </c>
      <c r="C194" s="1654" t="s">
        <v>2701</v>
      </c>
      <c r="D194" s="1654"/>
      <c r="E194" s="1654"/>
      <c r="F194" s="1654"/>
      <c r="G194" s="1654"/>
      <c r="H194" s="1647"/>
      <c r="I194" s="1651">
        <f>'Part I-Project Information'!I171</f>
        <v>0</v>
      </c>
      <c r="J194" s="1647" t="s">
        <v>761</v>
      </c>
      <c r="K194" s="1647"/>
      <c r="L194" s="1651">
        <f>'Part I-Project Information'!L171</f>
        <v>0</v>
      </c>
      <c r="M194" s="1647" t="s">
        <v>2325</v>
      </c>
      <c r="N194" s="1647"/>
      <c r="O194" s="1647"/>
      <c r="P194" s="1736">
        <f>'Part I-Project Information'!P171</f>
        <v>0</v>
      </c>
    </row>
    <row r="195" spans="1:16">
      <c r="A195" s="1651"/>
      <c r="B195" s="1651"/>
      <c r="C195" s="1654" t="s">
        <v>2702</v>
      </c>
      <c r="D195" s="1654"/>
      <c r="E195" s="1654"/>
      <c r="F195" s="1654"/>
      <c r="G195" s="1654"/>
      <c r="H195" s="1647"/>
      <c r="I195" s="1651" t="str">
        <f>'Part I-Project Information'!I172</f>
        <v>Yes</v>
      </c>
      <c r="J195" s="1647" t="s">
        <v>761</v>
      </c>
      <c r="K195" s="1647"/>
      <c r="L195" s="1651">
        <f>'Part I-Project Information'!L172</f>
        <v>2041</v>
      </c>
      <c r="M195" s="1647" t="s">
        <v>2325</v>
      </c>
      <c r="N195" s="1647"/>
      <c r="O195" s="1647"/>
      <c r="P195" s="1736">
        <f>'Part I-Project Information'!P172</f>
        <v>5</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2114</v>
      </c>
      <c r="C199" s="1647" t="s">
        <v>1977</v>
      </c>
      <c r="D199" s="1647"/>
      <c r="E199" s="1647"/>
      <c r="F199" s="1647"/>
      <c r="G199" s="1654"/>
      <c r="H199" s="1647"/>
      <c r="I199" s="1651" t="str">
        <f>'Part I-Project Information'!I176</f>
        <v>No</v>
      </c>
      <c r="J199" s="1696" t="s">
        <v>2752</v>
      </c>
      <c r="K199" s="1647"/>
      <c r="L199" s="1647" t="s">
        <v>4493</v>
      </c>
      <c r="M199" s="1647"/>
      <c r="N199" s="1654"/>
      <c r="O199" s="1654"/>
      <c r="P199" s="1681">
        <f>'Part I-Project Information'!P176</f>
        <v>0</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0</v>
      </c>
    </row>
    <row r="201" spans="1:16">
      <c r="A201" s="1651"/>
      <c r="B201" s="1651"/>
      <c r="C201" s="1647"/>
      <c r="D201" s="1647"/>
      <c r="E201" s="1647"/>
      <c r="F201" s="1647"/>
      <c r="G201" s="1647"/>
      <c r="H201" s="1647"/>
      <c r="I201" s="1647"/>
      <c r="J201" s="1647"/>
      <c r="K201" s="1647"/>
      <c r="L201" s="1647" t="s">
        <v>1791</v>
      </c>
      <c r="M201" s="1647"/>
      <c r="N201" s="1680"/>
      <c r="O201" s="1680"/>
      <c r="P201" s="2721" t="e">
        <f>IF(P199="","",P200/P199)</f>
        <v>#DIV/0!</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2211</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No</v>
      </c>
    </row>
    <row r="204" spans="1:16">
      <c r="A204" s="1651"/>
      <c r="B204" s="1651"/>
      <c r="C204" s="1647" t="s">
        <v>2212</v>
      </c>
      <c r="D204" s="1647"/>
      <c r="E204" s="1647"/>
      <c r="F204" s="1647"/>
      <c r="G204" s="1647"/>
      <c r="H204" s="1647"/>
      <c r="I204" s="1661" t="str">
        <f>'Part I-Project Information'!I181</f>
        <v>No</v>
      </c>
      <c r="J204" s="1647"/>
      <c r="K204" s="1647"/>
      <c r="L204" s="1647" t="s">
        <v>2845</v>
      </c>
      <c r="M204" s="1647"/>
      <c r="N204" s="1647"/>
      <c r="O204" s="1647"/>
      <c r="P204" s="1661" t="str">
        <f>'Part I-Project Information'!P181</f>
        <v>No</v>
      </c>
    </row>
    <row r="205" spans="1:16" ht="13.5">
      <c r="A205" s="1651"/>
      <c r="B205" s="1647"/>
      <c r="C205" s="1647" t="s">
        <v>2721</v>
      </c>
      <c r="D205" s="1647"/>
      <c r="E205" s="1647"/>
      <c r="F205" s="1647"/>
      <c r="G205" s="1647"/>
      <c r="H205" s="1647"/>
      <c r="I205" s="1661" t="str">
        <f>'Part I-Project Information'!I182</f>
        <v>No</v>
      </c>
      <c r="J205" s="1647"/>
      <c r="K205" s="1647"/>
      <c r="L205" s="1647" t="s">
        <v>2689</v>
      </c>
      <c r="M205" s="1647"/>
      <c r="N205" s="2125">
        <f>'Part I-Project Information'!N182</f>
        <v>0</v>
      </c>
      <c r="O205" s="2125">
        <f>'Part I-Project Information'!O182</f>
        <v>0</v>
      </c>
      <c r="P205" s="1661" t="str">
        <f>'Part I-Project Information'!P182</f>
        <v>No</v>
      </c>
    </row>
    <row r="206" spans="1:16" ht="13.5">
      <c r="A206" s="1651"/>
      <c r="B206" s="1651"/>
      <c r="C206" s="1647" t="s">
        <v>1285</v>
      </c>
      <c r="D206" s="1710"/>
      <c r="E206" s="1647"/>
      <c r="F206" s="1647"/>
      <c r="G206" s="1647"/>
      <c r="H206" s="1647"/>
      <c r="I206" s="1661" t="str">
        <f>'Part I-Project Information'!I183</f>
        <v>No</v>
      </c>
      <c r="J206" s="1647"/>
      <c r="K206" s="1647"/>
      <c r="L206" s="1647" t="s">
        <v>3481</v>
      </c>
      <c r="M206" s="1647"/>
      <c r="N206" s="1647"/>
      <c r="O206" s="1647"/>
      <c r="P206" s="1661" t="str">
        <f>'Part I-Project Information'!P183</f>
        <v>No</v>
      </c>
    </row>
    <row r="207" spans="1:16">
      <c r="A207" s="1651"/>
      <c r="B207" s="1647"/>
      <c r="C207" s="1647" t="s">
        <v>1807</v>
      </c>
      <c r="D207" s="1647"/>
      <c r="E207" s="1647"/>
      <c r="F207" s="1647"/>
      <c r="G207" s="1647"/>
      <c r="H207" s="1647"/>
      <c r="I207" s="1661" t="str">
        <f>'Part I-Project Information'!I184</f>
        <v>No</v>
      </c>
      <c r="J207" s="1696" t="s">
        <v>2753</v>
      </c>
      <c r="K207" s="1647"/>
      <c r="L207" s="1647"/>
      <c r="M207" s="1647"/>
      <c r="N207" s="1647"/>
      <c r="O207" s="2126">
        <f>'Part I-Project Information'!O184</f>
        <v>0</v>
      </c>
      <c r="P207" s="2126">
        <f>'Part I-Project Information'!P184</f>
        <v>0</v>
      </c>
    </row>
    <row r="208" spans="1:16">
      <c r="A208" s="1651"/>
      <c r="B208" s="1651"/>
      <c r="C208" s="1647" t="s">
        <v>2902</v>
      </c>
      <c r="D208" s="1647"/>
      <c r="E208" s="1647"/>
      <c r="F208" s="1647"/>
      <c r="G208" s="1647"/>
      <c r="H208" s="1647"/>
      <c r="I208" s="1661" t="str">
        <f>'Part I-Project Information'!I185</f>
        <v>No</v>
      </c>
      <c r="J208" s="1696" t="s">
        <v>2753</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0</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0</v>
      </c>
      <c r="I212" s="2123">
        <f>'Part I-Project Information'!I189</f>
        <v>0</v>
      </c>
      <c r="J212" s="1647"/>
      <c r="K212" s="1647"/>
      <c r="L212" s="1647"/>
      <c r="M212" s="1647"/>
      <c r="N212" s="1647"/>
      <c r="O212" s="1647"/>
      <c r="P212" s="1660"/>
    </row>
    <row r="213" spans="1:19">
      <c r="A213" s="1651"/>
      <c r="B213" s="1651"/>
      <c r="C213" s="1654" t="s">
        <v>2294</v>
      </c>
      <c r="D213" s="1680"/>
      <c r="E213" s="1680"/>
      <c r="F213" s="1651"/>
      <c r="G213" s="1651"/>
      <c r="H213" s="2123">
        <f>'Part I-Project Information'!H190</f>
        <v>44515</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2781</v>
      </c>
      <c r="B215" s="1665"/>
      <c r="C215" s="1653" t="s">
        <v>572</v>
      </c>
      <c r="D215" s="1653"/>
      <c r="E215" s="1653"/>
      <c r="F215" s="1653"/>
      <c r="G215" s="1653"/>
      <c r="H215" s="1653"/>
      <c r="I215" s="1653"/>
      <c r="J215" s="1653"/>
      <c r="K215" s="1653"/>
      <c r="L215" s="1653"/>
      <c r="M215" s="1653" t="s">
        <v>2250</v>
      </c>
      <c r="N215" s="1653" t="s">
        <v>79</v>
      </c>
      <c r="O215" s="1653"/>
      <c r="P215" s="1653"/>
    </row>
    <row r="216" spans="1:19" ht="12.75" customHeight="1">
      <c r="A216" s="1708" t="str">
        <f>'Part I-Project Information'!A193</f>
        <v>The applicant was able to increase density from 136 units to 156 units from the time of pre-application to full application.
Applicant is choosing to extend its right to a qualified contract for five years, in compliance with the Bond Threshold.</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2019-5 55 Milton,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4458</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5">
      <c r="A221" s="1647" t="s">
        <v>616</v>
      </c>
      <c r="B221" s="1654" t="s">
        <v>1857</v>
      </c>
      <c r="C221" s="1654"/>
      <c r="D221" s="1647"/>
      <c r="E221" s="1654"/>
      <c r="F221" s="1654"/>
      <c r="G221" s="1654"/>
      <c r="H221" s="1649" t="s">
        <v>4255</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1982</v>
      </c>
      <c r="C223" s="1654" t="s">
        <v>1853</v>
      </c>
      <c r="D223" s="1647"/>
      <c r="E223" s="1647"/>
      <c r="F223" s="1647"/>
      <c r="G223" s="1647"/>
      <c r="H223" s="1647" t="str">
        <f>'Part II-Development Team'!H5</f>
        <v>Milton Family I, LP</v>
      </c>
      <c r="I223" s="1665"/>
      <c r="J223" s="1665"/>
      <c r="K223" s="1665"/>
      <c r="L223" s="1665"/>
      <c r="M223" s="1665"/>
      <c r="N223" s="1665"/>
      <c r="O223" s="1654" t="s">
        <v>1988</v>
      </c>
      <c r="P223" s="1654"/>
      <c r="Q223" s="1647" t="str">
        <f>'Part II-Development Team'!Q5</f>
        <v>Wiley A. Tucker, III</v>
      </c>
      <c r="R223" s="1665"/>
      <c r="S223" s="1665"/>
    </row>
    <row r="224" spans="1:19">
      <c r="A224" s="1647"/>
      <c r="B224" s="1647"/>
      <c r="C224" s="1647"/>
      <c r="D224" s="1663"/>
      <c r="E224" s="1654" t="s">
        <v>1021</v>
      </c>
      <c r="F224" s="1657"/>
      <c r="G224" s="1647"/>
      <c r="H224" s="1647" t="str">
        <f>'Part II-Development Team'!H6</f>
        <v>3715 Northside Pkwy Bldg 200 Ste 175</v>
      </c>
      <c r="I224" s="1665"/>
      <c r="J224" s="1665"/>
      <c r="K224" s="1665"/>
      <c r="L224" s="1665"/>
      <c r="M224" s="1665"/>
      <c r="N224" s="1665"/>
      <c r="O224" s="1654" t="s">
        <v>1747</v>
      </c>
      <c r="P224" s="1647"/>
      <c r="Q224" s="1647" t="str">
        <f>'Part II-Development Team'!Q6</f>
        <v>Manager</v>
      </c>
      <c r="R224" s="1665"/>
      <c r="S224" s="1665"/>
    </row>
    <row r="225" spans="1:19">
      <c r="A225" s="1647"/>
      <c r="B225" s="1647"/>
      <c r="C225" s="1647"/>
      <c r="D225" s="1663"/>
      <c r="E225" s="1654" t="s">
        <v>618</v>
      </c>
      <c r="F225" s="1647"/>
      <c r="G225" s="1647"/>
      <c r="H225" s="1647" t="str">
        <f>'Part II-Development Team'!H7</f>
        <v>Atlanta</v>
      </c>
      <c r="I225" s="1665"/>
      <c r="J225" s="1665"/>
      <c r="K225" s="1651" t="s">
        <v>762</v>
      </c>
      <c r="L225" s="1647" t="str">
        <f>'Part II-Development Team'!L7</f>
        <v>83-0567133</v>
      </c>
      <c r="M225" s="1665"/>
      <c r="N225" s="1665"/>
      <c r="O225" s="1654" t="s">
        <v>1721</v>
      </c>
      <c r="P225" s="1647"/>
      <c r="Q225" s="1647">
        <f>'Part II-Development Team'!Q7</f>
        <v>4049493871</v>
      </c>
      <c r="R225" s="1665"/>
      <c r="S225" s="1665"/>
    </row>
    <row r="226" spans="1:19">
      <c r="A226" s="1647"/>
      <c r="B226" s="1647"/>
      <c r="C226" s="1647"/>
      <c r="D226" s="1663"/>
      <c r="E226" s="1654" t="s">
        <v>1799</v>
      </c>
      <c r="F226" s="1647"/>
      <c r="G226" s="1647"/>
      <c r="H226" s="1654" t="str">
        <f>'Part II-Development Team'!H8</f>
        <v>GA</v>
      </c>
      <c r="I226" s="1651" t="s">
        <v>2228</v>
      </c>
      <c r="J226" s="2115">
        <f>'Part II-Development Team'!J8</f>
        <v>303272800</v>
      </c>
      <c r="K226" s="1665"/>
      <c r="L226" s="1647" t="s">
        <v>3687</v>
      </c>
      <c r="M226" s="1647" t="str">
        <f>'Part II-Development Team'!M8</f>
        <v>For Profit</v>
      </c>
      <c r="N226" s="1647"/>
      <c r="O226" s="1654" t="s">
        <v>1978</v>
      </c>
      <c r="P226" s="1647"/>
      <c r="Q226" s="1647">
        <f>'Part II-Development Team'!Q8</f>
        <v>4049663824</v>
      </c>
      <c r="R226" s="1665"/>
      <c r="S226" s="1665"/>
    </row>
    <row r="227" spans="1:19">
      <c r="A227" s="1647"/>
      <c r="B227" s="1647"/>
      <c r="C227" s="1647"/>
      <c r="D227" s="1663"/>
      <c r="E227" s="1654" t="s">
        <v>4256</v>
      </c>
      <c r="F227" s="1647"/>
      <c r="G227" s="1647"/>
      <c r="H227" s="2116">
        <f>'Part II-Development Team'!H9</f>
        <v>4049493871</v>
      </c>
      <c r="I227" s="2116"/>
      <c r="J227" s="1661">
        <f>'Part II-Development Team'!J9</f>
        <v>0</v>
      </c>
      <c r="K227" s="1651" t="s">
        <v>1983</v>
      </c>
      <c r="L227" s="2023" t="str">
        <f>'Part II-Development Team'!L9</f>
        <v>jody@prestwickcompanies.com</v>
      </c>
      <c r="M227" s="2023"/>
      <c r="N227" s="2023"/>
      <c r="O227" s="2023"/>
      <c r="P227" s="2023"/>
      <c r="Q227" s="2023"/>
      <c r="R227" s="2023"/>
      <c r="S227" s="2023"/>
    </row>
    <row r="228" spans="1:19" ht="13.5">
      <c r="A228" s="1647"/>
      <c r="B228" s="1647"/>
      <c r="C228" s="1647"/>
      <c r="D228" s="1663"/>
      <c r="E228" s="1649" t="s">
        <v>4255</v>
      </c>
      <c r="F228" s="1647"/>
      <c r="G228" s="1647"/>
      <c r="H228" s="1695"/>
      <c r="I228" s="1647"/>
      <c r="J228" s="1647"/>
      <c r="K228" s="1710"/>
      <c r="L228" s="1647"/>
      <c r="M228" s="1647"/>
      <c r="N228" s="1647" t="s">
        <v>4494</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5">
      <c r="A230" s="1647"/>
      <c r="B230" s="1665" t="s">
        <v>1984</v>
      </c>
      <c r="C230" s="1654" t="s">
        <v>1854</v>
      </c>
      <c r="D230" s="1647"/>
      <c r="E230" s="1647"/>
      <c r="F230" s="1654"/>
      <c r="G230" s="1654"/>
      <c r="H230" s="1654"/>
      <c r="I230" s="1654"/>
      <c r="J230" s="1647"/>
      <c r="K230" s="1647"/>
      <c r="L230" s="1647"/>
      <c r="M230" s="1647"/>
      <c r="N230" s="2127" t="s">
        <v>1284</v>
      </c>
      <c r="O230" s="1647"/>
      <c r="P230" s="1647"/>
      <c r="Q230" s="1647"/>
      <c r="R230" s="1647"/>
      <c r="S230" s="1647"/>
    </row>
    <row r="231" spans="1:19" ht="13.5">
      <c r="A231" s="1647"/>
      <c r="B231" s="1647"/>
      <c r="C231" s="2722" t="s">
        <v>1985</v>
      </c>
      <c r="D231" s="1665" t="s">
        <v>1986</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2115</v>
      </c>
      <c r="E232" s="1647" t="s">
        <v>1855</v>
      </c>
      <c r="F232" s="1647"/>
      <c r="G232" s="1647"/>
      <c r="H232" s="1647" t="str">
        <f>'Part II-Development Team'!H14</f>
        <v>Milton Family I GP, LLC</v>
      </c>
      <c r="I232" s="1665"/>
      <c r="J232" s="1665"/>
      <c r="K232" s="1665"/>
      <c r="L232" s="1665"/>
      <c r="M232" s="1665"/>
      <c r="N232" s="1665"/>
      <c r="O232" s="1654" t="s">
        <v>1988</v>
      </c>
      <c r="P232" s="1654"/>
      <c r="Q232" s="1647" t="str">
        <f>'Part II-Development Team'!Q14</f>
        <v>Wiley A. Tucker, III</v>
      </c>
      <c r="R232" s="1665"/>
      <c r="S232" s="1665"/>
    </row>
    <row r="233" spans="1:19">
      <c r="A233" s="1647"/>
      <c r="B233" s="1647"/>
      <c r="C233" s="1647"/>
      <c r="D233" s="1663"/>
      <c r="E233" s="1654" t="s">
        <v>1021</v>
      </c>
      <c r="F233" s="1657"/>
      <c r="G233" s="1647"/>
      <c r="H233" s="1647" t="str">
        <f>'Part II-Development Team'!H15</f>
        <v>3715 Northside Pkwy Bldg 200 Ste 175</v>
      </c>
      <c r="I233" s="1665"/>
      <c r="J233" s="1665"/>
      <c r="K233" s="1665"/>
      <c r="L233" s="1665"/>
      <c r="M233" s="1665"/>
      <c r="N233" s="1665"/>
      <c r="O233" s="1654" t="s">
        <v>1747</v>
      </c>
      <c r="P233" s="1647"/>
      <c r="Q233" s="1647" t="str">
        <f>'Part II-Development Team'!Q15</f>
        <v>Manager</v>
      </c>
      <c r="R233" s="1665"/>
      <c r="S233" s="1665"/>
    </row>
    <row r="234" spans="1:19">
      <c r="A234" s="1647"/>
      <c r="B234" s="1647"/>
      <c r="C234" s="1647"/>
      <c r="D234" s="1663"/>
      <c r="E234" s="1654" t="s">
        <v>618</v>
      </c>
      <c r="F234" s="1647"/>
      <c r="G234" s="1647"/>
      <c r="H234" s="1647" t="str">
        <f>'Part II-Development Team'!H16</f>
        <v>Atlanta</v>
      </c>
      <c r="I234" s="1665"/>
      <c r="J234" s="1665"/>
      <c r="K234" s="1651" t="s">
        <v>2703</v>
      </c>
      <c r="L234" s="1647" t="str">
        <f>'Part II-Development Team'!L16</f>
        <v>N/A</v>
      </c>
      <c r="M234" s="1665"/>
      <c r="N234" s="1665"/>
      <c r="O234" s="1654" t="s">
        <v>1721</v>
      </c>
      <c r="P234" s="1647"/>
      <c r="Q234" s="2116">
        <f>'Part II-Development Team'!Q16</f>
        <v>4049493871</v>
      </c>
      <c r="R234" s="2116"/>
      <c r="S234" s="2116"/>
    </row>
    <row r="235" spans="1:19">
      <c r="A235" s="1647"/>
      <c r="B235" s="1647"/>
      <c r="C235" s="1647"/>
      <c r="D235" s="1647"/>
      <c r="E235" s="1654" t="s">
        <v>1799</v>
      </c>
      <c r="F235" s="1647"/>
      <c r="G235" s="1647"/>
      <c r="H235" s="1654" t="str">
        <f>'Part II-Development Team'!H17</f>
        <v>GA</v>
      </c>
      <c r="I235" s="1647"/>
      <c r="J235" s="1647"/>
      <c r="K235" s="1651" t="s">
        <v>2228</v>
      </c>
      <c r="L235" s="2115">
        <f>'Part II-Development Team'!L17</f>
        <v>303272800</v>
      </c>
      <c r="M235" s="1665"/>
      <c r="N235" s="1647"/>
      <c r="O235" s="1654" t="s">
        <v>1978</v>
      </c>
      <c r="P235" s="1647"/>
      <c r="Q235" s="2116">
        <f>'Part II-Development Team'!Q17</f>
        <v>4049663824</v>
      </c>
      <c r="R235" s="2116"/>
      <c r="S235" s="2116"/>
    </row>
    <row r="236" spans="1:19">
      <c r="A236" s="1647"/>
      <c r="B236" s="1647"/>
      <c r="C236" s="1647"/>
      <c r="D236" s="1663"/>
      <c r="E236" s="1654" t="s">
        <v>4256</v>
      </c>
      <c r="F236" s="1647"/>
      <c r="G236" s="1647"/>
      <c r="H236" s="2116">
        <f>'Part II-Development Team'!H18</f>
        <v>4049493871</v>
      </c>
      <c r="I236" s="2116"/>
      <c r="J236" s="1661">
        <f>'Part II-Development Team'!J18</f>
        <v>0</v>
      </c>
      <c r="K236" s="1651" t="s">
        <v>1983</v>
      </c>
      <c r="L236" s="2023" t="str">
        <f>'Part II-Development Team'!L18</f>
        <v>jody@prestwickcompanies.com</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2116</v>
      </c>
      <c r="E238" s="1647" t="s">
        <v>1856</v>
      </c>
      <c r="F238" s="1647"/>
      <c r="G238" s="1647"/>
      <c r="H238" s="1647">
        <f>'Part II-Development Team'!H20</f>
        <v>0</v>
      </c>
      <c r="I238" s="1665"/>
      <c r="J238" s="1665"/>
      <c r="K238" s="1665"/>
      <c r="L238" s="1665"/>
      <c r="M238" s="1665"/>
      <c r="N238" s="1665"/>
      <c r="O238" s="1654" t="s">
        <v>1988</v>
      </c>
      <c r="P238" s="1654"/>
      <c r="Q238" s="1647">
        <f>'Part II-Development Team'!Q20</f>
        <v>0</v>
      </c>
      <c r="R238" s="1665"/>
      <c r="S238" s="1665"/>
    </row>
    <row r="239" spans="1:19">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c r="A240" s="1647"/>
      <c r="B240" s="1647"/>
      <c r="C240" s="1647"/>
      <c r="D240" s="1663"/>
      <c r="E240" s="1654" t="s">
        <v>618</v>
      </c>
      <c r="F240" s="1647"/>
      <c r="G240" s="1647"/>
      <c r="H240" s="1647">
        <f>'Part II-Development Team'!H22</f>
        <v>0</v>
      </c>
      <c r="I240" s="1665"/>
      <c r="J240" s="1665"/>
      <c r="K240" s="1651" t="s">
        <v>2703</v>
      </c>
      <c r="L240" s="1647">
        <f>'Part II-Development Team'!L22</f>
        <v>0</v>
      </c>
      <c r="M240" s="1665"/>
      <c r="N240" s="1665"/>
      <c r="O240" s="1654" t="s">
        <v>1721</v>
      </c>
      <c r="P240" s="1647"/>
      <c r="Q240" s="2116">
        <f>'Part II-Development Team'!Q22</f>
        <v>0</v>
      </c>
      <c r="R240" s="2116"/>
      <c r="S240" s="2116"/>
    </row>
    <row r="241" spans="1:19">
      <c r="A241" s="1647"/>
      <c r="B241" s="1647"/>
      <c r="C241" s="1647"/>
      <c r="D241" s="1647"/>
      <c r="E241" s="1654" t="s">
        <v>1799</v>
      </c>
      <c r="F241" s="1647"/>
      <c r="G241" s="1647"/>
      <c r="H241" s="1654">
        <f>'Part II-Development Team'!H23</f>
        <v>0</v>
      </c>
      <c r="I241" s="1647"/>
      <c r="J241" s="1647"/>
      <c r="K241" s="1651" t="s">
        <v>2228</v>
      </c>
      <c r="L241" s="2115">
        <f>'Part II-Development Team'!L23</f>
        <v>0</v>
      </c>
      <c r="M241" s="1665"/>
      <c r="N241" s="1647"/>
      <c r="O241" s="1654" t="s">
        <v>1978</v>
      </c>
      <c r="P241" s="1647"/>
      <c r="Q241" s="2116">
        <f>'Part II-Development Team'!Q23</f>
        <v>0</v>
      </c>
      <c r="R241" s="2116"/>
      <c r="S241" s="2116"/>
    </row>
    <row r="242" spans="1:19">
      <c r="A242" s="1647"/>
      <c r="B242" s="1647"/>
      <c r="C242" s="1647"/>
      <c r="D242" s="1663"/>
      <c r="E242" s="1654" t="s">
        <v>4256</v>
      </c>
      <c r="F242" s="1647"/>
      <c r="G242" s="1647"/>
      <c r="H242" s="2116">
        <f>'Part II-Development Team'!H24</f>
        <v>0</v>
      </c>
      <c r="I242" s="2116"/>
      <c r="J242" s="1661">
        <f>'Part II-Development Team'!J24</f>
        <v>0</v>
      </c>
      <c r="K242" s="1651" t="s">
        <v>1983</v>
      </c>
      <c r="L242" s="2023">
        <f>'Part II-Development Team'!L24</f>
        <v>0</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1856</v>
      </c>
      <c r="F244" s="1647"/>
      <c r="G244" s="1647"/>
      <c r="H244" s="1647">
        <f>'Part II-Development Team'!H26</f>
        <v>0</v>
      </c>
      <c r="I244" s="1665"/>
      <c r="J244" s="1665"/>
      <c r="K244" s="1665"/>
      <c r="L244" s="1665"/>
      <c r="M244" s="1665"/>
      <c r="N244" s="1665"/>
      <c r="O244" s="1654" t="s">
        <v>1988</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2703</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2228</v>
      </c>
      <c r="L247" s="2115">
        <f>'Part II-Development Team'!L29</f>
        <v>0</v>
      </c>
      <c r="M247" s="1665"/>
      <c r="N247" s="1647"/>
      <c r="O247" s="1654" t="s">
        <v>1978</v>
      </c>
      <c r="P247" s="1647"/>
      <c r="Q247" s="2116">
        <f>'Part II-Development Team'!Q29</f>
        <v>0</v>
      </c>
      <c r="R247" s="2116"/>
      <c r="S247" s="2116"/>
    </row>
    <row r="248" spans="1:19">
      <c r="A248" s="1647"/>
      <c r="B248" s="1647"/>
      <c r="C248" s="1647"/>
      <c r="D248" s="1663"/>
      <c r="E248" s="1654" t="s">
        <v>4256</v>
      </c>
      <c r="F248" s="1647"/>
      <c r="G248" s="1647"/>
      <c r="H248" s="2116">
        <f>'Part II-Development Team'!H30</f>
        <v>0</v>
      </c>
      <c r="I248" s="2116"/>
      <c r="J248" s="1661">
        <f>'Part II-Development Team'!J30</f>
        <v>0</v>
      </c>
      <c r="K248" s="1651" t="s">
        <v>1983</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5">
      <c r="A250" s="1647"/>
      <c r="B250" s="1647"/>
      <c r="C250" s="2722" t="s">
        <v>1987</v>
      </c>
      <c r="D250" s="1665" t="s">
        <v>1858</v>
      </c>
      <c r="E250" s="1647"/>
      <c r="F250" s="1647"/>
      <c r="G250" s="1647"/>
      <c r="H250" s="1647"/>
      <c r="I250" s="1647"/>
      <c r="J250" s="1647"/>
      <c r="K250" s="1649" t="s">
        <v>4255</v>
      </c>
      <c r="L250" s="1647"/>
      <c r="M250" s="1647"/>
      <c r="N250" s="1647"/>
      <c r="O250" s="1647"/>
      <c r="P250" s="1647"/>
      <c r="Q250" s="1647"/>
      <c r="R250" s="1647"/>
      <c r="S250" s="1647"/>
    </row>
    <row r="251" spans="1:19">
      <c r="A251" s="1647"/>
      <c r="B251" s="1647"/>
      <c r="C251" s="1647"/>
      <c r="D251" s="1647" t="s">
        <v>2115</v>
      </c>
      <c r="E251" s="1647" t="s">
        <v>750</v>
      </c>
      <c r="F251" s="1647"/>
      <c r="G251" s="1647"/>
      <c r="H251" s="1647" t="str">
        <f>'Part II-Development Team'!H33</f>
        <v>SunTrust Community Capital</v>
      </c>
      <c r="I251" s="1665"/>
      <c r="J251" s="1665"/>
      <c r="K251" s="1665"/>
      <c r="L251" s="1665"/>
      <c r="M251" s="1665"/>
      <c r="N251" s="1665"/>
      <c r="O251" s="1654" t="s">
        <v>1988</v>
      </c>
      <c r="P251" s="1654"/>
      <c r="Q251" s="1647" t="str">
        <f>'Part II-Development Team'!Q33</f>
        <v>Brian Womble</v>
      </c>
      <c r="R251" s="1665"/>
      <c r="S251" s="1665"/>
    </row>
    <row r="252" spans="1:19">
      <c r="A252" s="1647"/>
      <c r="B252" s="1647"/>
      <c r="C252" s="1647"/>
      <c r="D252" s="1663"/>
      <c r="E252" s="1654" t="s">
        <v>1021</v>
      </c>
      <c r="F252" s="1657"/>
      <c r="G252" s="1647"/>
      <c r="H252" s="1647" t="str">
        <f>'Part II-Development Team'!H34</f>
        <v>1155 Peachtree Street NE Suite 300</v>
      </c>
      <c r="I252" s="1665"/>
      <c r="J252" s="1665"/>
      <c r="K252" s="1665"/>
      <c r="L252" s="1665"/>
      <c r="M252" s="1665"/>
      <c r="N252" s="1665"/>
      <c r="O252" s="1654" t="s">
        <v>1747</v>
      </c>
      <c r="P252" s="1647"/>
      <c r="Q252" s="1647" t="str">
        <f>'Part II-Development Team'!Q34</f>
        <v>Vice President</v>
      </c>
      <c r="R252" s="1665"/>
      <c r="S252" s="1665"/>
    </row>
    <row r="253" spans="1:19">
      <c r="A253" s="1647"/>
      <c r="B253" s="1647"/>
      <c r="C253" s="1647"/>
      <c r="D253" s="1663"/>
      <c r="E253" s="1654" t="s">
        <v>618</v>
      </c>
      <c r="F253" s="1647"/>
      <c r="G253" s="1647"/>
      <c r="H253" s="1647" t="str">
        <f>'Part II-Development Team'!H35</f>
        <v>Atlanta</v>
      </c>
      <c r="I253" s="1665"/>
      <c r="J253" s="1665"/>
      <c r="K253" s="1651" t="s">
        <v>2703</v>
      </c>
      <c r="L253" s="1647" t="str">
        <f>'Part II-Development Team'!L35</f>
        <v>www.suntrust.com</v>
      </c>
      <c r="M253" s="1665"/>
      <c r="N253" s="1665"/>
      <c r="O253" s="1654" t="s">
        <v>1721</v>
      </c>
      <c r="P253" s="1647"/>
      <c r="Q253" s="2116">
        <f>'Part II-Development Team'!Q35</f>
        <v>4045888775</v>
      </c>
      <c r="R253" s="2116"/>
      <c r="S253" s="2116"/>
    </row>
    <row r="254" spans="1:19">
      <c r="A254" s="1647"/>
      <c r="B254" s="1647"/>
      <c r="C254" s="1647"/>
      <c r="D254" s="1647"/>
      <c r="E254" s="1654" t="s">
        <v>1799</v>
      </c>
      <c r="F254" s="1647"/>
      <c r="G254" s="1647"/>
      <c r="H254" s="1654" t="str">
        <f>'Part II-Development Team'!H36</f>
        <v>GA</v>
      </c>
      <c r="I254" s="1647"/>
      <c r="J254" s="1647"/>
      <c r="K254" s="1651" t="s">
        <v>2228</v>
      </c>
      <c r="L254" s="2115">
        <f>'Part II-Development Team'!L36</f>
        <v>303097629</v>
      </c>
      <c r="M254" s="1665"/>
      <c r="N254" s="1647"/>
      <c r="O254" s="1654" t="s">
        <v>1978</v>
      </c>
      <c r="P254" s="1647"/>
      <c r="Q254" s="2116">
        <f>'Part II-Development Team'!Q36</f>
        <v>7706390087</v>
      </c>
      <c r="R254" s="2116"/>
      <c r="S254" s="2116"/>
    </row>
    <row r="255" spans="1:19">
      <c r="A255" s="1647"/>
      <c r="B255" s="1647"/>
      <c r="C255" s="1647"/>
      <c r="D255" s="1663"/>
      <c r="E255" s="1654" t="s">
        <v>4256</v>
      </c>
      <c r="F255" s="1647"/>
      <c r="G255" s="1647"/>
      <c r="H255" s="2116">
        <f>'Part II-Development Team'!H37</f>
        <v>4045888775</v>
      </c>
      <c r="I255" s="2116"/>
      <c r="J255" s="1661">
        <f>'Part II-Development Team'!J37</f>
        <v>0</v>
      </c>
      <c r="K255" s="1651" t="s">
        <v>1983</v>
      </c>
      <c r="L255" s="2023" t="str">
        <f>'Part II-Development Team'!L37</f>
        <v>brian.womble@suntrust.com</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2116</v>
      </c>
      <c r="E257" s="1647" t="s">
        <v>751</v>
      </c>
      <c r="F257" s="1647"/>
      <c r="G257" s="1647"/>
      <c r="H257" s="1647" t="str">
        <f>'Part II-Development Team'!H39</f>
        <v>SunTrust Community Capital</v>
      </c>
      <c r="I257" s="1665"/>
      <c r="J257" s="1665"/>
      <c r="K257" s="1665"/>
      <c r="L257" s="1665"/>
      <c r="M257" s="1665"/>
      <c r="N257" s="1665"/>
      <c r="O257" s="1654" t="s">
        <v>1988</v>
      </c>
      <c r="P257" s="1654"/>
      <c r="Q257" s="1647" t="str">
        <f>'Part II-Development Team'!Q39</f>
        <v>Brian Womble</v>
      </c>
      <c r="R257" s="1665"/>
      <c r="S257" s="1665"/>
    </row>
    <row r="258" spans="1:19">
      <c r="A258" s="1647"/>
      <c r="B258" s="1647"/>
      <c r="C258" s="1647"/>
      <c r="D258" s="1663"/>
      <c r="E258" s="1654" t="s">
        <v>1021</v>
      </c>
      <c r="F258" s="1657"/>
      <c r="G258" s="1647"/>
      <c r="H258" s="1647" t="str">
        <f>'Part II-Development Team'!H40</f>
        <v>1155 Peachtree Street NE Suite 300</v>
      </c>
      <c r="I258" s="1665"/>
      <c r="J258" s="1665"/>
      <c r="K258" s="1665"/>
      <c r="L258" s="1665"/>
      <c r="M258" s="1665"/>
      <c r="N258" s="1665"/>
      <c r="O258" s="1654" t="s">
        <v>1747</v>
      </c>
      <c r="P258" s="1647"/>
      <c r="Q258" s="1647" t="str">
        <f>'Part II-Development Team'!Q40</f>
        <v>Vice President</v>
      </c>
      <c r="R258" s="1665"/>
      <c r="S258" s="1665"/>
    </row>
    <row r="259" spans="1:19">
      <c r="A259" s="1647"/>
      <c r="B259" s="1647"/>
      <c r="C259" s="1647"/>
      <c r="D259" s="1663"/>
      <c r="E259" s="1654" t="s">
        <v>618</v>
      </c>
      <c r="F259" s="1647"/>
      <c r="G259" s="1647"/>
      <c r="H259" s="1647" t="str">
        <f>'Part II-Development Team'!H41</f>
        <v>Atlanta</v>
      </c>
      <c r="I259" s="1665"/>
      <c r="J259" s="1665"/>
      <c r="K259" s="1651" t="s">
        <v>2703</v>
      </c>
      <c r="L259" s="1647" t="str">
        <f>'Part II-Development Team'!L41</f>
        <v>www.suntrust.com</v>
      </c>
      <c r="M259" s="1665"/>
      <c r="N259" s="1665"/>
      <c r="O259" s="1654" t="s">
        <v>1721</v>
      </c>
      <c r="P259" s="1647"/>
      <c r="Q259" s="2116">
        <f>'Part II-Development Team'!Q41</f>
        <v>4045888775</v>
      </c>
      <c r="R259" s="2116"/>
      <c r="S259" s="2116"/>
    </row>
    <row r="260" spans="1:19">
      <c r="A260" s="1647"/>
      <c r="B260" s="1647"/>
      <c r="C260" s="1647"/>
      <c r="D260" s="1647"/>
      <c r="E260" s="1654" t="s">
        <v>1799</v>
      </c>
      <c r="F260" s="1647"/>
      <c r="G260" s="1647"/>
      <c r="H260" s="1654" t="str">
        <f>'Part II-Development Team'!H42</f>
        <v>GA</v>
      </c>
      <c r="I260" s="1647"/>
      <c r="J260" s="1647"/>
      <c r="K260" s="1651" t="s">
        <v>2228</v>
      </c>
      <c r="L260" s="2115">
        <f>'Part II-Development Team'!L42</f>
        <v>303097629</v>
      </c>
      <c r="M260" s="1665"/>
      <c r="N260" s="1647"/>
      <c r="O260" s="1654" t="s">
        <v>1978</v>
      </c>
      <c r="P260" s="1647"/>
      <c r="Q260" s="2116">
        <f>'Part II-Development Team'!Q42</f>
        <v>7706390087</v>
      </c>
      <c r="R260" s="2116"/>
      <c r="S260" s="2116"/>
    </row>
    <row r="261" spans="1:19">
      <c r="A261" s="1647"/>
      <c r="B261" s="1647"/>
      <c r="C261" s="1647"/>
      <c r="D261" s="1663"/>
      <c r="E261" s="1654" t="s">
        <v>4256</v>
      </c>
      <c r="F261" s="1647"/>
      <c r="G261" s="1647"/>
      <c r="H261" s="2116">
        <f>'Part II-Development Team'!H43</f>
        <v>4045888775</v>
      </c>
      <c r="I261" s="2116"/>
      <c r="J261" s="1661">
        <f>'Part II-Development Team'!J43</f>
        <v>0</v>
      </c>
      <c r="K261" s="1651" t="s">
        <v>1983</v>
      </c>
      <c r="L261" s="2023" t="str">
        <f>'Part II-Development Team'!L43</f>
        <v>brian.womble@suntrust.com</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5">
      <c r="A263" s="1647"/>
      <c r="B263" s="1647"/>
      <c r="C263" s="2723" t="s">
        <v>2533</v>
      </c>
      <c r="D263" s="1665" t="s">
        <v>651</v>
      </c>
      <c r="E263" s="1647"/>
      <c r="F263" s="1647"/>
      <c r="G263" s="1647"/>
      <c r="H263" s="1647"/>
      <c r="I263" s="1647"/>
      <c r="J263" s="1647"/>
      <c r="K263" s="1649" t="s">
        <v>4255</v>
      </c>
      <c r="L263" s="1647"/>
      <c r="M263" s="1647"/>
      <c r="N263" s="1647"/>
      <c r="O263" s="1647"/>
      <c r="P263" s="1647"/>
      <c r="Q263" s="1647"/>
      <c r="R263" s="1647"/>
      <c r="S263" s="1647"/>
    </row>
    <row r="264" spans="1:19">
      <c r="A264" s="1647"/>
      <c r="B264" s="1647"/>
      <c r="C264" s="1647"/>
      <c r="D264" s="1647"/>
      <c r="E264" s="1647" t="s">
        <v>92</v>
      </c>
      <c r="F264" s="1647"/>
      <c r="G264" s="1647"/>
      <c r="H264" s="1647">
        <f>'Part II-Development Team'!H46</f>
        <v>0</v>
      </c>
      <c r="I264" s="1665"/>
      <c r="J264" s="1665"/>
      <c r="K264" s="1665"/>
      <c r="L264" s="1665"/>
      <c r="M264" s="1665"/>
      <c r="N264" s="1665"/>
      <c r="O264" s="1654" t="s">
        <v>1988</v>
      </c>
      <c r="P264" s="1654"/>
      <c r="Q264" s="1647">
        <f>'Part II-Development Team'!Q46</f>
        <v>0</v>
      </c>
      <c r="R264" s="1665"/>
      <c r="S264" s="1665"/>
    </row>
    <row r="265" spans="1:19">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c r="A266" s="1647"/>
      <c r="B266" s="1647"/>
      <c r="C266" s="1647"/>
      <c r="D266" s="1663"/>
      <c r="E266" s="1654" t="s">
        <v>618</v>
      </c>
      <c r="F266" s="1647"/>
      <c r="G266" s="1647"/>
      <c r="H266" s="1647">
        <f>'Part II-Development Team'!H48</f>
        <v>0</v>
      </c>
      <c r="I266" s="1665"/>
      <c r="J266" s="1665"/>
      <c r="K266" s="1651" t="s">
        <v>2703</v>
      </c>
      <c r="L266" s="1647">
        <f>'Part II-Development Team'!L48</f>
        <v>0</v>
      </c>
      <c r="M266" s="1665"/>
      <c r="N266" s="1665"/>
      <c r="O266" s="1654" t="s">
        <v>1721</v>
      </c>
      <c r="P266" s="1647"/>
      <c r="Q266" s="2116">
        <f>'Part II-Development Team'!Q48</f>
        <v>0</v>
      </c>
      <c r="R266" s="2116"/>
      <c r="S266" s="2116"/>
    </row>
    <row r="267" spans="1:19">
      <c r="A267" s="1647"/>
      <c r="B267" s="1647"/>
      <c r="C267" s="1647"/>
      <c r="D267" s="1647"/>
      <c r="E267" s="1654" t="s">
        <v>1799</v>
      </c>
      <c r="F267" s="1647"/>
      <c r="G267" s="1647"/>
      <c r="H267" s="1654">
        <f>'Part II-Development Team'!H49</f>
        <v>0</v>
      </c>
      <c r="I267" s="1647"/>
      <c r="J267" s="1647"/>
      <c r="K267" s="1651" t="s">
        <v>2228</v>
      </c>
      <c r="L267" s="2115">
        <f>'Part II-Development Team'!L49</f>
        <v>0</v>
      </c>
      <c r="M267" s="1665"/>
      <c r="N267" s="1647"/>
      <c r="O267" s="1654" t="s">
        <v>1978</v>
      </c>
      <c r="P267" s="1647"/>
      <c r="Q267" s="2116">
        <f>'Part II-Development Team'!Q49</f>
        <v>0</v>
      </c>
      <c r="R267" s="2116"/>
      <c r="S267" s="2116"/>
    </row>
    <row r="268" spans="1:19">
      <c r="A268" s="1647"/>
      <c r="B268" s="1647"/>
      <c r="C268" s="1647"/>
      <c r="D268" s="1663"/>
      <c r="E268" s="1654" t="s">
        <v>4256</v>
      </c>
      <c r="F268" s="1647"/>
      <c r="G268" s="1647"/>
      <c r="H268" s="2116">
        <f>'Part II-Development Team'!H50</f>
        <v>0</v>
      </c>
      <c r="I268" s="2116"/>
      <c r="J268" s="1661">
        <f>'Part II-Development Team'!J50</f>
        <v>0</v>
      </c>
      <c r="K268" s="1651" t="s">
        <v>1983</v>
      </c>
      <c r="L268" s="2023">
        <f>'Part II-Development Team'!L50</f>
        <v>0</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5">
      <c r="A270" s="1647" t="s">
        <v>740</v>
      </c>
      <c r="B270" s="1647" t="s">
        <v>652</v>
      </c>
      <c r="C270" s="1647"/>
      <c r="D270" s="1647"/>
      <c r="E270" s="1647"/>
      <c r="F270" s="1647"/>
      <c r="G270" s="1651"/>
      <c r="H270" s="1651"/>
      <c r="I270" s="1651"/>
      <c r="J270" s="1647"/>
      <c r="K270" s="1649" t="s">
        <v>4255</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1982</v>
      </c>
      <c r="C272" s="1647" t="s">
        <v>282</v>
      </c>
      <c r="D272" s="1647"/>
      <c r="E272" s="1647"/>
      <c r="F272" s="1647"/>
      <c r="G272" s="1647"/>
      <c r="H272" s="1647" t="str">
        <f>'Part II-Development Team'!H54</f>
        <v>Prestwick Development Company, LLC</v>
      </c>
      <c r="I272" s="1665"/>
      <c r="J272" s="1665"/>
      <c r="K272" s="1665"/>
      <c r="L272" s="1665"/>
      <c r="M272" s="1665"/>
      <c r="N272" s="1665"/>
      <c r="O272" s="1654" t="s">
        <v>1988</v>
      </c>
      <c r="P272" s="1654"/>
      <c r="Q272" s="1647" t="str">
        <f>'Part II-Development Team'!Q54</f>
        <v>Wiley A. Tucker, III</v>
      </c>
      <c r="R272" s="1665"/>
      <c r="S272" s="1665"/>
    </row>
    <row r="273" spans="1:19">
      <c r="A273" s="1647"/>
      <c r="B273" s="1647"/>
      <c r="C273" s="1647"/>
      <c r="D273" s="1663"/>
      <c r="E273" s="1654" t="s">
        <v>1021</v>
      </c>
      <c r="F273" s="1657"/>
      <c r="G273" s="1647"/>
      <c r="H273" s="1647" t="str">
        <f>'Part II-Development Team'!H55</f>
        <v>3715 Northside Pkwy, Bldg 200, Ste 175</v>
      </c>
      <c r="I273" s="1665"/>
      <c r="J273" s="1665"/>
      <c r="K273" s="1665"/>
      <c r="L273" s="1665"/>
      <c r="M273" s="1665"/>
      <c r="N273" s="1665"/>
      <c r="O273" s="1654" t="s">
        <v>1747</v>
      </c>
      <c r="P273" s="1647"/>
      <c r="Q273" s="1647" t="str">
        <f>'Part II-Development Team'!Q55</f>
        <v>Manager</v>
      </c>
      <c r="R273" s="1665"/>
      <c r="S273" s="1665"/>
    </row>
    <row r="274" spans="1:19">
      <c r="A274" s="1647"/>
      <c r="B274" s="1647"/>
      <c r="C274" s="1647"/>
      <c r="D274" s="1663"/>
      <c r="E274" s="1654" t="s">
        <v>618</v>
      </c>
      <c r="F274" s="1647"/>
      <c r="G274" s="1647"/>
      <c r="H274" s="1647" t="str">
        <f>'Part II-Development Team'!H56</f>
        <v>Atlanta</v>
      </c>
      <c r="I274" s="1665"/>
      <c r="J274" s="1665"/>
      <c r="K274" s="1651" t="s">
        <v>2703</v>
      </c>
      <c r="L274" s="1647" t="str">
        <f>'Part II-Development Team'!L56</f>
        <v>www.prestwickcompanies.com</v>
      </c>
      <c r="M274" s="1665"/>
      <c r="N274" s="1665"/>
      <c r="O274" s="1654" t="s">
        <v>1721</v>
      </c>
      <c r="P274" s="1647"/>
      <c r="Q274" s="2116">
        <f>'Part II-Development Team'!Q56</f>
        <v>4049493871</v>
      </c>
      <c r="R274" s="2116"/>
      <c r="S274" s="2116"/>
    </row>
    <row r="275" spans="1:19">
      <c r="A275" s="1647"/>
      <c r="B275" s="1647"/>
      <c r="C275" s="1647"/>
      <c r="D275" s="1647"/>
      <c r="E275" s="1654" t="s">
        <v>1799</v>
      </c>
      <c r="F275" s="1647"/>
      <c r="G275" s="1647"/>
      <c r="H275" s="1654" t="str">
        <f>'Part II-Development Team'!H57</f>
        <v>GA</v>
      </c>
      <c r="I275" s="1647"/>
      <c r="J275" s="1647"/>
      <c r="K275" s="1651" t="s">
        <v>2228</v>
      </c>
      <c r="L275" s="2115">
        <f>'Part II-Development Team'!L57</f>
        <v>303272800</v>
      </c>
      <c r="M275" s="1665"/>
      <c r="N275" s="1647"/>
      <c r="O275" s="1654" t="s">
        <v>1978</v>
      </c>
      <c r="P275" s="1647"/>
      <c r="Q275" s="2116">
        <f>'Part II-Development Team'!Q57</f>
        <v>4049663824</v>
      </c>
      <c r="R275" s="2116"/>
      <c r="S275" s="2116"/>
    </row>
    <row r="276" spans="1:19">
      <c r="A276" s="1647"/>
      <c r="B276" s="1647"/>
      <c r="C276" s="1647"/>
      <c r="D276" s="1663"/>
      <c r="E276" s="1654" t="s">
        <v>4256</v>
      </c>
      <c r="F276" s="1647"/>
      <c r="G276" s="1647"/>
      <c r="H276" s="2116">
        <f>'Part II-Development Team'!H58</f>
        <v>4049493871</v>
      </c>
      <c r="I276" s="2116"/>
      <c r="J276" s="1661">
        <f>'Part II-Development Team'!J58</f>
        <v>0</v>
      </c>
      <c r="K276" s="1651" t="s">
        <v>1983</v>
      </c>
      <c r="L276" s="2023" t="str">
        <f>'Part II-Development Team'!L58</f>
        <v>jody@prestwickcompanies.com</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1984</v>
      </c>
      <c r="C278" s="1647" t="s">
        <v>283</v>
      </c>
      <c r="D278" s="1647"/>
      <c r="E278" s="1647"/>
      <c r="F278" s="1647"/>
      <c r="G278" s="1647"/>
      <c r="H278" s="1647">
        <f>'Part II-Development Team'!H60</f>
        <v>0</v>
      </c>
      <c r="I278" s="1665"/>
      <c r="J278" s="1665"/>
      <c r="K278" s="1665"/>
      <c r="L278" s="1665"/>
      <c r="M278" s="1665"/>
      <c r="N278" s="1665"/>
      <c r="O278" s="1654" t="s">
        <v>1988</v>
      </c>
      <c r="P278" s="1654"/>
      <c r="Q278" s="1647">
        <f>'Part II-Development Team'!Q60</f>
        <v>0</v>
      </c>
      <c r="R278" s="1665"/>
      <c r="S278" s="1665"/>
    </row>
    <row r="279" spans="1:19">
      <c r="A279" s="1647"/>
      <c r="B279" s="1647"/>
      <c r="C279" s="1647"/>
      <c r="D279" s="1663"/>
      <c r="E279" s="1654" t="s">
        <v>1021</v>
      </c>
      <c r="F279" s="1657"/>
      <c r="G279" s="1647"/>
      <c r="H279" s="1647">
        <f>'Part II-Development Team'!H61</f>
        <v>0</v>
      </c>
      <c r="I279" s="1665"/>
      <c r="J279" s="1665"/>
      <c r="K279" s="1665"/>
      <c r="L279" s="1665"/>
      <c r="M279" s="1665"/>
      <c r="N279" s="1665"/>
      <c r="O279" s="1654" t="s">
        <v>1747</v>
      </c>
      <c r="P279" s="1647"/>
      <c r="Q279" s="1647">
        <f>'Part II-Development Team'!Q61</f>
        <v>0</v>
      </c>
      <c r="R279" s="1665"/>
      <c r="S279" s="1665"/>
    </row>
    <row r="280" spans="1:19">
      <c r="A280" s="1647"/>
      <c r="B280" s="1647"/>
      <c r="C280" s="1647"/>
      <c r="D280" s="1663"/>
      <c r="E280" s="1654" t="s">
        <v>618</v>
      </c>
      <c r="F280" s="1647"/>
      <c r="G280" s="1647"/>
      <c r="H280" s="1647">
        <f>'Part II-Development Team'!H62</f>
        <v>0</v>
      </c>
      <c r="I280" s="1665"/>
      <c r="J280" s="1665"/>
      <c r="K280" s="1651" t="s">
        <v>2703</v>
      </c>
      <c r="L280" s="1647">
        <f>'Part II-Development Team'!L62</f>
        <v>0</v>
      </c>
      <c r="M280" s="1665"/>
      <c r="N280" s="1665"/>
      <c r="O280" s="1654" t="s">
        <v>1721</v>
      </c>
      <c r="P280" s="1647"/>
      <c r="Q280" s="2116">
        <f>'Part II-Development Team'!Q62</f>
        <v>0</v>
      </c>
      <c r="R280" s="2116"/>
      <c r="S280" s="2116"/>
    </row>
    <row r="281" spans="1:19">
      <c r="A281" s="1647"/>
      <c r="B281" s="1647"/>
      <c r="C281" s="1647"/>
      <c r="D281" s="1647"/>
      <c r="E281" s="1654" t="s">
        <v>1799</v>
      </c>
      <c r="F281" s="1647"/>
      <c r="G281" s="1647"/>
      <c r="H281" s="1654">
        <f>'Part II-Development Team'!H63</f>
        <v>0</v>
      </c>
      <c r="I281" s="1647"/>
      <c r="J281" s="1647"/>
      <c r="K281" s="1651" t="s">
        <v>2228</v>
      </c>
      <c r="L281" s="2115">
        <f>'Part II-Development Team'!L63</f>
        <v>0</v>
      </c>
      <c r="M281" s="1665"/>
      <c r="N281" s="1647"/>
      <c r="O281" s="1654" t="s">
        <v>1978</v>
      </c>
      <c r="P281" s="1647"/>
      <c r="Q281" s="2116">
        <f>'Part II-Development Team'!Q63</f>
        <v>0</v>
      </c>
      <c r="R281" s="2116"/>
      <c r="S281" s="2116"/>
    </row>
    <row r="282" spans="1:19">
      <c r="A282" s="1647"/>
      <c r="B282" s="1647"/>
      <c r="C282" s="1647"/>
      <c r="D282" s="1663"/>
      <c r="E282" s="1654" t="s">
        <v>4256</v>
      </c>
      <c r="F282" s="1647"/>
      <c r="G282" s="1647"/>
      <c r="H282" s="2116">
        <f>'Part II-Development Team'!H64</f>
        <v>0</v>
      </c>
      <c r="I282" s="2116"/>
      <c r="J282" s="1661">
        <f>'Part II-Development Team'!J64</f>
        <v>0</v>
      </c>
      <c r="K282" s="1651" t="s">
        <v>1983</v>
      </c>
      <c r="L282" s="2023">
        <f>'Part II-Development Team'!L64</f>
        <v>0</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f>'Part II-Development Team'!H66</f>
        <v>0</v>
      </c>
      <c r="I284" s="1665"/>
      <c r="J284" s="1665"/>
      <c r="K284" s="1665"/>
      <c r="L284" s="1665"/>
      <c r="M284" s="1665"/>
      <c r="N284" s="1665"/>
      <c r="O284" s="1654" t="s">
        <v>1988</v>
      </c>
      <c r="P284" s="1654"/>
      <c r="Q284" s="1647">
        <f>'Part II-Development Team'!Q66</f>
        <v>0</v>
      </c>
      <c r="R284" s="1665"/>
      <c r="S284" s="1665"/>
    </row>
    <row r="285" spans="1:19">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c r="A286" s="1647"/>
      <c r="B286" s="1647"/>
      <c r="C286" s="1647"/>
      <c r="D286" s="1663"/>
      <c r="E286" s="1654" t="s">
        <v>618</v>
      </c>
      <c r="F286" s="1647"/>
      <c r="G286" s="1647"/>
      <c r="H286" s="1647">
        <f>'Part II-Development Team'!H68</f>
        <v>0</v>
      </c>
      <c r="I286" s="1665"/>
      <c r="J286" s="1665"/>
      <c r="K286" s="1651" t="s">
        <v>2703</v>
      </c>
      <c r="L286" s="1647">
        <f>'Part II-Development Team'!L68</f>
        <v>0</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f>'Part II-Development Team'!H69</f>
        <v>0</v>
      </c>
      <c r="I287" s="1647"/>
      <c r="J287" s="1647"/>
      <c r="K287" s="1651" t="s">
        <v>2228</v>
      </c>
      <c r="L287" s="2115">
        <f>'Part II-Development Team'!L69</f>
        <v>0</v>
      </c>
      <c r="M287" s="1665"/>
      <c r="N287" s="1647"/>
      <c r="O287" s="1654" t="s">
        <v>1978</v>
      </c>
      <c r="P287" s="1647"/>
      <c r="Q287" s="2116">
        <f>'Part II-Development Team'!Q69</f>
        <v>0</v>
      </c>
      <c r="R287" s="2116"/>
      <c r="S287" s="2116"/>
    </row>
    <row r="288" spans="1:19">
      <c r="A288" s="1647"/>
      <c r="B288" s="1647"/>
      <c r="C288" s="1647"/>
      <c r="D288" s="1663"/>
      <c r="E288" s="1654" t="s">
        <v>4256</v>
      </c>
      <c r="F288" s="1647"/>
      <c r="G288" s="1647"/>
      <c r="H288" s="2116">
        <f>'Part II-Development Team'!H70</f>
        <v>0</v>
      </c>
      <c r="I288" s="2116"/>
      <c r="J288" s="1661">
        <f>'Part II-Development Team'!J70</f>
        <v>0</v>
      </c>
      <c r="K288" s="1651" t="s">
        <v>1983</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2114</v>
      </c>
      <c r="C290" s="1647" t="s">
        <v>284</v>
      </c>
      <c r="D290" s="1647"/>
      <c r="E290" s="1647"/>
      <c r="F290" s="1647"/>
      <c r="G290" s="1647"/>
      <c r="H290" s="1647">
        <f>'Part II-Development Team'!H72</f>
        <v>0</v>
      </c>
      <c r="I290" s="1665"/>
      <c r="J290" s="1665"/>
      <c r="K290" s="1665"/>
      <c r="L290" s="1665"/>
      <c r="M290" s="1665"/>
      <c r="N290" s="1665"/>
      <c r="O290" s="1654" t="s">
        <v>1988</v>
      </c>
      <c r="P290" s="1654"/>
      <c r="Q290" s="1647">
        <f>'Part II-Development Team'!Q72</f>
        <v>0</v>
      </c>
      <c r="R290" s="1665"/>
      <c r="S290" s="1665"/>
    </row>
    <row r="291" spans="1:19">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c r="A292" s="1647"/>
      <c r="B292" s="1647"/>
      <c r="C292" s="1647"/>
      <c r="D292" s="1663"/>
      <c r="E292" s="1654" t="s">
        <v>618</v>
      </c>
      <c r="F292" s="1647"/>
      <c r="G292" s="1647"/>
      <c r="H292" s="1647">
        <f>'Part II-Development Team'!H74</f>
        <v>0</v>
      </c>
      <c r="I292" s="1665"/>
      <c r="J292" s="1665"/>
      <c r="K292" s="1651" t="s">
        <v>2703</v>
      </c>
      <c r="L292" s="1647">
        <f>'Part II-Development Team'!L74</f>
        <v>0</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f>'Part II-Development Team'!H75</f>
        <v>0</v>
      </c>
      <c r="I293" s="1647"/>
      <c r="J293" s="1647"/>
      <c r="K293" s="1651" t="s">
        <v>2228</v>
      </c>
      <c r="L293" s="2115">
        <f>'Part II-Development Team'!L75</f>
        <v>0</v>
      </c>
      <c r="M293" s="1665"/>
      <c r="N293" s="1647"/>
      <c r="O293" s="1654" t="s">
        <v>1978</v>
      </c>
      <c r="P293" s="1647"/>
      <c r="Q293" s="2116">
        <f>'Part II-Development Team'!Q75</f>
        <v>0</v>
      </c>
      <c r="R293" s="2116"/>
      <c r="S293" s="2116"/>
    </row>
    <row r="294" spans="1:19">
      <c r="A294" s="1647"/>
      <c r="B294" s="1647"/>
      <c r="C294" s="1647"/>
      <c r="D294" s="1663"/>
      <c r="E294" s="1654" t="s">
        <v>4256</v>
      </c>
      <c r="F294" s="1647"/>
      <c r="G294" s="1647"/>
      <c r="H294" s="2116">
        <f>'Part II-Development Team'!H76</f>
        <v>0</v>
      </c>
      <c r="I294" s="2116"/>
      <c r="J294" s="1661">
        <f>'Part II-Development Team'!J76</f>
        <v>0</v>
      </c>
      <c r="K294" s="1651" t="s">
        <v>1983</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5">
      <c r="A296" s="1654" t="s">
        <v>742</v>
      </c>
      <c r="B296" s="1654" t="s">
        <v>285</v>
      </c>
      <c r="C296" s="1654"/>
      <c r="D296" s="1654"/>
      <c r="E296" s="1654"/>
      <c r="F296" s="1654"/>
      <c r="G296" s="1654"/>
      <c r="H296" s="1654"/>
      <c r="I296" s="1654"/>
      <c r="J296" s="1654"/>
      <c r="K296" s="1649" t="s">
        <v>4255</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1982</v>
      </c>
      <c r="C298" s="1647" t="s">
        <v>286</v>
      </c>
      <c r="D298" s="1647"/>
      <c r="E298" s="1647"/>
      <c r="F298" s="1647"/>
      <c r="G298" s="1647"/>
      <c r="H298" s="1647">
        <f>'Part II-Development Team'!H80</f>
        <v>0</v>
      </c>
      <c r="I298" s="1665"/>
      <c r="J298" s="1665"/>
      <c r="K298" s="1665"/>
      <c r="L298" s="1665"/>
      <c r="M298" s="1665"/>
      <c r="N298" s="1665"/>
      <c r="O298" s="1654" t="s">
        <v>1988</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2703</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2228</v>
      </c>
      <c r="L301" s="2115">
        <f>'Part II-Development Team'!L83</f>
        <v>0</v>
      </c>
      <c r="M301" s="1665"/>
      <c r="N301" s="1647"/>
      <c r="O301" s="1654" t="s">
        <v>1978</v>
      </c>
      <c r="P301" s="1647"/>
      <c r="Q301" s="2116">
        <f>'Part II-Development Team'!Q83</f>
        <v>0</v>
      </c>
      <c r="R301" s="2116"/>
      <c r="S301" s="2116"/>
    </row>
    <row r="302" spans="1:19">
      <c r="A302" s="1647"/>
      <c r="B302" s="1647"/>
      <c r="C302" s="1647"/>
      <c r="D302" s="1663"/>
      <c r="E302" s="1654" t="s">
        <v>4256</v>
      </c>
      <c r="F302" s="1647"/>
      <c r="G302" s="1647"/>
      <c r="H302" s="2116">
        <f>'Part II-Development Team'!H84</f>
        <v>0</v>
      </c>
      <c r="I302" s="2116"/>
      <c r="J302" s="1661">
        <f>'Part II-Development Team'!J84</f>
        <v>0</v>
      </c>
      <c r="K302" s="1651" t="s">
        <v>1983</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1984</v>
      </c>
      <c r="C304" s="1647" t="s">
        <v>287</v>
      </c>
      <c r="D304" s="1647"/>
      <c r="E304" s="1647"/>
      <c r="F304" s="1647"/>
      <c r="G304" s="1647"/>
      <c r="H304" s="1647" t="str">
        <f>'Part II-Development Team'!H86</f>
        <v>Prestwick Construction Company, LLC</v>
      </c>
      <c r="I304" s="1665"/>
      <c r="J304" s="1665"/>
      <c r="K304" s="1665"/>
      <c r="L304" s="1665"/>
      <c r="M304" s="1665"/>
      <c r="N304" s="1665"/>
      <c r="O304" s="1654" t="s">
        <v>1988</v>
      </c>
      <c r="P304" s="1654"/>
      <c r="Q304" s="1647" t="str">
        <f>'Part II-Development Team'!Q86</f>
        <v>Ray Dotson</v>
      </c>
      <c r="R304" s="1665"/>
      <c r="S304" s="1665"/>
    </row>
    <row r="305" spans="1:19">
      <c r="A305" s="1647"/>
      <c r="B305" s="1647"/>
      <c r="C305" s="1647"/>
      <c r="D305" s="1663"/>
      <c r="E305" s="1654" t="s">
        <v>1021</v>
      </c>
      <c r="F305" s="1657"/>
      <c r="G305" s="1647"/>
      <c r="H305" s="1647" t="str">
        <f>'Part II-Development Team'!H87</f>
        <v>3715 Northside Pkwy, Bldg 400, Ste 120</v>
      </c>
      <c r="I305" s="1665"/>
      <c r="J305" s="1665"/>
      <c r="K305" s="1665"/>
      <c r="L305" s="1665"/>
      <c r="M305" s="1665"/>
      <c r="N305" s="1665"/>
      <c r="O305" s="1654" t="s">
        <v>1747</v>
      </c>
      <c r="P305" s="1647"/>
      <c r="Q305" s="1647" t="str">
        <f>'Part II-Development Team'!Q87</f>
        <v>President</v>
      </c>
      <c r="R305" s="1665"/>
      <c r="S305" s="1665"/>
    </row>
    <row r="306" spans="1:19">
      <c r="A306" s="1647"/>
      <c r="B306" s="1647"/>
      <c r="C306" s="1647"/>
      <c r="D306" s="1663"/>
      <c r="E306" s="1654" t="s">
        <v>618</v>
      </c>
      <c r="F306" s="1647"/>
      <c r="G306" s="1647"/>
      <c r="H306" s="1647" t="str">
        <f>'Part II-Development Team'!H88</f>
        <v>Atlanta</v>
      </c>
      <c r="I306" s="1665"/>
      <c r="J306" s="1665"/>
      <c r="K306" s="1651" t="s">
        <v>2703</v>
      </c>
      <c r="L306" s="1647" t="str">
        <f>'Part II-Development Team'!L88</f>
        <v>www.prestwickcompanies.com</v>
      </c>
      <c r="M306" s="1665"/>
      <c r="N306" s="1665"/>
      <c r="O306" s="1654" t="s">
        <v>1721</v>
      </c>
      <c r="P306" s="1647"/>
      <c r="Q306" s="2116">
        <f>'Part II-Development Team'!Q88</f>
        <v>4049493882</v>
      </c>
      <c r="R306" s="2116"/>
      <c r="S306" s="2116"/>
    </row>
    <row r="307" spans="1:19">
      <c r="A307" s="1647"/>
      <c r="B307" s="1647"/>
      <c r="C307" s="1647"/>
      <c r="D307" s="1647"/>
      <c r="E307" s="1654" t="s">
        <v>1799</v>
      </c>
      <c r="F307" s="1647"/>
      <c r="G307" s="1647"/>
      <c r="H307" s="1654" t="str">
        <f>'Part II-Development Team'!H89</f>
        <v>GA</v>
      </c>
      <c r="I307" s="1647"/>
      <c r="J307" s="1647"/>
      <c r="K307" s="1651" t="s">
        <v>2228</v>
      </c>
      <c r="L307" s="2115">
        <f>'Part II-Development Team'!L89</f>
        <v>303272800</v>
      </c>
      <c r="M307" s="1665"/>
      <c r="N307" s="1647"/>
      <c r="O307" s="1654" t="s">
        <v>1978</v>
      </c>
      <c r="P307" s="1647"/>
      <c r="Q307" s="2116">
        <f>'Part II-Development Team'!Q89</f>
        <v>4043761063</v>
      </c>
      <c r="R307" s="2116"/>
      <c r="S307" s="2116"/>
    </row>
    <row r="308" spans="1:19">
      <c r="A308" s="1647"/>
      <c r="B308" s="1647"/>
      <c r="C308" s="1647"/>
      <c r="D308" s="1663"/>
      <c r="E308" s="1654" t="s">
        <v>4256</v>
      </c>
      <c r="F308" s="1647"/>
      <c r="G308" s="1647"/>
      <c r="H308" s="2116">
        <f>'Part II-Development Team'!H90</f>
        <v>4049493882</v>
      </c>
      <c r="I308" s="2116"/>
      <c r="J308" s="1661">
        <f>'Part II-Development Team'!J90</f>
        <v>0</v>
      </c>
      <c r="K308" s="1651" t="s">
        <v>1983</v>
      </c>
      <c r="L308" s="2023" t="str">
        <f>'Part II-Development Team'!L90</f>
        <v>ray@prestwickcompanies.com</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Elmington Property Management</v>
      </c>
      <c r="I310" s="1665"/>
      <c r="J310" s="1665"/>
      <c r="K310" s="1665"/>
      <c r="L310" s="1665"/>
      <c r="M310" s="1665"/>
      <c r="N310" s="1665"/>
      <c r="O310" s="1654" t="s">
        <v>1988</v>
      </c>
      <c r="P310" s="1654"/>
      <c r="Q310" s="1647" t="str">
        <f>'Part II-Development Team'!Q92</f>
        <v>Brad Cather</v>
      </c>
      <c r="R310" s="1665"/>
      <c r="S310" s="1665"/>
    </row>
    <row r="311" spans="1:19">
      <c r="A311" s="1647"/>
      <c r="B311" s="1647"/>
      <c r="C311" s="1647"/>
      <c r="D311" s="1663"/>
      <c r="E311" s="1654" t="s">
        <v>1021</v>
      </c>
      <c r="F311" s="1657"/>
      <c r="G311" s="1647"/>
      <c r="H311" s="1647" t="str">
        <f>'Part II-Development Team'!H93</f>
        <v>118 16th Ave S #200</v>
      </c>
      <c r="I311" s="1665"/>
      <c r="J311" s="1665"/>
      <c r="K311" s="1665"/>
      <c r="L311" s="1665"/>
      <c r="M311" s="1665"/>
      <c r="N311" s="1665"/>
      <c r="O311" s="1654" t="s">
        <v>1747</v>
      </c>
      <c r="P311" s="1647"/>
      <c r="Q311" s="1647" t="str">
        <f>'Part II-Development Team'!Q93</f>
        <v>Vice President</v>
      </c>
      <c r="R311" s="1665"/>
      <c r="S311" s="1665"/>
    </row>
    <row r="312" spans="1:19">
      <c r="A312" s="1647"/>
      <c r="B312" s="1647"/>
      <c r="C312" s="1647"/>
      <c r="D312" s="1663"/>
      <c r="E312" s="1654" t="s">
        <v>618</v>
      </c>
      <c r="F312" s="1647"/>
      <c r="G312" s="1647"/>
      <c r="H312" s="1647" t="str">
        <f>'Part II-Development Team'!H94</f>
        <v>Nashville</v>
      </c>
      <c r="I312" s="1665"/>
      <c r="J312" s="1665"/>
      <c r="K312" s="1651" t="s">
        <v>2703</v>
      </c>
      <c r="L312" s="1647" t="str">
        <f>'Part II-Development Team'!L94</f>
        <v>www.oneelmington.com</v>
      </c>
      <c r="M312" s="1665"/>
      <c r="N312" s="1665"/>
      <c r="O312" s="1654" t="s">
        <v>1721</v>
      </c>
      <c r="P312" s="1647"/>
      <c r="Q312" s="2116">
        <f>'Part II-Development Team'!Q94</f>
        <v>6154906721</v>
      </c>
      <c r="R312" s="2116"/>
      <c r="S312" s="2116"/>
    </row>
    <row r="313" spans="1:19">
      <c r="A313" s="1647"/>
      <c r="B313" s="1647"/>
      <c r="C313" s="1647"/>
      <c r="D313" s="1663"/>
      <c r="E313" s="1654" t="s">
        <v>1799</v>
      </c>
      <c r="F313" s="1647"/>
      <c r="G313" s="1647"/>
      <c r="H313" s="1654" t="str">
        <f>'Part II-Development Team'!H95</f>
        <v>TN</v>
      </c>
      <c r="I313" s="1647"/>
      <c r="J313" s="1647"/>
      <c r="K313" s="1651" t="s">
        <v>2228</v>
      </c>
      <c r="L313" s="2115">
        <f>'Part II-Development Team'!L95</f>
        <v>372033100</v>
      </c>
      <c r="M313" s="1665"/>
      <c r="N313" s="1647"/>
      <c r="O313" s="1654" t="s">
        <v>1978</v>
      </c>
      <c r="P313" s="1647"/>
      <c r="Q313" s="2116">
        <f>'Part II-Development Team'!Q95</f>
        <v>6159696667</v>
      </c>
      <c r="R313" s="2116"/>
      <c r="S313" s="2116"/>
    </row>
    <row r="314" spans="1:19">
      <c r="A314" s="1647"/>
      <c r="B314" s="1647"/>
      <c r="C314" s="1647"/>
      <c r="D314" s="1663"/>
      <c r="E314" s="1654" t="s">
        <v>4256</v>
      </c>
      <c r="F314" s="1647"/>
      <c r="G314" s="1647"/>
      <c r="H314" s="2116">
        <f>'Part II-Development Team'!H96</f>
        <v>6154906700</v>
      </c>
      <c r="I314" s="2116"/>
      <c r="J314" s="1661">
        <f>'Part II-Development Team'!J96</f>
        <v>0</v>
      </c>
      <c r="K314" s="1651" t="s">
        <v>1983</v>
      </c>
      <c r="L314" s="2023" t="str">
        <f>'Part II-Development Team'!L96</f>
        <v>bcather@elmingtonpm.com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2114</v>
      </c>
      <c r="C316" s="1647" t="s">
        <v>289</v>
      </c>
      <c r="D316" s="1647"/>
      <c r="E316" s="1647"/>
      <c r="F316" s="1647"/>
      <c r="G316" s="1647"/>
      <c r="H316" s="1647" t="str">
        <f>'Part II-Development Team'!H98</f>
        <v>Arnall Golden Gregory</v>
      </c>
      <c r="I316" s="1665"/>
      <c r="J316" s="1665"/>
      <c r="K316" s="1665"/>
      <c r="L316" s="1665"/>
      <c r="M316" s="1665"/>
      <c r="N316" s="1665"/>
      <c r="O316" s="1654" t="s">
        <v>1988</v>
      </c>
      <c r="P316" s="1654"/>
      <c r="Q316" s="1647" t="str">
        <f>'Part II-Development Team'!Q98</f>
        <v>Jeff Adams</v>
      </c>
      <c r="R316" s="1665"/>
      <c r="S316" s="1665"/>
    </row>
    <row r="317" spans="1:19">
      <c r="A317" s="1647"/>
      <c r="B317" s="1647"/>
      <c r="C317" s="1647"/>
      <c r="D317" s="1663"/>
      <c r="E317" s="1654" t="s">
        <v>1021</v>
      </c>
      <c r="F317" s="1657"/>
      <c r="G317" s="1647"/>
      <c r="H317" s="1647" t="str">
        <f>'Part II-Development Team'!H99</f>
        <v>171 17th Street</v>
      </c>
      <c r="I317" s="1665"/>
      <c r="J317" s="1665"/>
      <c r="K317" s="1665"/>
      <c r="L317" s="1665"/>
      <c r="M317" s="1665"/>
      <c r="N317" s="1665"/>
      <c r="O317" s="1654" t="s">
        <v>1747</v>
      </c>
      <c r="P317" s="1647"/>
      <c r="Q317" s="1647" t="str">
        <f>'Part II-Development Team'!Q99</f>
        <v>Partner</v>
      </c>
      <c r="R317" s="1665"/>
      <c r="S317" s="1665"/>
    </row>
    <row r="318" spans="1:19">
      <c r="A318" s="1647"/>
      <c r="B318" s="1647"/>
      <c r="C318" s="1647"/>
      <c r="D318" s="1663"/>
      <c r="E318" s="1654" t="s">
        <v>618</v>
      </c>
      <c r="F318" s="1647"/>
      <c r="G318" s="1647"/>
      <c r="H318" s="1647" t="str">
        <f>'Part II-Development Team'!H100</f>
        <v>Atlanta</v>
      </c>
      <c r="I318" s="1665"/>
      <c r="J318" s="1665"/>
      <c r="K318" s="1651" t="s">
        <v>2703</v>
      </c>
      <c r="L318" s="1647" t="str">
        <f>'Part II-Development Team'!L100</f>
        <v>www.agg.com</v>
      </c>
      <c r="M318" s="1665"/>
      <c r="N318" s="1665"/>
      <c r="O318" s="1654" t="s">
        <v>1721</v>
      </c>
      <c r="P318" s="1647"/>
      <c r="Q318" s="2116">
        <f>'Part II-Development Team'!Q100</f>
        <v>4048737014</v>
      </c>
      <c r="R318" s="2116"/>
      <c r="S318" s="2116"/>
    </row>
    <row r="319" spans="1:19">
      <c r="A319" s="1647"/>
      <c r="B319" s="1647"/>
      <c r="C319" s="1647"/>
      <c r="D319" s="1663"/>
      <c r="E319" s="1654" t="s">
        <v>1799</v>
      </c>
      <c r="F319" s="1647"/>
      <c r="G319" s="1647"/>
      <c r="H319" s="1654" t="str">
        <f>'Part II-Development Team'!H101</f>
        <v>GA</v>
      </c>
      <c r="I319" s="1647"/>
      <c r="J319" s="1647"/>
      <c r="K319" s="1651" t="s">
        <v>2228</v>
      </c>
      <c r="L319" s="2115">
        <f>'Part II-Development Team'!L101</f>
        <v>303631031</v>
      </c>
      <c r="M319" s="1665"/>
      <c r="N319" s="1647"/>
      <c r="O319" s="1654" t="s">
        <v>1978</v>
      </c>
      <c r="P319" s="1647"/>
      <c r="Q319" s="2116">
        <f>'Part II-Development Team'!Q101</f>
        <v>4042340004</v>
      </c>
      <c r="R319" s="2116"/>
      <c r="S319" s="2116"/>
    </row>
    <row r="320" spans="1:19">
      <c r="A320" s="1653"/>
      <c r="B320" s="1653"/>
      <c r="C320" s="1653"/>
      <c r="D320" s="1653"/>
      <c r="E320" s="1654" t="s">
        <v>4256</v>
      </c>
      <c r="F320" s="1647"/>
      <c r="G320" s="1647"/>
      <c r="H320" s="2116">
        <f>'Part II-Development Team'!H102</f>
        <v>4048737014</v>
      </c>
      <c r="I320" s="2116"/>
      <c r="J320" s="1661">
        <f>'Part II-Development Team'!J102</f>
        <v>0</v>
      </c>
      <c r="K320" s="1651" t="s">
        <v>1983</v>
      </c>
      <c r="L320" s="2023" t="str">
        <f>'Part II-Development Team'!L102</f>
        <v>jeff.adams@agg.com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Cohn Reznick</v>
      </c>
      <c r="I322" s="1665"/>
      <c r="J322" s="1665"/>
      <c r="K322" s="1665"/>
      <c r="L322" s="1665"/>
      <c r="M322" s="1665"/>
      <c r="N322" s="1665"/>
      <c r="O322" s="1654" t="s">
        <v>1988</v>
      </c>
      <c r="P322" s="1654"/>
      <c r="Q322" s="1647" t="str">
        <f>'Part II-Development Team'!Q104</f>
        <v>Julie McNulty</v>
      </c>
      <c r="R322" s="1665"/>
      <c r="S322" s="1665"/>
    </row>
    <row r="323" spans="1:19">
      <c r="A323" s="1647"/>
      <c r="B323" s="1647"/>
      <c r="C323" s="1647"/>
      <c r="D323" s="1663"/>
      <c r="E323" s="1654" t="s">
        <v>1021</v>
      </c>
      <c r="F323" s="1657"/>
      <c r="G323" s="1647"/>
      <c r="H323" s="1647" t="str">
        <f>'Part II-Development Team'!H105</f>
        <v>2560 Lenox Road, Suite 2800</v>
      </c>
      <c r="I323" s="1665"/>
      <c r="J323" s="1665"/>
      <c r="K323" s="1665"/>
      <c r="L323" s="1665"/>
      <c r="M323" s="1665"/>
      <c r="N323" s="1665"/>
      <c r="O323" s="1654" t="s">
        <v>1747</v>
      </c>
      <c r="P323" s="1647"/>
      <c r="Q323" s="1647" t="str">
        <f>'Part II-Development Team'!Q105</f>
        <v>Partner</v>
      </c>
      <c r="R323" s="1665"/>
      <c r="S323" s="1665"/>
    </row>
    <row r="324" spans="1:19">
      <c r="A324" s="1647"/>
      <c r="B324" s="1647"/>
      <c r="C324" s="1647"/>
      <c r="D324" s="1663"/>
      <c r="E324" s="1654" t="s">
        <v>618</v>
      </c>
      <c r="F324" s="1647"/>
      <c r="G324" s="1647"/>
      <c r="H324" s="1647" t="str">
        <f>'Part II-Development Team'!H106</f>
        <v>Atlanta</v>
      </c>
      <c r="I324" s="1665"/>
      <c r="J324" s="1665"/>
      <c r="K324" s="1651" t="s">
        <v>2703</v>
      </c>
      <c r="L324" s="1647" t="str">
        <f>'Part II-Development Team'!L106</f>
        <v>www.cohnreznick.com</v>
      </c>
      <c r="M324" s="1665"/>
      <c r="N324" s="1665"/>
      <c r="O324" s="1654" t="s">
        <v>1721</v>
      </c>
      <c r="P324" s="1647"/>
      <c r="Q324" s="2116">
        <f>'Part II-Development Team'!Q106</f>
        <v>4048479447</v>
      </c>
      <c r="R324" s="2116"/>
      <c r="S324" s="2116"/>
    </row>
    <row r="325" spans="1:19">
      <c r="A325" s="1647"/>
      <c r="B325" s="1647"/>
      <c r="C325" s="1647"/>
      <c r="D325" s="1663"/>
      <c r="E325" s="1654" t="s">
        <v>1799</v>
      </c>
      <c r="F325" s="1647"/>
      <c r="G325" s="1647"/>
      <c r="H325" s="1654" t="str">
        <f>'Part II-Development Team'!H107</f>
        <v>GA</v>
      </c>
      <c r="I325" s="1647"/>
      <c r="J325" s="1647"/>
      <c r="K325" s="1651" t="s">
        <v>2228</v>
      </c>
      <c r="L325" s="2115">
        <f>'Part II-Development Team'!L107</f>
        <v>303264726</v>
      </c>
      <c r="M325" s="1665"/>
      <c r="N325" s="1647"/>
      <c r="O325" s="1654" t="s">
        <v>1978</v>
      </c>
      <c r="P325" s="1647"/>
      <c r="Q325" s="2116">
        <f>'Part II-Development Team'!Q107</f>
        <v>6785760400</v>
      </c>
      <c r="R325" s="2116"/>
      <c r="S325" s="2116"/>
    </row>
    <row r="326" spans="1:19">
      <c r="A326" s="1653"/>
      <c r="B326" s="1653"/>
      <c r="C326" s="1653"/>
      <c r="D326" s="1653"/>
      <c r="E326" s="1654" t="s">
        <v>4256</v>
      </c>
      <c r="F326" s="1647"/>
      <c r="G326" s="1647"/>
      <c r="H326" s="2116">
        <f>'Part II-Development Team'!H108</f>
        <v>4048479447</v>
      </c>
      <c r="I326" s="2116"/>
      <c r="J326" s="1661">
        <f>'Part II-Development Team'!J108</f>
        <v>0</v>
      </c>
      <c r="K326" s="1651" t="s">
        <v>1983</v>
      </c>
      <c r="L326" s="2023" t="str">
        <f>'Part II-Development Team'!L108</f>
        <v>julie.mcnulty@cohnreznick.com</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Geheber Lewis Associates LLC</v>
      </c>
      <c r="I328" s="1665"/>
      <c r="J328" s="1665"/>
      <c r="K328" s="1665"/>
      <c r="L328" s="1665"/>
      <c r="M328" s="1665"/>
      <c r="N328" s="1665"/>
      <c r="O328" s="1654" t="s">
        <v>1988</v>
      </c>
      <c r="P328" s="1654"/>
      <c r="Q328" s="1647" t="str">
        <f>'Part II-Development Team'!Q110</f>
        <v>Fred Geheber</v>
      </c>
      <c r="R328" s="1665"/>
      <c r="S328" s="1665"/>
    </row>
    <row r="329" spans="1:19">
      <c r="A329" s="1647"/>
      <c r="B329" s="1647"/>
      <c r="C329" s="1647"/>
      <c r="D329" s="1663"/>
      <c r="E329" s="1654" t="s">
        <v>1021</v>
      </c>
      <c r="F329" s="1657"/>
      <c r="G329" s="1647"/>
      <c r="H329" s="1647" t="str">
        <f>'Part II-Development Team'!H111</f>
        <v>643 11th Street</v>
      </c>
      <c r="I329" s="1665"/>
      <c r="J329" s="1665"/>
      <c r="K329" s="1665"/>
      <c r="L329" s="1665"/>
      <c r="M329" s="1665"/>
      <c r="N329" s="1665"/>
      <c r="O329" s="1654" t="s">
        <v>1747</v>
      </c>
      <c r="P329" s="1647"/>
      <c r="Q329" s="1647" t="str">
        <f>'Part II-Development Team'!Q111</f>
        <v>Partner</v>
      </c>
      <c r="R329" s="1665"/>
      <c r="S329" s="1665"/>
    </row>
    <row r="330" spans="1:19">
      <c r="A330" s="1647"/>
      <c r="B330" s="1647"/>
      <c r="C330" s="1647"/>
      <c r="D330" s="1663"/>
      <c r="E330" s="1654" t="s">
        <v>618</v>
      </c>
      <c r="F330" s="1647"/>
      <c r="G330" s="1647"/>
      <c r="H330" s="1647" t="str">
        <f>'Part II-Development Team'!H112</f>
        <v>Atlanta</v>
      </c>
      <c r="I330" s="1665"/>
      <c r="J330" s="1665"/>
      <c r="K330" s="1651" t="s">
        <v>2703</v>
      </c>
      <c r="L330" s="1647" t="str">
        <f>'Part II-Development Team'!L112</f>
        <v>www.ghatl.com</v>
      </c>
      <c r="M330" s="1665"/>
      <c r="N330" s="1665"/>
      <c r="O330" s="1654" t="s">
        <v>1721</v>
      </c>
      <c r="P330" s="1647"/>
      <c r="Q330" s="2116">
        <f>'Part II-Development Team'!Q112</f>
        <v>4042281958</v>
      </c>
      <c r="R330" s="2116"/>
      <c r="S330" s="2116"/>
    </row>
    <row r="331" spans="1:19">
      <c r="A331" s="1647"/>
      <c r="B331" s="1647"/>
      <c r="C331" s="1647"/>
      <c r="D331" s="1663"/>
      <c r="E331" s="1654" t="s">
        <v>1799</v>
      </c>
      <c r="F331" s="1647"/>
      <c r="G331" s="1647"/>
      <c r="H331" s="1654" t="str">
        <f>'Part II-Development Team'!H113</f>
        <v>GA</v>
      </c>
      <c r="I331" s="1647"/>
      <c r="J331" s="1647"/>
      <c r="K331" s="1651" t="s">
        <v>2228</v>
      </c>
      <c r="L331" s="2115">
        <f>'Part II-Development Team'!L113</f>
        <v>303185419</v>
      </c>
      <c r="M331" s="1665"/>
      <c r="N331" s="1647"/>
      <c r="O331" s="1654" t="s">
        <v>1978</v>
      </c>
      <c r="P331" s="1647"/>
      <c r="Q331" s="2116">
        <f>'Part II-Development Team'!Q113</f>
        <v>4047979944</v>
      </c>
      <c r="R331" s="2116"/>
      <c r="S331" s="2116"/>
    </row>
    <row r="332" spans="1:19">
      <c r="A332" s="1647"/>
      <c r="B332" s="1647"/>
      <c r="C332" s="1647"/>
      <c r="D332" s="1663"/>
      <c r="E332" s="1654" t="s">
        <v>4256</v>
      </c>
      <c r="F332" s="1647"/>
      <c r="G332" s="1647"/>
      <c r="H332" s="2116">
        <f>'Part II-Development Team'!H114</f>
        <v>4042281958</v>
      </c>
      <c r="I332" s="2116"/>
      <c r="J332" s="1661">
        <f>'Part II-Development Team'!J114</f>
        <v>0</v>
      </c>
      <c r="K332" s="1651" t="s">
        <v>1983</v>
      </c>
      <c r="L332" s="2023" t="str">
        <f>'Part II-Development Team'!L114</f>
        <v>fgeheber@glaatl.com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2602</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1982</v>
      </c>
      <c r="C335" s="1647" t="s">
        <v>5093</v>
      </c>
      <c r="D335" s="1647"/>
      <c r="E335" s="1647"/>
      <c r="F335" s="1647"/>
      <c r="G335" s="1647"/>
      <c r="H335" s="1647">
        <f>'Part II-Development Team'!H117</f>
        <v>0</v>
      </c>
      <c r="I335" s="1647"/>
      <c r="J335" s="1647"/>
      <c r="K335" s="1651" t="s">
        <v>2473</v>
      </c>
      <c r="L335" s="1647">
        <f>'Part II-Development Team'!L117</f>
        <v>0</v>
      </c>
      <c r="M335" s="1665"/>
      <c r="N335" s="1665"/>
      <c r="O335" s="1654" t="s">
        <v>3578</v>
      </c>
      <c r="P335" s="1647"/>
      <c r="Q335" s="2116">
        <f>'Part II-Development Team'!Q117</f>
        <v>0</v>
      </c>
      <c r="R335" s="2724"/>
      <c r="S335" s="2724"/>
    </row>
    <row r="336" spans="1:19">
      <c r="A336" s="1647"/>
      <c r="B336" s="1647"/>
      <c r="C336" s="1647"/>
      <c r="D336" s="1663"/>
      <c r="E336" s="1654" t="s">
        <v>1021</v>
      </c>
      <c r="F336" s="1657"/>
      <c r="G336" s="1647"/>
      <c r="H336" s="1647">
        <f>'Part II-Development Team'!H118</f>
        <v>0</v>
      </c>
      <c r="I336" s="1665"/>
      <c r="J336" s="1665"/>
      <c r="K336" s="1665"/>
      <c r="L336" s="1665"/>
      <c r="M336" s="1665"/>
      <c r="N336" s="1665"/>
      <c r="O336" s="1654" t="s">
        <v>618</v>
      </c>
      <c r="P336" s="1647"/>
      <c r="Q336" s="1647">
        <f>'Part II-Development Team'!Q118</f>
        <v>0</v>
      </c>
      <c r="R336" s="1665"/>
      <c r="S336" s="1665"/>
    </row>
    <row r="337" spans="1:19">
      <c r="A337" s="1647"/>
      <c r="B337" s="1647"/>
      <c r="C337" s="1647"/>
      <c r="D337" s="1663"/>
      <c r="E337" s="1654" t="s">
        <v>1799</v>
      </c>
      <c r="F337" s="1647"/>
      <c r="G337" s="1647"/>
      <c r="H337" s="1654">
        <f>'Part II-Development Team'!H119</f>
        <v>0</v>
      </c>
      <c r="I337" s="1651" t="s">
        <v>2228</v>
      </c>
      <c r="J337" s="2115">
        <f>'Part II-Development Team'!J119</f>
        <v>0</v>
      </c>
      <c r="K337" s="1665"/>
      <c r="L337" s="1651" t="s">
        <v>1983</v>
      </c>
      <c r="M337" s="2023">
        <f>'Part II-Development Team'!M119</f>
        <v>0</v>
      </c>
      <c r="N337" s="2023"/>
      <c r="O337" s="2023"/>
      <c r="P337" s="2023"/>
      <c r="Q337" s="2023"/>
      <c r="R337" s="2023"/>
      <c r="S337" s="2023"/>
    </row>
    <row r="338" spans="1:19">
      <c r="A338" s="1653"/>
      <c r="B338" s="1647" t="s">
        <v>1984</v>
      </c>
      <c r="C338" s="1647" t="s">
        <v>5084</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3880</v>
      </c>
      <c r="B339" s="1703"/>
      <c r="C339" s="1703"/>
      <c r="D339" s="1703"/>
      <c r="E339" s="1703"/>
      <c r="F339" s="1661" t="s">
        <v>2509</v>
      </c>
      <c r="G339" s="1658" t="s">
        <v>3477</v>
      </c>
      <c r="H339" s="1658"/>
      <c r="I339" s="1658"/>
      <c r="J339" s="1658"/>
      <c r="K339" s="1658"/>
      <c r="L339" s="1658"/>
      <c r="M339" s="1658"/>
      <c r="N339" s="1658"/>
      <c r="O339" s="1658"/>
      <c r="P339" s="1658"/>
      <c r="Q339" s="1658"/>
      <c r="R339" s="1658"/>
      <c r="S339" s="1658"/>
    </row>
    <row r="340" spans="1:19" ht="13.5" customHeight="1">
      <c r="A340" s="1647"/>
      <c r="B340" s="1692"/>
      <c r="C340" s="2725" t="s">
        <v>1985</v>
      </c>
      <c r="D340" s="1682" t="s">
        <v>2836</v>
      </c>
      <c r="E340" s="1682"/>
      <c r="F340" s="2129" t="str">
        <f>'Part II-Development Team'!F122</f>
        <v>Yes</v>
      </c>
      <c r="G340" s="1890" t="str">
        <f>'Part II-Development Team'!G122</f>
        <v>The members of the Developer entity, Prestwick Development, LLC are also members of Prestwick Construction Company, LLC.</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1987</v>
      </c>
      <c r="D341" s="1682" t="s">
        <v>2901</v>
      </c>
      <c r="E341" s="1682"/>
      <c r="F341" s="2129" t="str">
        <f>'Part II-Development Team'!F123</f>
        <v>Yes</v>
      </c>
      <c r="G341" s="1890" t="str">
        <f>'Part II-Development Team'!G123</f>
        <v>The members of the Developer entity, Prestwick Development, LLC are also members of the land seller, Prestwick Land Holdings, LLC.</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2533</v>
      </c>
      <c r="D342" s="1682" t="s">
        <v>2877</v>
      </c>
      <c r="E342" s="1682"/>
      <c r="F342" s="2129" t="str">
        <f>'Part II-Development Team'!F124</f>
        <v>Yes</v>
      </c>
      <c r="G342" s="1890" t="str">
        <f>'Part II-Development Team'!G124</f>
        <v>The members of the General Partner entity, Milton Family I GP, LLC are also members of Prestwick Construction Company, LLC.</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1224</v>
      </c>
      <c r="D343" s="1682" t="s">
        <v>2837</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1225</v>
      </c>
      <c r="D344" s="1682" t="s">
        <v>3465</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1880</v>
      </c>
      <c r="D345" s="1682" t="s">
        <v>3466</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503</v>
      </c>
      <c r="D346" s="1682" t="s">
        <v>2838</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504</v>
      </c>
      <c r="D347" s="1682" t="s">
        <v>5031</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5030</v>
      </c>
      <c r="D348" s="1682" t="str">
        <f>'Part II-Development Team'!D130</f>
        <v>Other (Indicate here the two roles involved)</v>
      </c>
      <c r="E348" s="1682">
        <f>'Part II-Development Team'!E130</f>
        <v>0</v>
      </c>
      <c r="F348" s="2129" t="str">
        <f>'Part II-Development Team'!F130</f>
        <v>Select</v>
      </c>
      <c r="G348" s="1890">
        <f>'Part II-Development Team'!G130</f>
        <v>0</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5142</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5085</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3447</v>
      </c>
      <c r="F352" s="1682"/>
      <c r="G352" s="1682"/>
      <c r="H352" s="1682"/>
      <c r="I352" s="1682"/>
      <c r="J352" s="1682" t="s">
        <v>3448</v>
      </c>
      <c r="K352" s="1682" t="s">
        <v>5094</v>
      </c>
      <c r="L352" s="1682" t="s">
        <v>5095</v>
      </c>
      <c r="M352" s="1682" t="s">
        <v>5096</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5143</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2509</v>
      </c>
      <c r="J356" s="1682"/>
      <c r="K356" s="1682"/>
      <c r="L356" s="1682"/>
      <c r="M356" s="1661" t="s">
        <v>2509</v>
      </c>
      <c r="N356" s="1665" t="s">
        <v>2906</v>
      </c>
      <c r="O356" s="1665"/>
      <c r="P356" s="1665"/>
      <c r="Q356" s="1665"/>
      <c r="R356" s="1665"/>
      <c r="S356" s="1665"/>
    </row>
    <row r="357" spans="1:19" ht="13.5" customHeight="1">
      <c r="A357" s="1708" t="s">
        <v>3442</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Yes</v>
      </c>
      <c r="N357" s="1890" t="str">
        <f>'Part II-Development Team'!N139</f>
        <v xml:space="preserve">Members of Prestwick Development Company, LLC are also members of both the GP entity and members of Prestwick Construction Company, the contractor </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3443</v>
      </c>
      <c r="B358" s="1708"/>
      <c r="C358" s="1708"/>
      <c r="D358" s="1708"/>
      <c r="E358" s="1890">
        <f>'Part II-Development Team'!E140</f>
        <v>0</v>
      </c>
      <c r="F358" s="1890">
        <f>'Part II-Development Team'!F140</f>
        <v>0</v>
      </c>
      <c r="G358" s="1890">
        <f>'Part II-Development Team'!G140</f>
        <v>0</v>
      </c>
      <c r="H358" s="1890">
        <f>'Part II-Development Team'!H140</f>
        <v>0</v>
      </c>
      <c r="I358" s="2129">
        <f>'Part II-Development Team'!I140</f>
        <v>0</v>
      </c>
      <c r="J358" s="2129">
        <f>'Part II-Development Team'!J140</f>
        <v>0</v>
      </c>
      <c r="K358" s="2130">
        <f>'Part II-Development Team'!K140</f>
        <v>0</v>
      </c>
      <c r="L358" s="2131">
        <f>'Part II-Development Team'!L140</f>
        <v>0</v>
      </c>
      <c r="M358" s="2129">
        <f>'Part II-Development Team'!M140</f>
        <v>0</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3444</v>
      </c>
      <c r="B359" s="1708"/>
      <c r="C359" s="1708"/>
      <c r="D359" s="1708"/>
      <c r="E359" s="1890">
        <f>'Part II-Development Team'!E141</f>
        <v>0</v>
      </c>
      <c r="F359" s="1890">
        <f>'Part II-Development Team'!F141</f>
        <v>0</v>
      </c>
      <c r="G359" s="1890">
        <f>'Part II-Development Team'!G141</f>
        <v>0</v>
      </c>
      <c r="H359" s="1890">
        <f>'Part II-Development Team'!H141</f>
        <v>0</v>
      </c>
      <c r="I359" s="2129">
        <f>'Part II-Development Team'!I141</f>
        <v>0</v>
      </c>
      <c r="J359" s="2129">
        <f>'Part II-Development Team'!J141</f>
        <v>0</v>
      </c>
      <c r="K359" s="2130">
        <f>'Part II-Development Team'!K141</f>
        <v>0</v>
      </c>
      <c r="L359" s="2131">
        <f>'Part II-Development Team'!L141</f>
        <v>0</v>
      </c>
      <c r="M359" s="2129">
        <f>'Part II-Development Team'!M141</f>
        <v>0</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3445</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0.98980000000000001</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3446</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2894</v>
      </c>
      <c r="B362" s="1708"/>
      <c r="C362" s="1708"/>
      <c r="D362" s="1708"/>
      <c r="E362" s="1890">
        <f>'Part II-Development Team'!E144</f>
        <v>0</v>
      </c>
      <c r="F362" s="1890">
        <f>'Part II-Development Team'!F144</f>
        <v>0</v>
      </c>
      <c r="G362" s="1890">
        <f>'Part II-Development Team'!G144</f>
        <v>0</v>
      </c>
      <c r="H362" s="1890">
        <f>'Part II-Development Team'!H144</f>
        <v>0</v>
      </c>
      <c r="I362" s="2129">
        <f>'Part II-Development Team'!I144</f>
        <v>0</v>
      </c>
      <c r="J362" s="2129">
        <f>'Part II-Development Team'!J144</f>
        <v>0</v>
      </c>
      <c r="K362" s="2130">
        <f>'Part II-Development Team'!K144</f>
        <v>0</v>
      </c>
      <c r="L362" s="2131">
        <f>'Part II-Development Team'!L144</f>
        <v>0</v>
      </c>
      <c r="M362" s="2129">
        <f>'Part II-Development Team'!M144</f>
        <v>0</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140.25">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Yes</v>
      </c>
      <c r="N363" s="1890" t="str">
        <f>'Part II-Development Team'!N145</f>
        <v xml:space="preserve">Members of Prestwick Development Company, LLC are also members of both the GP entity and members of Prestwick Construction Company, the contractor </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2895</v>
      </c>
      <c r="B364" s="1708"/>
      <c r="C364" s="1708"/>
      <c r="D364" s="1708"/>
      <c r="E364" s="1890">
        <f>'Part II-Development Team'!E146</f>
        <v>0</v>
      </c>
      <c r="F364" s="1890">
        <f>'Part II-Development Team'!F146</f>
        <v>0</v>
      </c>
      <c r="G364" s="1890">
        <f>'Part II-Development Team'!G146</f>
        <v>0</v>
      </c>
      <c r="H364" s="1890">
        <f>'Part II-Development Team'!H146</f>
        <v>0</v>
      </c>
      <c r="I364" s="2129">
        <f>'Part II-Development Team'!I146</f>
        <v>0</v>
      </c>
      <c r="J364" s="2129">
        <f>'Part II-Development Team'!J146</f>
        <v>0</v>
      </c>
      <c r="K364" s="2130">
        <f>'Part II-Development Team'!K146</f>
        <v>0</v>
      </c>
      <c r="L364" s="2131">
        <f>'Part II-Development Team'!L146</f>
        <v>0</v>
      </c>
      <c r="M364" s="2129">
        <f>'Part II-Development Team'!M146</f>
        <v>0</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2896</v>
      </c>
      <c r="B365" s="1708"/>
      <c r="C365" s="1708"/>
      <c r="D365" s="1708"/>
      <c r="E365" s="1890">
        <f>'Part II-Development Team'!E147</f>
        <v>0</v>
      </c>
      <c r="F365" s="1890">
        <f>'Part II-Development Team'!F147</f>
        <v>0</v>
      </c>
      <c r="G365" s="1890">
        <f>'Part II-Development Team'!G147</f>
        <v>0</v>
      </c>
      <c r="H365" s="1890">
        <f>'Part II-Development Team'!H147</f>
        <v>0</v>
      </c>
      <c r="I365" s="2129">
        <f>'Part II-Development Team'!I147</f>
        <v>0</v>
      </c>
      <c r="J365" s="2129">
        <f>'Part II-Development Team'!J147</f>
        <v>0</v>
      </c>
      <c r="K365" s="2130">
        <f>'Part II-Development Team'!K147</f>
        <v>0</v>
      </c>
      <c r="L365" s="2131">
        <f>'Part II-Development Team'!L147</f>
        <v>0</v>
      </c>
      <c r="M365" s="2129">
        <f>'Part II-Development Team'!M147</f>
        <v>0</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2898</v>
      </c>
      <c r="B366" s="1708"/>
      <c r="C366" s="1708"/>
      <c r="D366" s="1708"/>
      <c r="E366" s="1890">
        <f>'Part II-Development Team'!E148</f>
        <v>0</v>
      </c>
      <c r="F366" s="1890">
        <f>'Part II-Development Team'!F148</f>
        <v>0</v>
      </c>
      <c r="G366" s="1890">
        <f>'Part II-Development Team'!G148</f>
        <v>0</v>
      </c>
      <c r="H366" s="1890">
        <f>'Part II-Development Team'!H148</f>
        <v>0</v>
      </c>
      <c r="I366" s="2129">
        <f>'Part II-Development Team'!I148</f>
        <v>0</v>
      </c>
      <c r="J366" s="2129">
        <f>'Part II-Development Team'!J148</f>
        <v>0</v>
      </c>
      <c r="K366" s="2130">
        <f>'Part II-Development Team'!K148</f>
        <v>0</v>
      </c>
      <c r="L366" s="2131">
        <f>'Part II-Development Team'!L148</f>
        <v>0</v>
      </c>
      <c r="M366" s="2129">
        <f>'Part II-Development Team'!M148</f>
        <v>0</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2897</v>
      </c>
      <c r="B367" s="1708"/>
      <c r="C367" s="1708"/>
      <c r="D367" s="1708"/>
      <c r="E367" s="1890">
        <f>'Part II-Development Team'!E149</f>
        <v>0</v>
      </c>
      <c r="F367" s="1890">
        <f>'Part II-Development Team'!F149</f>
        <v>0</v>
      </c>
      <c r="G367" s="1890">
        <f>'Part II-Development Team'!G149</f>
        <v>0</v>
      </c>
      <c r="H367" s="1890">
        <f>'Part II-Development Team'!H149</f>
        <v>0</v>
      </c>
      <c r="I367" s="2129">
        <f>'Part II-Development Team'!I149</f>
        <v>0</v>
      </c>
      <c r="J367" s="2129">
        <f>'Part II-Development Team'!J149</f>
        <v>0</v>
      </c>
      <c r="K367" s="2130">
        <f>'Part II-Development Team'!K149</f>
        <v>0</v>
      </c>
      <c r="L367" s="2131">
        <f>'Part II-Development Team'!L149</f>
        <v>0</v>
      </c>
      <c r="M367" s="2129">
        <f>'Part II-Development Team'!M149</f>
        <v>0</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40.25">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Yes</v>
      </c>
      <c r="N368" s="1890" t="str">
        <f>'Part II-Development Team'!N150</f>
        <v xml:space="preserve">Members of Prestwick Development Company, LLC are also members of both the GP entity and members of Prestwick Construction Company, the contractor </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2899</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0.99990000000000001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202.5">
      <c r="A372" s="1708" t="str">
        <f>'Part II-Development Team'!A154</f>
        <v xml:space="preserve">Members of Prestwick Development Company, LLC are also members of both the GP entity and members of Prestwick Construction Company, LLC, the contractor for the project.  </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5">
      <c r="A378" s="1647" t="str">
        <f>CONCATENATE("PART THREE - SOURCES OF FUNDS","  -  ",'Part I-Project Information'!$O$6," ",'Part I-Project Information'!$F$34,", ",'Part I-Project Information'!$F$38,", ",'Part I-Project Information'!$J$39," County")</f>
        <v>PART THREE - SOURCES OF FUNDS  -  2019-5 55 Milton, Atlanta, Fulton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5">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6.5">
      <c r="A380" s="1647" t="s">
        <v>616</v>
      </c>
      <c r="B380" s="1647" t="s">
        <v>2490</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5">
      <c r="A381" s="1653"/>
      <c r="B381" s="1651"/>
      <c r="C381" s="1653"/>
      <c r="D381" s="1647"/>
      <c r="E381" s="1647"/>
      <c r="F381" s="1647"/>
      <c r="G381" s="1647"/>
      <c r="H381" s="1710"/>
      <c r="I381" s="1710"/>
      <c r="J381" s="1710"/>
      <c r="K381" s="1710"/>
      <c r="L381" s="1710"/>
      <c r="M381" s="1710"/>
      <c r="N381" s="1710"/>
      <c r="O381" s="1710"/>
      <c r="P381" s="1710"/>
      <c r="Q381" s="1710"/>
      <c r="R381" s="1710"/>
      <c r="S381" s="2111" t="s">
        <v>2682</v>
      </c>
      <c r="T381" s="2111"/>
    </row>
    <row r="382" spans="1:20" ht="13.5">
      <c r="A382" s="1651"/>
      <c r="B382" s="1651" t="str">
        <f>'Part III-Sources of Funds'!B5</f>
        <v>Yes</v>
      </c>
      <c r="C382" s="1654" t="s">
        <v>2409</v>
      </c>
      <c r="D382" s="1647"/>
      <c r="E382" s="1651" t="str">
        <f>'Part III-Sources of Funds'!E5</f>
        <v>No</v>
      </c>
      <c r="F382" s="1654" t="s">
        <v>4501</v>
      </c>
      <c r="G382" s="1647"/>
      <c r="H382" s="2132">
        <f>'Part III-Sources of Funds'!H5</f>
        <v>0</v>
      </c>
      <c r="I382" s="1631">
        <f>'Part III-Sources of Funds'!I5</f>
        <v>0</v>
      </c>
      <c r="J382" s="1710"/>
      <c r="K382" s="1710"/>
      <c r="L382" s="1651" t="str">
        <f>'Part III-Sources of Funds'!L5</f>
        <v>No</v>
      </c>
      <c r="M382" s="1654" t="s">
        <v>1537</v>
      </c>
      <c r="N382" s="1710"/>
      <c r="O382" s="1710"/>
      <c r="P382" s="1710"/>
      <c r="Q382" s="1710"/>
      <c r="R382" s="1710"/>
      <c r="S382" s="1708">
        <f>'Part III-Sources of Funds'!S5</f>
        <v>0</v>
      </c>
      <c r="T382" s="1708">
        <f>'Part III-Sources of Funds'!T5</f>
        <v>0</v>
      </c>
    </row>
    <row r="383" spans="1:20" ht="13.5">
      <c r="A383" s="1651"/>
      <c r="B383" s="1651" t="str">
        <f>'Part III-Sources of Funds'!B6</f>
        <v>No</v>
      </c>
      <c r="C383" s="1654" t="s">
        <v>5005</v>
      </c>
      <c r="D383" s="1647"/>
      <c r="E383" s="1651" t="str">
        <f>'Part III-Sources of Funds'!E6</f>
        <v>No</v>
      </c>
      <c r="F383" s="1654" t="s">
        <v>4502</v>
      </c>
      <c r="G383" s="1710"/>
      <c r="H383" s="2132">
        <f>'Part III-Sources of Funds'!H6</f>
        <v>0</v>
      </c>
      <c r="I383" s="1631">
        <f>'Part III-Sources of Funds'!I6</f>
        <v>0</v>
      </c>
      <c r="J383" s="1710"/>
      <c r="K383" s="1710"/>
      <c r="L383" s="1651" t="str">
        <f>'Part III-Sources of Funds'!L6</f>
        <v>No</v>
      </c>
      <c r="M383" s="1654" t="s">
        <v>549</v>
      </c>
      <c r="N383" s="1710"/>
      <c r="O383" s="1710"/>
      <c r="P383" s="1710"/>
      <c r="Q383" s="1710"/>
      <c r="R383" s="1710"/>
      <c r="S383" s="1708">
        <f>'Part III-Sources of Funds'!S6</f>
        <v>0</v>
      </c>
      <c r="T383" s="1708">
        <f>'Part III-Sources of Funds'!T6</f>
        <v>0</v>
      </c>
    </row>
    <row r="384" spans="1:20" ht="13.5">
      <c r="A384" s="1647"/>
      <c r="B384" s="1651" t="str">
        <f>'Part III-Sources of Funds'!B7</f>
        <v>No</v>
      </c>
      <c r="C384" s="1654" t="s">
        <v>551</v>
      </c>
      <c r="D384" s="1710"/>
      <c r="E384" s="1710"/>
      <c r="F384" s="1647" t="s">
        <v>5144</v>
      </c>
      <c r="G384" s="1710"/>
      <c r="H384" s="1710" t="str">
        <f>'Part III-Sources of Funds'!H7</f>
        <v>Specify Other HOME Source here</v>
      </c>
      <c r="I384" s="1710">
        <f>'Part III-Sources of Funds'!I7</f>
        <v>0</v>
      </c>
      <c r="J384" s="1710">
        <f>'Part III-Sources of Funds'!J7</f>
        <v>0</v>
      </c>
      <c r="K384" s="1710"/>
      <c r="L384" s="1651" t="str">
        <f>'Part III-Sources of Funds'!L7</f>
        <v>No</v>
      </c>
      <c r="M384" s="1654" t="s">
        <v>3619</v>
      </c>
      <c r="N384" s="1710"/>
      <c r="O384" s="1710"/>
      <c r="P384" s="1710"/>
      <c r="Q384" s="1710"/>
      <c r="R384" s="1710"/>
      <c r="S384" s="1708">
        <f>'Part III-Sources of Funds'!S7</f>
        <v>0</v>
      </c>
      <c r="T384" s="1708">
        <f>'Part III-Sources of Funds'!T7</f>
        <v>0</v>
      </c>
    </row>
    <row r="385" spans="1:20" ht="13.5">
      <c r="A385" s="1651"/>
      <c r="B385" s="1651" t="str">
        <f>'Part III-Sources of Funds'!B8</f>
        <v>No</v>
      </c>
      <c r="C385" s="1654" t="s">
        <v>2600</v>
      </c>
      <c r="D385" s="1710"/>
      <c r="E385" s="1651" t="str">
        <f>'Part III-Sources of Funds'!E8</f>
        <v>No</v>
      </c>
      <c r="F385" s="1654" t="s">
        <v>2608</v>
      </c>
      <c r="G385" s="1710"/>
      <c r="H385" s="1710"/>
      <c r="I385" s="1710"/>
      <c r="J385" s="1710"/>
      <c r="K385" s="1710"/>
      <c r="L385" s="1651" t="str">
        <f>'Part III-Sources of Funds'!L8</f>
        <v>No</v>
      </c>
      <c r="M385" s="1654" t="s">
        <v>5006</v>
      </c>
      <c r="N385" s="1710"/>
      <c r="O385" s="1710"/>
      <c r="P385" s="1710"/>
      <c r="Q385" s="1710"/>
      <c r="R385" s="1710"/>
      <c r="S385" s="1708">
        <f>'Part III-Sources of Funds'!S8</f>
        <v>0</v>
      </c>
      <c r="T385" s="1708">
        <f>'Part III-Sources of Funds'!T8</f>
        <v>0</v>
      </c>
    </row>
    <row r="386" spans="1:20" ht="13.5">
      <c r="A386" s="1651"/>
      <c r="B386" s="1651" t="str">
        <f>'Part III-Sources of Funds'!B9</f>
        <v>No</v>
      </c>
      <c r="C386" s="1654" t="s">
        <v>2601</v>
      </c>
      <c r="D386" s="1710"/>
      <c r="E386" s="1651" t="str">
        <f>'Part III-Sources of Funds'!E9</f>
        <v>Yes</v>
      </c>
      <c r="F386" s="1654" t="s">
        <v>3721</v>
      </c>
      <c r="G386" s="1710"/>
      <c r="H386" s="1710" t="str">
        <f>'Part III-Sources of Funds'!H9</f>
        <v>Atlanta Housing HAVEN</v>
      </c>
      <c r="I386" s="1710">
        <f>'Part III-Sources of Funds'!I9</f>
        <v>0</v>
      </c>
      <c r="J386" s="1710">
        <f>'Part III-Sources of Funds'!J9</f>
        <v>0</v>
      </c>
      <c r="K386" s="1710"/>
      <c r="L386" s="1651" t="str">
        <f>'Part III-Sources of Funds'!L9</f>
        <v>No</v>
      </c>
      <c r="M386" s="1654" t="s">
        <v>3680</v>
      </c>
      <c r="N386" s="1710"/>
      <c r="O386" s="1710"/>
      <c r="P386" s="1710"/>
      <c r="Q386" s="1710"/>
      <c r="R386" s="1710"/>
      <c r="S386" s="1708">
        <f>'Part III-Sources of Funds'!S9</f>
        <v>0</v>
      </c>
      <c r="T386" s="1708">
        <f>'Part III-Sources of Funds'!T9</f>
        <v>0</v>
      </c>
    </row>
    <row r="387" spans="1:20" ht="13.5">
      <c r="A387" s="1651"/>
      <c r="B387" s="1651" t="str">
        <f>'Part III-Sources of Funds'!B10</f>
        <v>No</v>
      </c>
      <c r="C387" s="1654" t="s">
        <v>3685</v>
      </c>
      <c r="D387" s="1710"/>
      <c r="E387" s="1651" t="str">
        <f>'Part III-Sources of Funds'!E10</f>
        <v>No</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t="str">
        <f>'Part III-Sources of Funds'!L10</f>
        <v>No</v>
      </c>
      <c r="M387" s="1647" t="s">
        <v>2609</v>
      </c>
      <c r="N387" s="1710"/>
      <c r="O387" s="1710"/>
      <c r="P387" s="1710"/>
      <c r="Q387" s="1710"/>
      <c r="R387" s="1710"/>
      <c r="S387" s="1708">
        <f>'Part III-Sources of Funds'!S10</f>
        <v>0</v>
      </c>
      <c r="T387" s="1708">
        <f>'Part III-Sources of Funds'!T10</f>
        <v>0</v>
      </c>
    </row>
    <row r="388" spans="1:20" ht="13.5">
      <c r="A388" s="1651"/>
      <c r="B388" s="1651" t="str">
        <f>'Part III-Sources of Funds'!B11</f>
        <v>No</v>
      </c>
      <c r="C388" s="1647" t="s">
        <v>3887</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t="str">
        <f>'Part III-Sources of Funds'!L11</f>
        <v>No</v>
      </c>
      <c r="M388" s="1647" t="s">
        <v>3724</v>
      </c>
      <c r="N388" s="1710"/>
      <c r="O388" s="1710"/>
      <c r="P388" s="1710"/>
      <c r="Q388" s="1710"/>
      <c r="R388" s="1710"/>
      <c r="S388" s="1708">
        <f>'Part III-Sources of Funds'!S11</f>
        <v>0</v>
      </c>
      <c r="T388" s="1708">
        <f>'Part III-Sources of Funds'!T11</f>
        <v>0</v>
      </c>
    </row>
    <row r="389" spans="1:20" ht="13.5">
      <c r="A389" s="1651"/>
      <c r="B389" s="1651" t="str">
        <f>'Part III-Sources of Funds'!B12</f>
        <v>No</v>
      </c>
      <c r="C389" s="1647" t="s">
        <v>2607</v>
      </c>
      <c r="D389" s="1710"/>
      <c r="E389" s="1651" t="str">
        <f>'Part III-Sources of Funds'!E12</f>
        <v>Yes</v>
      </c>
      <c r="F389" s="1710" t="str">
        <f>'Part III-Sources of Funds'!F12</f>
        <v>HomeFirst Loan and BeltLine TAD Loan</v>
      </c>
      <c r="G389" s="1710">
        <f>'Part III-Sources of Funds'!G12</f>
        <v>0</v>
      </c>
      <c r="H389" s="1710">
        <f>'Part III-Sources of Funds'!H12</f>
        <v>0</v>
      </c>
      <c r="I389" s="1710">
        <f>'Part III-Sources of Funds'!I12</f>
        <v>0</v>
      </c>
      <c r="J389" s="1710">
        <f>'Part III-Sources of Funds'!J12</f>
        <v>0</v>
      </c>
      <c r="K389" s="1710"/>
      <c r="L389" s="1651" t="str">
        <f>'Part III-Sources of Funds'!L12</f>
        <v>No</v>
      </c>
      <c r="M389" s="1647" t="s">
        <v>2795</v>
      </c>
      <c r="N389" s="1710"/>
      <c r="O389" s="1710"/>
      <c r="P389" s="1710"/>
      <c r="Q389" s="1710"/>
      <c r="R389" s="1710"/>
      <c r="S389" s="1708">
        <f>'Part III-Sources of Funds'!S12</f>
        <v>0</v>
      </c>
      <c r="T389" s="1708">
        <f>'Part III-Sources of Funds'!T12</f>
        <v>0</v>
      </c>
    </row>
    <row r="390" spans="1:20" ht="13.5">
      <c r="A390" s="1651"/>
      <c r="B390" s="1651" t="str">
        <f>'Part III-Sources of Funds'!B13</f>
        <v>No</v>
      </c>
      <c r="C390" s="1647" t="s">
        <v>3719</v>
      </c>
      <c r="D390" s="1710"/>
      <c r="E390" s="1710"/>
      <c r="F390" s="1710" t="str">
        <f>'Part III-Sources of Funds'!F13</f>
        <v>Partners for Home and Invest Atlanta</v>
      </c>
      <c r="G390" s="1710">
        <f>'Part III-Sources of Funds'!G13</f>
        <v>0</v>
      </c>
      <c r="H390" s="1710">
        <f>'Part III-Sources of Funds'!H13</f>
        <v>0</v>
      </c>
      <c r="I390" s="1710">
        <f>'Part III-Sources of Funds'!I13</f>
        <v>0</v>
      </c>
      <c r="J390" s="1710">
        <f>'Part III-Sources of Funds'!J13</f>
        <v>0</v>
      </c>
      <c r="K390" s="1710"/>
      <c r="L390" s="1651" t="str">
        <f>'Part III-Sources of Funds'!L13</f>
        <v>No</v>
      </c>
      <c r="M390" s="1654" t="s">
        <v>3886</v>
      </c>
      <c r="N390" s="1710"/>
      <c r="O390" s="1710"/>
      <c r="P390" s="1710"/>
      <c r="Q390" s="1710"/>
      <c r="R390" s="1710"/>
      <c r="S390" s="1708">
        <f>'Part III-Sources of Funds'!S13</f>
        <v>0</v>
      </c>
      <c r="T390" s="1708">
        <f>'Part III-Sources of Funds'!T13</f>
        <v>0</v>
      </c>
    </row>
    <row r="391" spans="1:20" ht="13.5">
      <c r="A391" s="1651"/>
      <c r="B391" s="1651" t="str">
        <f>'Part III-Sources of Funds'!B14</f>
        <v>No</v>
      </c>
      <c r="C391" s="1654" t="s">
        <v>1803</v>
      </c>
      <c r="D391" s="1710"/>
      <c r="E391" s="1651" t="str">
        <f>'Part III-Sources of Funds'!E14</f>
        <v>Yes</v>
      </c>
      <c r="F391" s="1654" t="s">
        <v>5003</v>
      </c>
      <c r="G391" s="1710"/>
      <c r="H391" s="1710"/>
      <c r="I391" s="1766">
        <f>'Part III-Sources of Funds'!I14</f>
        <v>17500000</v>
      </c>
      <c r="J391" s="1766">
        <f>'Part III-Sources of Funds'!J14</f>
        <v>0</v>
      </c>
      <c r="K391" s="1710"/>
      <c r="L391" s="1651" t="str">
        <f>'Part III-Sources of Funds'!L14</f>
        <v>No</v>
      </c>
      <c r="M391" s="1649" t="s">
        <v>5145</v>
      </c>
      <c r="N391" s="1710"/>
      <c r="O391" s="1710"/>
      <c r="P391" s="1710"/>
      <c r="Q391" s="1710"/>
      <c r="R391" s="1710"/>
      <c r="S391" s="1710"/>
      <c r="T391" s="1710"/>
    </row>
    <row r="392" spans="1:20" ht="13.5">
      <c r="A392" s="1651"/>
      <c r="B392" s="1710" t="s">
        <v>5007</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5">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5">
      <c r="A394" s="1647" t="s">
        <v>740</v>
      </c>
      <c r="B394" s="1654" t="s">
        <v>2344</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5">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5">
      <c r="A396" s="1647"/>
      <c r="B396" s="1654" t="s">
        <v>1870</v>
      </c>
      <c r="C396" s="1647"/>
      <c r="D396" s="1647"/>
      <c r="E396" s="1647"/>
      <c r="F396" s="1647"/>
      <c r="G396" s="1647"/>
      <c r="H396" s="1647" t="s">
        <v>1297</v>
      </c>
      <c r="I396" s="1647"/>
      <c r="J396" s="1647"/>
      <c r="K396" s="1647"/>
      <c r="L396" s="1647" t="s">
        <v>4959</v>
      </c>
      <c r="M396" s="1647"/>
      <c r="N396" s="1647" t="s">
        <v>1507</v>
      </c>
      <c r="O396" s="1647"/>
      <c r="P396" s="1647" t="s">
        <v>1630</v>
      </c>
      <c r="Q396" s="1647"/>
      <c r="R396" s="1710"/>
      <c r="S396" s="2111" t="s">
        <v>2682</v>
      </c>
      <c r="T396" s="2111"/>
    </row>
    <row r="397" spans="1:20" ht="51">
      <c r="A397" s="1647"/>
      <c r="B397" s="1647" t="s">
        <v>1591</v>
      </c>
      <c r="C397" s="1647"/>
      <c r="D397" s="1647"/>
      <c r="E397" s="1647"/>
      <c r="F397" s="1647"/>
      <c r="G397" s="1647"/>
      <c r="H397" s="1703" t="str">
        <f>'Part III-Sources of Funds'!H20</f>
        <v>ORIX Real Estate Capital Private Plcmnt Bond</v>
      </c>
      <c r="I397" s="1703">
        <f>'Part III-Sources of Funds'!I20</f>
        <v>0</v>
      </c>
      <c r="J397" s="1703">
        <f>'Part III-Sources of Funds'!J20</f>
        <v>0</v>
      </c>
      <c r="K397" s="1703">
        <f>'Part III-Sources of Funds'!K20</f>
        <v>0</v>
      </c>
      <c r="L397" s="1729">
        <f>'Part III-Sources of Funds'!L20</f>
        <v>21630000</v>
      </c>
      <c r="M397" s="1729">
        <f>'Part III-Sources of Funds'!M20</f>
        <v>0</v>
      </c>
      <c r="N397" s="1712">
        <f>'Part III-Sources of Funds'!N20</f>
        <v>4.3499999999999997E-2</v>
      </c>
      <c r="O397" s="1712">
        <f>'Part III-Sources of Funds'!O20</f>
        <v>0</v>
      </c>
      <c r="P397" s="1784">
        <f>'Part III-Sources of Funds'!P20</f>
        <v>30</v>
      </c>
      <c r="Q397" s="1784">
        <f>'Part III-Sources of Funds'!Q20</f>
        <v>0</v>
      </c>
      <c r="R397" s="1710"/>
      <c r="S397" s="1708">
        <f>'Part III-Sources of Funds'!S20</f>
        <v>0</v>
      </c>
      <c r="T397" s="1708">
        <f>'Part III-Sources of Funds'!T20</f>
        <v>0</v>
      </c>
    </row>
    <row r="398" spans="1:20" ht="25.5">
      <c r="A398" s="1647"/>
      <c r="B398" s="1647" t="s">
        <v>1592</v>
      </c>
      <c r="C398" s="1647"/>
      <c r="D398" s="1647"/>
      <c r="E398" s="1647"/>
      <c r="F398" s="1647"/>
      <c r="G398" s="1647"/>
      <c r="H398" s="1703" t="str">
        <f>'Part III-Sources of Funds'!H21</f>
        <v>BeltLine TAD Cash Flow Loan</v>
      </c>
      <c r="I398" s="1703">
        <f>'Part III-Sources of Funds'!I21</f>
        <v>0</v>
      </c>
      <c r="J398" s="1703">
        <f>'Part III-Sources of Funds'!J21</f>
        <v>0</v>
      </c>
      <c r="K398" s="1703">
        <f>'Part III-Sources of Funds'!K21</f>
        <v>0</v>
      </c>
      <c r="L398" s="1729">
        <f>'Part III-Sources of Funds'!L21</f>
        <v>2000000</v>
      </c>
      <c r="M398" s="1729">
        <f>'Part III-Sources of Funds'!M21</f>
        <v>0</v>
      </c>
      <c r="N398" s="1712">
        <f>'Part III-Sources of Funds'!N21</f>
        <v>0</v>
      </c>
      <c r="O398" s="1712">
        <f>'Part III-Sources of Funds'!O21</f>
        <v>0</v>
      </c>
      <c r="P398" s="1766">
        <f>'Part III-Sources of Funds'!P21</f>
        <v>30</v>
      </c>
      <c r="Q398" s="1766">
        <f>'Part III-Sources of Funds'!Q21</f>
        <v>0</v>
      </c>
      <c r="R398" s="1710"/>
      <c r="S398" s="1708">
        <f>'Part III-Sources of Funds'!S21</f>
        <v>0</v>
      </c>
      <c r="T398" s="1708">
        <f>'Part III-Sources of Funds'!T21</f>
        <v>0</v>
      </c>
    </row>
    <row r="399" spans="1:20" ht="25.5">
      <c r="A399" s="1647"/>
      <c r="B399" s="1647" t="s">
        <v>1593</v>
      </c>
      <c r="C399" s="1647"/>
      <c r="D399" s="1647"/>
      <c r="E399" s="1647"/>
      <c r="F399" s="1647"/>
      <c r="G399" s="1647"/>
      <c r="H399" s="1703" t="str">
        <f>'Part III-Sources of Funds'!H22</f>
        <v>HomeFirst Cash Flow Loan</v>
      </c>
      <c r="I399" s="1703">
        <f>'Part III-Sources of Funds'!I22</f>
        <v>0</v>
      </c>
      <c r="J399" s="1703">
        <f>'Part III-Sources of Funds'!J22</f>
        <v>0</v>
      </c>
      <c r="K399" s="1703">
        <f>'Part III-Sources of Funds'!K22</f>
        <v>0</v>
      </c>
      <c r="L399" s="1729">
        <f>'Part III-Sources of Funds'!L22</f>
        <v>720000</v>
      </c>
      <c r="M399" s="1729">
        <f>'Part III-Sources of Funds'!M22</f>
        <v>0</v>
      </c>
      <c r="N399" s="1712">
        <f>'Part III-Sources of Funds'!N22</f>
        <v>0</v>
      </c>
      <c r="O399" s="1712">
        <f>'Part III-Sources of Funds'!O22</f>
        <v>0</v>
      </c>
      <c r="P399" s="1766">
        <f>'Part III-Sources of Funds'!P22</f>
        <v>30</v>
      </c>
      <c r="Q399" s="1766">
        <f>'Part III-Sources of Funds'!Q22</f>
        <v>0</v>
      </c>
      <c r="R399" s="1710"/>
      <c r="S399" s="1708">
        <f>'Part III-Sources of Funds'!S22</f>
        <v>0</v>
      </c>
      <c r="T399" s="1708">
        <f>'Part III-Sources of Funds'!T22</f>
        <v>0</v>
      </c>
    </row>
    <row r="400" spans="1:20" ht="13.5">
      <c r="A400" s="1647"/>
      <c r="B400" s="1647" t="s">
        <v>2214</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5">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5">
      <c r="A402" s="1647"/>
      <c r="B402" s="1647" t="s">
        <v>641</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38.25">
      <c r="A403" s="1647"/>
      <c r="B403" s="1647" t="s">
        <v>802</v>
      </c>
      <c r="C403" s="1647"/>
      <c r="D403" s="1647"/>
      <c r="E403" s="1647"/>
      <c r="F403" s="1710"/>
      <c r="G403" s="1710"/>
      <c r="H403" s="1703" t="str">
        <f>'Part III-Sources of Funds'!H26</f>
        <v>SunTrust Community Capital</v>
      </c>
      <c r="I403" s="1703">
        <f>'Part III-Sources of Funds'!I26</f>
        <v>0</v>
      </c>
      <c r="J403" s="1703">
        <f>'Part III-Sources of Funds'!J26</f>
        <v>0</v>
      </c>
      <c r="K403" s="1703">
        <f>'Part III-Sources of Funds'!K26</f>
        <v>0</v>
      </c>
      <c r="L403" s="1729">
        <f>'Part III-Sources of Funds'!L26</f>
        <v>2912002.0552976797</v>
      </c>
      <c r="M403" s="1729">
        <f>'Part III-Sources of Funds'!M26</f>
        <v>0</v>
      </c>
      <c r="N403" s="1647"/>
      <c r="O403" s="1710"/>
      <c r="P403" s="1710"/>
      <c r="Q403" s="1647"/>
      <c r="R403" s="1710"/>
      <c r="S403" s="1708">
        <f>'Part III-Sources of Funds'!S26</f>
        <v>0</v>
      </c>
      <c r="T403" s="1708">
        <f>'Part III-Sources of Funds'!T26</f>
        <v>0</v>
      </c>
    </row>
    <row r="404" spans="1:20" ht="38.25">
      <c r="A404" s="1647"/>
      <c r="B404" s="1647" t="s">
        <v>803</v>
      </c>
      <c r="C404" s="1647"/>
      <c r="D404" s="1647"/>
      <c r="E404" s="1647"/>
      <c r="F404" s="1710"/>
      <c r="G404" s="1710"/>
      <c r="H404" s="1703" t="str">
        <f>'Part III-Sources of Funds'!H27</f>
        <v>SunTrust Community Capital</v>
      </c>
      <c r="I404" s="1703">
        <f>'Part III-Sources of Funds'!I27</f>
        <v>0</v>
      </c>
      <c r="J404" s="1703">
        <f>'Part III-Sources of Funds'!J27</f>
        <v>0</v>
      </c>
      <c r="K404" s="1703">
        <f>'Part III-Sources of Funds'!K27</f>
        <v>0</v>
      </c>
      <c r="L404" s="1729">
        <f>'Part III-Sources of Funds'!L27</f>
        <v>1911192.4680359059</v>
      </c>
      <c r="M404" s="1729">
        <f>'Part III-Sources of Funds'!M27</f>
        <v>0</v>
      </c>
      <c r="N404" s="1647"/>
      <c r="O404" s="1710"/>
      <c r="P404" s="1710"/>
      <c r="Q404" s="1647"/>
      <c r="R404" s="1710"/>
      <c r="S404" s="1708">
        <f>'Part III-Sources of Funds'!S27</f>
        <v>0</v>
      </c>
      <c r="T404" s="1708">
        <f>'Part III-Sources of Funds'!T27</f>
        <v>0</v>
      </c>
    </row>
    <row r="405" spans="1:20" ht="13.5">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5">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5">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5">
      <c r="A408" s="1647"/>
      <c r="B408" s="1654" t="s">
        <v>1298</v>
      </c>
      <c r="C408" s="1647"/>
      <c r="D408" s="1647"/>
      <c r="E408" s="1647"/>
      <c r="F408" s="1647"/>
      <c r="G408" s="1647"/>
      <c r="H408" s="1647"/>
      <c r="I408" s="1647"/>
      <c r="J408" s="1710"/>
      <c r="K408" s="1710"/>
      <c r="L408" s="1717">
        <f>SUM(L397:L407)</f>
        <v>29173194.523333587</v>
      </c>
      <c r="M408" s="1717"/>
      <c r="N408" s="1653"/>
      <c r="O408" s="1710"/>
      <c r="P408" s="1710"/>
      <c r="Q408" s="1710"/>
      <c r="R408" s="1710"/>
      <c r="S408" s="1708">
        <f>'Part III-Sources of Funds'!S31</f>
        <v>0</v>
      </c>
      <c r="T408" s="1708">
        <f>'Part III-Sources of Funds'!T31</f>
        <v>0</v>
      </c>
    </row>
    <row r="409" spans="1:20" ht="13.5">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28844951.5</v>
      </c>
      <c r="M409" s="1717"/>
      <c r="N409" s="1658"/>
      <c r="O409" s="1710"/>
      <c r="P409" s="1710"/>
      <c r="Q409" s="1710"/>
      <c r="R409" s="1710"/>
      <c r="S409" s="1708">
        <f>'Part III-Sources of Funds'!S32</f>
        <v>0</v>
      </c>
      <c r="T409" s="1708">
        <f>'Part III-Sources of Funds'!T32</f>
        <v>0</v>
      </c>
    </row>
    <row r="410" spans="1:20" ht="13.5">
      <c r="A410" s="1647"/>
      <c r="B410" s="1654" t="s">
        <v>2156</v>
      </c>
      <c r="C410" s="1647"/>
      <c r="D410" s="1647"/>
      <c r="E410" s="1647"/>
      <c r="F410" s="1647"/>
      <c r="G410" s="1647"/>
      <c r="H410" s="1647"/>
      <c r="I410" s="1647"/>
      <c r="J410" s="1710"/>
      <c r="K410" s="1710"/>
      <c r="L410" s="1779">
        <f>L408-L409</f>
        <v>328243.02333358675</v>
      </c>
      <c r="M410" s="1779"/>
      <c r="N410" s="1658"/>
      <c r="O410" s="1710"/>
      <c r="P410" s="1710"/>
      <c r="Q410" s="1710"/>
      <c r="R410" s="1710"/>
      <c r="S410" s="1708">
        <f>'Part III-Sources of Funds'!S33</f>
        <v>0</v>
      </c>
      <c r="T410" s="1708">
        <f>'Part III-Sources of Funds'!T33</f>
        <v>0</v>
      </c>
    </row>
    <row r="411" spans="1:20" ht="13.5">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5">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2098</v>
      </c>
      <c r="L413" s="1651" t="s">
        <v>1295</v>
      </c>
      <c r="M413" s="1651" t="s">
        <v>1300</v>
      </c>
      <c r="N413" s="1710"/>
      <c r="O413" s="1710"/>
      <c r="P413" s="1658" t="s">
        <v>34</v>
      </c>
      <c r="Q413" s="1658"/>
      <c r="R413" s="1710"/>
      <c r="S413" s="1710"/>
      <c r="T413" s="1710"/>
    </row>
    <row r="414" spans="1:20" ht="13.5">
      <c r="A414" s="1647"/>
      <c r="B414" s="1654" t="s">
        <v>1870</v>
      </c>
      <c r="C414" s="1647"/>
      <c r="D414" s="1647"/>
      <c r="E414" s="1647" t="s">
        <v>1297</v>
      </c>
      <c r="F414" s="1647"/>
      <c r="G414" s="1647"/>
      <c r="H414" s="1647"/>
      <c r="I414" s="1647" t="s">
        <v>4958</v>
      </c>
      <c r="J414" s="1647"/>
      <c r="K414" s="1651" t="s">
        <v>1806</v>
      </c>
      <c r="L414" s="1651" t="s">
        <v>2213</v>
      </c>
      <c r="M414" s="1651" t="s">
        <v>2213</v>
      </c>
      <c r="N414" s="1647" t="s">
        <v>74</v>
      </c>
      <c r="O414" s="1647"/>
      <c r="P414" s="1658"/>
      <c r="Q414" s="1658"/>
      <c r="R414" s="1710"/>
      <c r="S414" s="2111" t="s">
        <v>2682</v>
      </c>
      <c r="T414" s="2111"/>
    </row>
    <row r="415" spans="1:20" ht="63.75">
      <c r="A415" s="1647"/>
      <c r="B415" s="1647" t="s">
        <v>2613</v>
      </c>
      <c r="C415" s="1647"/>
      <c r="D415" s="1647"/>
      <c r="E415" s="1703" t="str">
        <f>'Part III-Sources of Funds'!E38</f>
        <v>ORIX Real Estate Capital Private Plcmnt Bond</v>
      </c>
      <c r="F415" s="1703">
        <f>'Part III-Sources of Funds'!F38</f>
        <v>0</v>
      </c>
      <c r="G415" s="1703">
        <f>'Part III-Sources of Funds'!G38</f>
        <v>0</v>
      </c>
      <c r="H415" s="1703">
        <f>'Part III-Sources of Funds'!H38</f>
        <v>0</v>
      </c>
      <c r="I415" s="1779">
        <f>'Part III-Sources of Funds'!I38</f>
        <v>10392870</v>
      </c>
      <c r="J415" s="1647">
        <f>'Part III-Sources of Funds'!J38</f>
        <v>0</v>
      </c>
      <c r="K415" s="1716">
        <f>'Part III-Sources of Funds'!K38</f>
        <v>4.3499999999999997E-2</v>
      </c>
      <c r="L415" s="1651">
        <f>'Part III-Sources of Funds'!L38</f>
        <v>18</v>
      </c>
      <c r="M415" s="1651">
        <f>'Part III-Sources of Funds'!M38</f>
        <v>40</v>
      </c>
      <c r="N415" s="1647" t="str">
        <f>'Part III-Sources of Funds'!N38</f>
        <v>Amortizing</v>
      </c>
      <c r="O415" s="1647">
        <f>'Part III-Sources of Funds'!O38</f>
        <v>0</v>
      </c>
      <c r="P415" s="1717">
        <f>'Part III-Sources of Funds'!P38</f>
        <v>548701.65721672866</v>
      </c>
      <c r="Q415" s="1717">
        <f>'Part III-Sources of Funds'!Q38</f>
        <v>0</v>
      </c>
      <c r="R415" s="1710"/>
      <c r="S415" s="1708">
        <f>'Part III-Sources of Funds'!S38</f>
        <v>0</v>
      </c>
      <c r="T415" s="1708">
        <f>'Part III-Sources of Funds'!T38</f>
        <v>0</v>
      </c>
    </row>
    <row r="416" spans="1:20" ht="38.25">
      <c r="A416" s="1647"/>
      <c r="B416" s="1647" t="s">
        <v>2614</v>
      </c>
      <c r="C416" s="1647"/>
      <c r="D416" s="1647"/>
      <c r="E416" s="1703" t="str">
        <f>'Part III-Sources of Funds'!E39</f>
        <v>BeltLine TAD Cash Flow Loan</v>
      </c>
      <c r="F416" s="1703">
        <f>'Part III-Sources of Funds'!F39</f>
        <v>0</v>
      </c>
      <c r="G416" s="1703">
        <f>'Part III-Sources of Funds'!G39</f>
        <v>0</v>
      </c>
      <c r="H416" s="1703">
        <f>'Part III-Sources of Funds'!H39</f>
        <v>0</v>
      </c>
      <c r="I416" s="1779">
        <f>'Part III-Sources of Funds'!I39</f>
        <v>2000000</v>
      </c>
      <c r="J416" s="1647">
        <f>'Part III-Sources of Funds'!J39</f>
        <v>0</v>
      </c>
      <c r="K416" s="1716">
        <f>'Part III-Sources of Funds'!K39</f>
        <v>0.01</v>
      </c>
      <c r="L416" s="1651">
        <f>'Part III-Sources of Funds'!L39</f>
        <v>18</v>
      </c>
      <c r="M416" s="1651">
        <f>'Part III-Sources of Funds'!M39</f>
        <v>40</v>
      </c>
      <c r="N416" s="1647" t="str">
        <f>'Part III-Sources of Funds'!N39</f>
        <v>Cash Flow</v>
      </c>
      <c r="O416" s="1647">
        <f>'Part III-Sources of Funds'!O39</f>
        <v>0</v>
      </c>
      <c r="P416" s="1717">
        <f>'Part III-Sources of Funds'!P39</f>
        <v>0</v>
      </c>
      <c r="Q416" s="1717">
        <f>'Part III-Sources of Funds'!Q39</f>
        <v>0</v>
      </c>
      <c r="R416" s="1710"/>
      <c r="S416" s="1708">
        <f>'Part III-Sources of Funds'!S39</f>
        <v>0</v>
      </c>
      <c r="T416" s="1708">
        <f>'Part III-Sources of Funds'!T39</f>
        <v>0</v>
      </c>
    </row>
    <row r="417" spans="1:20" ht="38.25">
      <c r="A417" s="1647"/>
      <c r="B417" s="1647" t="s">
        <v>2615</v>
      </c>
      <c r="C417" s="1647"/>
      <c r="D417" s="1647"/>
      <c r="E417" s="1703" t="str">
        <f>'Part III-Sources of Funds'!E40</f>
        <v>HomeFirst Cash Flow Loan</v>
      </c>
      <c r="F417" s="1703">
        <f>'Part III-Sources of Funds'!F40</f>
        <v>0</v>
      </c>
      <c r="G417" s="1703">
        <f>'Part III-Sources of Funds'!G40</f>
        <v>0</v>
      </c>
      <c r="H417" s="1703">
        <f>'Part III-Sources of Funds'!H40</f>
        <v>0</v>
      </c>
      <c r="I417" s="1779">
        <f>'Part III-Sources of Funds'!I40</f>
        <v>720000</v>
      </c>
      <c r="J417" s="1647">
        <f>'Part III-Sources of Funds'!J40</f>
        <v>0</v>
      </c>
      <c r="K417" s="1716">
        <f>'Part III-Sources of Funds'!K40</f>
        <v>0</v>
      </c>
      <c r="L417" s="1651">
        <f>'Part III-Sources of Funds'!L40</f>
        <v>18</v>
      </c>
      <c r="M417" s="1651">
        <f>'Part III-Sources of Funds'!M40</f>
        <v>40</v>
      </c>
      <c r="N417" s="1647" t="str">
        <f>'Part III-Sources of Funds'!N40</f>
        <v>Cash Flow</v>
      </c>
      <c r="O417" s="1647">
        <f>'Part III-Sources of Funds'!O40</f>
        <v>0</v>
      </c>
      <c r="P417" s="1717">
        <f>'Part III-Sources of Funds'!P40</f>
        <v>0</v>
      </c>
      <c r="Q417" s="1717">
        <f>'Part III-Sources of Funds'!Q40</f>
        <v>0</v>
      </c>
      <c r="R417" s="1710"/>
      <c r="S417" s="1708">
        <f>'Part III-Sources of Funds'!S40</f>
        <v>0</v>
      </c>
      <c r="T417" s="1708">
        <f>'Part III-Sources of Funds'!T40</f>
        <v>0</v>
      </c>
    </row>
    <row r="418" spans="1:20" ht="13.5">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5">
      <c r="A419" s="1647"/>
      <c r="B419" s="1647" t="s">
        <v>2748</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38.25">
      <c r="A420" s="1647"/>
      <c r="B420" s="1647" t="s">
        <v>228</v>
      </c>
      <c r="C420" s="1647"/>
      <c r="D420" s="1718">
        <f>'Part III-Sources of Funds'!D43</f>
        <v>9.2766521612260691E-2</v>
      </c>
      <c r="E420" s="1703" t="str">
        <f>'Part III-Sources of Funds'!E43</f>
        <v>Prestwick Development Company</v>
      </c>
      <c r="F420" s="1703">
        <f>'Part III-Sources of Funds'!F43</f>
        <v>0</v>
      </c>
      <c r="G420" s="1703">
        <f>'Part III-Sources of Funds'!G43</f>
        <v>0</v>
      </c>
      <c r="H420" s="1703">
        <f>'Part III-Sources of Funds'!H43</f>
        <v>0</v>
      </c>
      <c r="I420" s="1766">
        <f>'Part III-Sources of Funds'!I43</f>
        <v>292478</v>
      </c>
      <c r="J420" s="1766">
        <f>'Part III-Sources of Funds'!J43</f>
        <v>0</v>
      </c>
      <c r="K420" s="1716">
        <f>'Part III-Sources of Funds'!K43</f>
        <v>0</v>
      </c>
      <c r="L420" s="1651">
        <f>'Part III-Sources of Funds'!L43</f>
        <v>0</v>
      </c>
      <c r="M420" s="1651">
        <f>'Part III-Sources of Funds'!M43</f>
        <v>0</v>
      </c>
      <c r="N420" s="1647">
        <f>'Part III-Sources of Funds'!N43</f>
        <v>0</v>
      </c>
      <c r="O420" s="1647">
        <f>'Part III-Sources of Funds'!O43</f>
        <v>0</v>
      </c>
      <c r="P420" s="1717" t="str">
        <f>'Part III-Sources of Funds'!P43</f>
        <v/>
      </c>
      <c r="Q420" s="1717">
        <f>'Part III-Sources of Funds'!Q43</f>
        <v>0</v>
      </c>
      <c r="R420" s="1710"/>
      <c r="S420" s="1708">
        <f>'Part III-Sources of Funds'!S43</f>
        <v>0</v>
      </c>
      <c r="T420" s="1708">
        <f>'Part III-Sources of Funds'!T43</f>
        <v>0</v>
      </c>
    </row>
    <row r="421" spans="1:20" ht="13.5">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5">
      <c r="A422" s="1647"/>
      <c r="B422" s="1710" t="s">
        <v>4183</v>
      </c>
      <c r="C422" s="1647"/>
      <c r="D422" s="1710"/>
      <c r="E422" s="1710" t="s">
        <v>4085</v>
      </c>
      <c r="F422" s="1719" t="e">
        <f>'Part III-Sources of Funds'!F45</f>
        <v>#N/A</v>
      </c>
      <c r="G422" s="1710">
        <f>'Part III-Sources of Funds'!G45</f>
        <v>0</v>
      </c>
      <c r="H422" s="1711" t="s">
        <v>4182</v>
      </c>
      <c r="I422" s="1719" t="e">
        <f>'Part III-Sources of Funds'!I45</f>
        <v>#N/A</v>
      </c>
      <c r="J422" s="1710">
        <f>'Part III-Sources of Funds'!J45</f>
        <v>0</v>
      </c>
      <c r="K422" s="1711" t="s">
        <v>4184</v>
      </c>
      <c r="L422" s="1720" t="e">
        <f>'Part III-Sources of Funds'!L45</f>
        <v>#N/A</v>
      </c>
      <c r="M422" s="1720">
        <f>'Part III-Sources of Funds'!M45</f>
        <v>0</v>
      </c>
      <c r="N422" s="1717" t="s">
        <v>4970</v>
      </c>
      <c r="O422" s="1717"/>
      <c r="P422" s="1766">
        <f>'Part III-Sources of Funds'!P45</f>
        <v>0.40666565671563148</v>
      </c>
      <c r="Q422" s="1766">
        <f>'Part III-Sources of Funds'!Q45</f>
        <v>0</v>
      </c>
      <c r="R422" s="1710"/>
      <c r="S422" s="1708"/>
      <c r="T422" s="1708"/>
    </row>
    <row r="423" spans="1:20" ht="13.5">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5">
      <c r="A424" s="1647"/>
      <c r="B424" s="1647" t="s">
        <v>2214</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5">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38.25">
      <c r="A426" s="1647"/>
      <c r="B426" s="1647" t="s">
        <v>802</v>
      </c>
      <c r="C426" s="1647"/>
      <c r="D426" s="1647"/>
      <c r="E426" s="1703" t="str">
        <f>'Part III-Sources of Funds'!E49</f>
        <v>SunTrust Community Capital</v>
      </c>
      <c r="F426" s="1703">
        <f>'Part III-Sources of Funds'!F49</f>
        <v>0</v>
      </c>
      <c r="G426" s="1703">
        <f>'Part III-Sources of Funds'!G49</f>
        <v>0</v>
      </c>
      <c r="H426" s="1703">
        <f>'Part III-Sources of Funds'!H49</f>
        <v>0</v>
      </c>
      <c r="I426" s="1779">
        <f>'Part III-Sources of Funds'!I49</f>
        <v>11648008.221190719</v>
      </c>
      <c r="J426" s="1779">
        <f>'Part III-Sources of Funds'!J49</f>
        <v>0</v>
      </c>
      <c r="K426" s="1710"/>
      <c r="L426" s="1723">
        <f>'Part IV-A-Uses of Funds'!$J$175*10*'Part IV-A-Uses of Funds'!$N$168</f>
        <v>11649168</v>
      </c>
      <c r="M426" s="1723"/>
      <c r="N426" s="1724">
        <f>I426-L426</f>
        <v>-1159.7788092810661</v>
      </c>
      <c r="O426" s="1724"/>
      <c r="P426" s="1725" t="s">
        <v>2559</v>
      </c>
      <c r="Q426" s="1647"/>
      <c r="R426" s="1710"/>
      <c r="S426" s="1708">
        <f>'Part III-Sources of Funds'!S49</f>
        <v>0</v>
      </c>
      <c r="T426" s="1708">
        <f>'Part III-Sources of Funds'!T49</f>
        <v>0</v>
      </c>
    </row>
    <row r="427" spans="1:20" ht="38.25">
      <c r="A427" s="1647"/>
      <c r="B427" s="1647" t="s">
        <v>803</v>
      </c>
      <c r="C427" s="1647"/>
      <c r="D427" s="1647"/>
      <c r="E427" s="1703" t="str">
        <f>'Part III-Sources of Funds'!E50</f>
        <v>SunTrust Community Capital</v>
      </c>
      <c r="F427" s="1703">
        <f>'Part III-Sources of Funds'!F50</f>
        <v>0</v>
      </c>
      <c r="G427" s="1703">
        <f>'Part III-Sources of Funds'!G50</f>
        <v>0</v>
      </c>
      <c r="H427" s="1703">
        <f>'Part III-Sources of Funds'!H50</f>
        <v>0</v>
      </c>
      <c r="I427" s="1779">
        <f>'Part III-Sources of Funds'!I50</f>
        <v>7644769.8721436234</v>
      </c>
      <c r="J427" s="1779">
        <f>'Part III-Sources of Funds'!J50</f>
        <v>0</v>
      </c>
      <c r="K427" s="1710"/>
      <c r="L427" s="1723">
        <f>'Part IV-A-Uses of Funds'!$J$175*10*'Part IV-A-Uses of Funds'!$Q$168</f>
        <v>7644766.5</v>
      </c>
      <c r="M427" s="1723"/>
      <c r="N427" s="1724">
        <f>I427-L427</f>
        <v>3.372143623419106</v>
      </c>
      <c r="O427" s="1724"/>
      <c r="P427" s="1726">
        <f>I426/I436</f>
        <v>0.35622861209466294</v>
      </c>
      <c r="Q427" s="1647"/>
      <c r="R427" s="1710"/>
      <c r="S427" s="1708">
        <f>'Part III-Sources of Funds'!S50</f>
        <v>0</v>
      </c>
      <c r="T427" s="1708">
        <f>'Part III-Sources of Funds'!T50</f>
        <v>0</v>
      </c>
    </row>
    <row r="428" spans="1:20" ht="13.5">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0.23379840652777534</v>
      </c>
      <c r="Q428" s="1647"/>
      <c r="R428" s="1710"/>
      <c r="S428" s="1708">
        <f>'Part III-Sources of Funds'!S51</f>
        <v>0</v>
      </c>
      <c r="T428" s="1708">
        <f>'Part III-Sources of Funds'!T51</f>
        <v>0</v>
      </c>
    </row>
    <row r="429" spans="1:20" ht="13.5">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0.59002701862243834</v>
      </c>
      <c r="Q429" s="1647"/>
      <c r="R429" s="1710"/>
      <c r="S429" s="1708">
        <f>'Part III-Sources of Funds'!S52</f>
        <v>0</v>
      </c>
      <c r="T429" s="1708">
        <f>'Part III-Sources of Funds'!T52</f>
        <v>0</v>
      </c>
    </row>
    <row r="430" spans="1:20" ht="13.5">
      <c r="A430" s="1647"/>
      <c r="B430" s="1647" t="s">
        <v>1868</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5">
      <c r="A431" s="1647"/>
      <c r="B431" s="1647" t="s">
        <v>1869</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13.5">
      <c r="A432" s="1647"/>
      <c r="B432" s="1647" t="s">
        <v>741</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5">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5">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5">
      <c r="A435" s="1647"/>
      <c r="B435" s="1654" t="s">
        <v>2215</v>
      </c>
      <c r="C435" s="1647"/>
      <c r="D435" s="1647"/>
      <c r="E435" s="1647"/>
      <c r="F435" s="1647"/>
      <c r="G435" s="1647"/>
      <c r="H435" s="1710"/>
      <c r="I435" s="1717">
        <f>SUM(I415:J420)+SUM(I424:J434)</f>
        <v>32698126.093334343</v>
      </c>
      <c r="J435" s="1717"/>
      <c r="K435" s="1647"/>
      <c r="L435" s="1651"/>
      <c r="M435" s="1703"/>
      <c r="N435" s="1703"/>
      <c r="O435" s="1703"/>
      <c r="P435" s="1703"/>
      <c r="Q435" s="1647"/>
      <c r="R435" s="1710"/>
      <c r="S435" s="1708">
        <f>'Part III-Sources of Funds'!S58</f>
        <v>0</v>
      </c>
      <c r="T435" s="1708">
        <f>'Part III-Sources of Funds'!T58</f>
        <v>0</v>
      </c>
    </row>
    <row r="436" spans="1:24" ht="13.5">
      <c r="A436" s="1647"/>
      <c r="B436" s="1654" t="s">
        <v>2216</v>
      </c>
      <c r="C436" s="1647"/>
      <c r="D436" s="1647"/>
      <c r="E436" s="1647"/>
      <c r="F436" s="1647"/>
      <c r="G436" s="1647"/>
      <c r="H436" s="1710"/>
      <c r="I436" s="1717">
        <f>'Part IV-A-Uses of Funds'!$G$132</f>
        <v>32698126.5</v>
      </c>
      <c r="J436" s="1717"/>
      <c r="K436" s="1647"/>
      <c r="L436" s="1651"/>
      <c r="M436" s="1703"/>
      <c r="N436" s="1703"/>
      <c r="O436" s="1703"/>
      <c r="P436" s="1703"/>
      <c r="Q436" s="1647"/>
      <c r="R436" s="1710"/>
      <c r="S436" s="1708">
        <f>'Part III-Sources of Funds'!S59</f>
        <v>0</v>
      </c>
      <c r="T436" s="1708">
        <f>'Part III-Sources of Funds'!T59</f>
        <v>0</v>
      </c>
    </row>
    <row r="437" spans="1:24" ht="13.5">
      <c r="A437" s="1647"/>
      <c r="B437" s="1654" t="s">
        <v>1525</v>
      </c>
      <c r="C437" s="1647"/>
      <c r="D437" s="1647"/>
      <c r="E437" s="1647"/>
      <c r="F437" s="1647"/>
      <c r="G437" s="1647"/>
      <c r="H437" s="1710"/>
      <c r="I437" s="1779">
        <f>I435-I436</f>
        <v>-0.40666565671563148</v>
      </c>
      <c r="J437" s="1779"/>
      <c r="K437" s="1647"/>
      <c r="L437" s="1651"/>
      <c r="M437" s="1703"/>
      <c r="N437" s="1703"/>
      <c r="O437" s="1703"/>
      <c r="P437" s="1703"/>
      <c r="Q437" s="1647"/>
      <c r="R437" s="1710"/>
      <c r="S437" s="1708">
        <f>'Part III-Sources of Funds'!S60</f>
        <v>0</v>
      </c>
      <c r="T437" s="1708">
        <f>'Part III-Sources of Funds'!T60</f>
        <v>0</v>
      </c>
    </row>
    <row r="438" spans="1:24">
      <c r="A438" s="1647" t="s">
        <v>3467</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5">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5">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t="str">
        <f>'Part III-Sources of Funds'!A64</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2692</v>
      </c>
      <c r="T441" s="2727"/>
    </row>
    <row r="446" spans="1:24">
      <c r="A446" s="1647" t="str">
        <f>CONCATENATE("PART FOUR -  USES OF FUNDS","  -  ",'Part I-Project Information'!$O$6," ",'Part I-Project Information'!$F$34,", ",'Part I-Project Information'!F483,", ",'Part I-Project Information'!J484," County")</f>
        <v>PART FOUR -  USES OF FUNDS  -  2019-5 55 Milton,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55 Milton,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6.5">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4.25">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2682</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1999</v>
      </c>
      <c r="C453" s="1647"/>
      <c r="D453" s="1647"/>
      <c r="E453" s="1647"/>
      <c r="F453" s="1647"/>
      <c r="G453" s="1729">
        <f>'Part IV-A-Uses of Funds'!G8</f>
        <v>22000</v>
      </c>
      <c r="H453" s="1729"/>
      <c r="I453" s="1647"/>
      <c r="J453" s="1729">
        <f>'Part IV-A-Uses of Funds'!J8</f>
        <v>22000</v>
      </c>
      <c r="K453" s="1729"/>
      <c r="L453" s="1664"/>
      <c r="M453" s="1729">
        <f>'Part IV-A-Uses of Funds'!M8</f>
        <v>0</v>
      </c>
      <c r="N453" s="1729"/>
      <c r="O453" s="1647"/>
      <c r="P453" s="1729">
        <f>'Part IV-A-Uses of Funds'!P8</f>
        <v>0</v>
      </c>
      <c r="Q453" s="1729"/>
      <c r="R453" s="1647"/>
      <c r="S453" s="1729">
        <f>'Part IV-A-Uses of Funds'!S8</f>
        <v>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13000</v>
      </c>
      <c r="H454" s="1729"/>
      <c r="I454" s="1647"/>
      <c r="J454" s="1729">
        <f>'Part IV-A-Uses of Funds'!J9</f>
        <v>13000</v>
      </c>
      <c r="K454" s="1729"/>
      <c r="L454" s="1664"/>
      <c r="M454" s="1729">
        <f>'Part IV-A-Uses of Funds'!M9</f>
        <v>0</v>
      </c>
      <c r="N454" s="1729"/>
      <c r="O454" s="1647"/>
      <c r="P454" s="1729">
        <f>'Part IV-A-Uses of Funds'!P9</f>
        <v>0</v>
      </c>
      <c r="Q454" s="1729"/>
      <c r="R454" s="1647"/>
      <c r="S454" s="1729">
        <f>'Part IV-A-Uses of Funds'!S9</f>
        <v>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87100</v>
      </c>
      <c r="H455" s="1729"/>
      <c r="I455" s="1647"/>
      <c r="J455" s="1729">
        <f>'Part IV-A-Uses of Funds'!J10</f>
        <v>87100</v>
      </c>
      <c r="K455" s="1729"/>
      <c r="L455" s="1664"/>
      <c r="M455" s="1729">
        <f>'Part IV-A-Uses of Funds'!M10</f>
        <v>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16200</v>
      </c>
      <c r="H456" s="1729"/>
      <c r="I456" s="1647"/>
      <c r="J456" s="1729">
        <f>'Part IV-A-Uses of Funds'!J11</f>
        <v>16200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2499</v>
      </c>
      <c r="C457" s="1647"/>
      <c r="D457" s="1647"/>
      <c r="E457" s="1647"/>
      <c r="F457" s="1647"/>
      <c r="G457" s="1729">
        <f>'Part IV-A-Uses of Funds'!G12</f>
        <v>7000</v>
      </c>
      <c r="H457" s="1729"/>
      <c r="I457" s="1647"/>
      <c r="J457" s="1729">
        <f>'Part IV-A-Uses of Funds'!J12</f>
        <v>7000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741</v>
      </c>
      <c r="C459" s="1659" t="str">
        <f>'Part IV-A-Uses of Funds'!C14</f>
        <v>&lt;&lt; Enter description here; provide detail &amp; justification in tab Part IV-b &gt;&gt;</v>
      </c>
      <c r="D459" s="1659"/>
      <c r="E459" s="1659"/>
      <c r="F459" s="1659"/>
      <c r="G459" s="1729">
        <f>'Part IV-A-Uses of Funds'!G14</f>
        <v>0</v>
      </c>
      <c r="H459" s="1729"/>
      <c r="I459" s="1647"/>
      <c r="J459" s="1729">
        <f>'Part IV-A-Uses of Funds'!J14</f>
        <v>0</v>
      </c>
      <c r="K459" s="1729"/>
      <c r="L459" s="1664"/>
      <c r="M459" s="1729">
        <f>'Part IV-A-Uses of Funds'!M14</f>
        <v>0</v>
      </c>
      <c r="N459" s="1729"/>
      <c r="O459" s="1647"/>
      <c r="P459" s="1729">
        <f>'Part IV-A-Uses of Funds'!P14</f>
        <v>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741</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145300</v>
      </c>
      <c r="H462" s="1729"/>
      <c r="I462" s="1647"/>
      <c r="J462" s="1729">
        <f>SUM(J453:K461)</f>
        <v>145300</v>
      </c>
      <c r="K462" s="1665"/>
      <c r="L462" s="1664"/>
      <c r="M462" s="1729">
        <f>SUM(M453:N461)</f>
        <v>0</v>
      </c>
      <c r="N462" s="1729"/>
      <c r="O462" s="1647"/>
      <c r="P462" s="1729">
        <f>SUM(P453:Q461)</f>
        <v>0</v>
      </c>
      <c r="Q462" s="1729"/>
      <c r="R462" s="1647"/>
      <c r="S462" s="1729">
        <f>SUM(S453:T461)</f>
        <v>0</v>
      </c>
      <c r="T462" s="1729"/>
      <c r="U462" s="1647"/>
      <c r="V462" s="1735">
        <f>SUM(V453:V461)</f>
        <v>0</v>
      </c>
      <c r="W462" s="1485">
        <f>'Part IV-A-Uses of Funds'!W17</f>
        <v>0</v>
      </c>
      <c r="X462" s="1485"/>
    </row>
    <row r="463" spans="1:24">
      <c r="A463" s="1647"/>
      <c r="B463" s="1647" t="s">
        <v>2196</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2197</v>
      </c>
      <c r="C464" s="1647"/>
      <c r="D464" s="1647"/>
      <c r="E464" s="1694" t="s">
        <v>3726</v>
      </c>
      <c r="F464" s="1736">
        <f>IF('Part I-Project Information'!$O$37="","",G464/'Part I-Project Information'!$O$37)</f>
        <v>291545.18950437318</v>
      </c>
      <c r="G464" s="1729">
        <f>'Part IV-A-Uses of Funds'!G19</f>
        <v>1000000</v>
      </c>
      <c r="H464" s="1729"/>
      <c r="I464" s="1647"/>
      <c r="J464" s="1664"/>
      <c r="K464" s="1729"/>
      <c r="L464" s="1664"/>
      <c r="M464" s="1664"/>
      <c r="N464" s="1729"/>
      <c r="O464" s="1647"/>
      <c r="P464" s="1664"/>
      <c r="Q464" s="1729"/>
      <c r="R464" s="1647"/>
      <c r="S464" s="1729">
        <f>'Part IV-A-Uses of Funds'!S19</f>
        <v>1000000</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200000</v>
      </c>
      <c r="H465" s="1729"/>
      <c r="I465" s="1647"/>
      <c r="J465" s="1664"/>
      <c r="K465" s="1729"/>
      <c r="L465" s="1664"/>
      <c r="M465" s="1664"/>
      <c r="N465" s="1729"/>
      <c r="O465" s="1647"/>
      <c r="P465" s="1664"/>
      <c r="Q465" s="1729"/>
      <c r="R465" s="1647"/>
      <c r="S465" s="1729">
        <f>'Part IV-A-Uses of Funds'!S20</f>
        <v>200000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0</v>
      </c>
      <c r="H467" s="1729"/>
      <c r="I467" s="1647"/>
      <c r="J467" s="1664"/>
      <c r="K467" s="1729"/>
      <c r="L467" s="1664"/>
      <c r="M467" s="1729">
        <f>'Part IV-A-Uses of Funds'!M22</f>
        <v>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1200000</v>
      </c>
      <c r="H468" s="1729"/>
      <c r="I468" s="1647"/>
      <c r="J468" s="1664"/>
      <c r="K468" s="1729"/>
      <c r="L468" s="1664"/>
      <c r="M468" s="1729">
        <f>SUM(M466:N467)</f>
        <v>0</v>
      </c>
      <c r="N468" s="1729"/>
      <c r="O468" s="1647"/>
      <c r="P468" s="1664"/>
      <c r="Q468" s="1729"/>
      <c r="R468" s="1647"/>
      <c r="S468" s="1729">
        <f>SUM(S464:T467)</f>
        <v>1200000</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3726</v>
      </c>
      <c r="F470" s="1736">
        <f>IF('Part I-Project Information'!$O$37="","",G470/'Part I-Project Information'!$O$37)</f>
        <v>29154.518950437316</v>
      </c>
      <c r="G470" s="1729">
        <f>'Part IV-A-Uses of Funds'!G25</f>
        <v>100000</v>
      </c>
      <c r="H470" s="1729"/>
      <c r="I470" s="1647"/>
      <c r="J470" s="1729">
        <f>'Part IV-A-Uses of Funds'!J25</f>
        <v>50000</v>
      </c>
      <c r="K470" s="1729"/>
      <c r="L470" s="1664"/>
      <c r="M470" s="1729">
        <f>'Part IV-A-Uses of Funds'!M25</f>
        <v>0</v>
      </c>
      <c r="N470" s="1729"/>
      <c r="O470" s="1647"/>
      <c r="P470" s="1729">
        <f>'Part IV-A-Uses of Funds'!P25</f>
        <v>0</v>
      </c>
      <c r="Q470" s="1729"/>
      <c r="R470" s="1647"/>
      <c r="S470" s="1729">
        <f>'Part IV-A-Uses of Funds'!S25</f>
        <v>50000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100000</v>
      </c>
      <c r="H472" s="1729"/>
      <c r="I472" s="1647"/>
      <c r="J472" s="1729">
        <f>SUM(J470:K471)</f>
        <v>50000</v>
      </c>
      <c r="K472" s="1729"/>
      <c r="L472" s="1664"/>
      <c r="M472" s="1729">
        <f>M470</f>
        <v>0</v>
      </c>
      <c r="N472" s="1729"/>
      <c r="O472" s="1647"/>
      <c r="P472" s="1729">
        <f>P470</f>
        <v>0</v>
      </c>
      <c r="Q472" s="1729"/>
      <c r="R472" s="1647"/>
      <c r="S472" s="1729">
        <f>SUM(S470:T471)</f>
        <v>50000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19843628</v>
      </c>
      <c r="H474" s="1729"/>
      <c r="I474" s="1647"/>
      <c r="J474" s="1729">
        <f>'Part IV-A-Uses of Funds'!J29</f>
        <v>19828628</v>
      </c>
      <c r="K474" s="1729"/>
      <c r="L474" s="1664"/>
      <c r="M474" s="1729">
        <f>'Part IV-A-Uses of Funds'!M29</f>
        <v>0</v>
      </c>
      <c r="N474" s="1729"/>
      <c r="O474" s="1647"/>
      <c r="P474" s="1729">
        <f>'Part IV-A-Uses of Funds'!P29</f>
        <v>0</v>
      </c>
      <c r="Q474" s="1729"/>
      <c r="R474" s="1647"/>
      <c r="S474" s="1729">
        <f>'Part IV-A-Uses of Funds'!S29</f>
        <v>15000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0</v>
      </c>
      <c r="H475" s="1729"/>
      <c r="I475" s="1647"/>
      <c r="J475" s="1729">
        <f>'Part IV-A-Uses of Funds'!J30</f>
        <v>0</v>
      </c>
      <c r="K475" s="1729"/>
      <c r="L475" s="1664"/>
      <c r="M475" s="1729">
        <f>'Part IV-A-Uses of Funds'!M30</f>
        <v>0</v>
      </c>
      <c r="N475" s="1729"/>
      <c r="O475" s="1647"/>
      <c r="P475" s="1729">
        <f>'Part IV-A-Uses of Funds'!P30</f>
        <v>0</v>
      </c>
      <c r="Q475" s="1729"/>
      <c r="R475" s="1647"/>
      <c r="S475" s="1729">
        <f>'Part IV-A-Uses of Funds'!S30</f>
        <v>0</v>
      </c>
      <c r="T475" s="1729"/>
      <c r="U475" s="1647"/>
      <c r="V475" s="1735">
        <f>'Part IV-A-Uses of Funds'!V30</f>
        <v>0</v>
      </c>
      <c r="W475" s="1485">
        <f>'Part IV-A-Uses of Funds'!W30</f>
        <v>0</v>
      </c>
      <c r="X475" s="1485"/>
    </row>
    <row r="476" spans="1:24">
      <c r="A476" s="1647"/>
      <c r="B476" s="1647" t="s">
        <v>2779</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2778</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4"/>
      <c r="D478" s="2734"/>
      <c r="E478" s="2735"/>
      <c r="F478" s="1761" t="s">
        <v>191</v>
      </c>
      <c r="G478" s="1729">
        <f>SUM(G474:H477)</f>
        <v>19843628</v>
      </c>
      <c r="H478" s="1729"/>
      <c r="I478" s="1647"/>
      <c r="J478" s="1729">
        <f>SUM(J474:K477)</f>
        <v>19828628</v>
      </c>
      <c r="K478" s="1729"/>
      <c r="L478" s="1664"/>
      <c r="M478" s="1729">
        <f>SUM(M474:N477)</f>
        <v>0</v>
      </c>
      <c r="N478" s="1729"/>
      <c r="O478" s="1647"/>
      <c r="P478" s="1729">
        <f>SUM(P474:Q477)</f>
        <v>0</v>
      </c>
      <c r="Q478" s="1729"/>
      <c r="R478" s="1647"/>
      <c r="S478" s="1729">
        <f>SUM(S474:T477)</f>
        <v>15000</v>
      </c>
      <c r="T478" s="1729"/>
      <c r="U478" s="1647"/>
      <c r="V478" s="1735">
        <f>SUM(V474:V477)</f>
        <v>0</v>
      </c>
      <c r="W478" s="1485">
        <f>'Part IV-A-Uses of Funds'!W33</f>
        <v>0</v>
      </c>
      <c r="X478" s="1485"/>
    </row>
    <row r="479" spans="1:24" ht="13.5">
      <c r="A479" s="1647"/>
      <c r="B479" s="1647" t="s">
        <v>2342</v>
      </c>
      <c r="C479" s="1647"/>
      <c r="D479" s="1710" t="s">
        <v>3730</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5">
      <c r="A480" s="1647"/>
      <c r="B480" s="1647" t="s">
        <v>2343</v>
      </c>
      <c r="C480" s="1647"/>
      <c r="D480" s="1742">
        <f>'DCA Underwriting Assumptions'!$R$73</f>
        <v>0.06</v>
      </c>
      <c r="E480" s="1743">
        <f>D480*(G472+G478)</f>
        <v>1196617.68</v>
      </c>
      <c r="F480" s="1742">
        <f>IF(($G$27+$G$33)=0,0,G480/($G$27+$G$33))</f>
        <v>0</v>
      </c>
      <c r="G480" s="1729">
        <f>'Part IV-A-Uses of Funds'!G35</f>
        <v>1196617.5</v>
      </c>
      <c r="H480" s="1729"/>
      <c r="I480" s="1653"/>
      <c r="J480" s="1729">
        <f>'Part IV-A-Uses of Funds'!J35</f>
        <v>1196617.5</v>
      </c>
      <c r="K480" s="1729"/>
      <c r="L480" s="1664"/>
      <c r="M480" s="1729">
        <f>'Part IV-A-Uses of Funds'!M35</f>
        <v>0</v>
      </c>
      <c r="N480" s="1729"/>
      <c r="O480" s="1647"/>
      <c r="P480" s="1729">
        <f>'Part IV-A-Uses of Funds'!P35</f>
        <v>0</v>
      </c>
      <c r="Q480" s="1729"/>
      <c r="R480" s="1647"/>
      <c r="S480" s="1729">
        <f>'Part IV-A-Uses of Funds'!S35</f>
        <v>0</v>
      </c>
      <c r="T480" s="1729"/>
      <c r="U480" s="1647"/>
      <c r="V480" s="1735">
        <f>'Part IV-A-Uses of Funds'!V35</f>
        <v>0</v>
      </c>
      <c r="W480" s="1485">
        <f>'Part IV-A-Uses of Funds'!W35</f>
        <v>0</v>
      </c>
      <c r="X480" s="1485"/>
    </row>
    <row r="481" spans="1:24" ht="13.5">
      <c r="A481" s="1647"/>
      <c r="B481" s="1647" t="s">
        <v>2735</v>
      </c>
      <c r="C481" s="1647"/>
      <c r="D481" s="1742">
        <f>'DCA Underwriting Assumptions'!$R$74</f>
        <v>0.02</v>
      </c>
      <c r="E481" s="1743">
        <f>D481*(G472+G478)</f>
        <v>398872.56</v>
      </c>
      <c r="F481" s="1742">
        <f>IF(($G$27+$G$33)=0,0,G481/($G$27+$G$33))</f>
        <v>0</v>
      </c>
      <c r="G481" s="1729">
        <f>'Part IV-A-Uses of Funds'!G36</f>
        <v>398872.5</v>
      </c>
      <c r="H481" s="1729"/>
      <c r="I481" s="1653"/>
      <c r="J481" s="1729">
        <f>'Part IV-A-Uses of Funds'!J36</f>
        <v>398872.5</v>
      </c>
      <c r="K481" s="1729"/>
      <c r="L481" s="1664"/>
      <c r="M481" s="1729">
        <f>'Part IV-A-Uses of Funds'!M36</f>
        <v>0</v>
      </c>
      <c r="N481" s="1729"/>
      <c r="O481" s="1647"/>
      <c r="P481" s="1729">
        <f>'Part IV-A-Uses of Funds'!P36</f>
        <v>0</v>
      </c>
      <c r="Q481" s="1729"/>
      <c r="R481" s="1647"/>
      <c r="S481" s="1729">
        <f>'Part IV-A-Uses of Funds'!S36</f>
        <v>0</v>
      </c>
      <c r="T481" s="1729"/>
      <c r="U481" s="1647"/>
      <c r="V481" s="1735">
        <f>'Part IV-A-Uses of Funds'!V36</f>
        <v>0</v>
      </c>
      <c r="W481" s="1485">
        <f>'Part IV-A-Uses of Funds'!W36</f>
        <v>0</v>
      </c>
      <c r="X481" s="1485"/>
    </row>
    <row r="482" spans="1:24" ht="13.5">
      <c r="A482" s="1647"/>
      <c r="B482" s="1647" t="s">
        <v>2736</v>
      </c>
      <c r="C482" s="1647"/>
      <c r="D482" s="1742">
        <f>'DCA Underwriting Assumptions'!$R$75</f>
        <v>0.06</v>
      </c>
      <c r="E482" s="1743">
        <f>D482*(G472+G478)</f>
        <v>1196617.68</v>
      </c>
      <c r="F482" s="1742">
        <f>IF(($G$27+$G$33)=0,0,G482/($G$27+$G$33))</f>
        <v>0</v>
      </c>
      <c r="G482" s="1729">
        <f>'Part IV-A-Uses of Funds'!G37</f>
        <v>1196617.5</v>
      </c>
      <c r="H482" s="1729"/>
      <c r="I482" s="1653"/>
      <c r="J482" s="1729">
        <f>'Part IV-A-Uses of Funds'!J37</f>
        <v>1196617.5</v>
      </c>
      <c r="K482" s="1729"/>
      <c r="L482" s="1664"/>
      <c r="M482" s="1729">
        <f>'Part IV-A-Uses of Funds'!M37</f>
        <v>0</v>
      </c>
      <c r="N482" s="1729"/>
      <c r="O482" s="1647"/>
      <c r="P482" s="1729">
        <f>'Part IV-A-Uses of Funds'!P37</f>
        <v>0</v>
      </c>
      <c r="Q482" s="1729"/>
      <c r="R482" s="1647"/>
      <c r="S482" s="1729">
        <f>'Part IV-A-Uses of Funds'!S37</f>
        <v>0</v>
      </c>
      <c r="T482" s="1729"/>
      <c r="U482" s="1647"/>
      <c r="V482" s="1735">
        <f>'Part IV-A-Uses of Funds'!V37</f>
        <v>0</v>
      </c>
      <c r="W482" s="1485">
        <f>'Part IV-A-Uses of Funds'!W37</f>
        <v>0</v>
      </c>
      <c r="X482" s="1485"/>
    </row>
    <row r="483" spans="1:24" ht="13.5">
      <c r="A483" s="1647"/>
      <c r="B483" s="1652" t="s">
        <v>3731</v>
      </c>
      <c r="C483" s="1647"/>
      <c r="D483" s="2736">
        <f>SUM(D480:D482)</f>
        <v>0.14000000000000001</v>
      </c>
      <c r="E483" s="2737">
        <f>SUM(E480:E482)</f>
        <v>2792107.92</v>
      </c>
      <c r="F483" s="1761" t="s">
        <v>191</v>
      </c>
      <c r="G483" s="1729">
        <f>SUM(G480:H482)</f>
        <v>2792107.5</v>
      </c>
      <c r="H483" s="1729"/>
      <c r="I483" s="1647"/>
      <c r="J483" s="1729">
        <f>SUM(J480:K482)</f>
        <v>2792107.5</v>
      </c>
      <c r="K483" s="1729"/>
      <c r="L483" s="1664"/>
      <c r="M483" s="1729">
        <f>SUM(M480:N482)</f>
        <v>0</v>
      </c>
      <c r="N483" s="1729"/>
      <c r="O483" s="1647"/>
      <c r="P483" s="1729">
        <f>SUM(P480:Q482)</f>
        <v>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4504</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5146</v>
      </c>
      <c r="C488" s="1746"/>
      <c r="D488" s="1647"/>
      <c r="E488" s="1703" t="s">
        <v>2743</v>
      </c>
      <c r="F488" s="1747">
        <f>B489/'Part VI-Revenues &amp; Expenses'!$O$65</f>
        <v>145741.89423076922</v>
      </c>
      <c r="G488" s="1748" t="s">
        <v>4506</v>
      </c>
      <c r="H488" s="1647"/>
      <c r="I488" s="1647"/>
      <c r="J488" s="1749">
        <f>B489/'Part VI-Revenues &amp; Expenses'!$O$67</f>
        <v>145741.89423076922</v>
      </c>
      <c r="K488" s="1749"/>
      <c r="L488" s="1647"/>
      <c r="M488" s="1750" t="s">
        <v>1402</v>
      </c>
      <c r="N488" s="1750"/>
      <c r="O488" s="1647"/>
      <c r="P488" s="1749">
        <f>B489/'Part I-Project Information'!$P$75</f>
        <v>160.76519565555571</v>
      </c>
      <c r="Q488" s="1749"/>
      <c r="R488" s="1647"/>
      <c r="S488" s="1671" t="s">
        <v>2777</v>
      </c>
      <c r="T488" s="1671"/>
      <c r="U488" s="1647"/>
      <c r="V488" s="1735"/>
      <c r="W488" s="1485">
        <f>'Part IV-A-Uses of Funds'!W43</f>
        <v>0</v>
      </c>
      <c r="X488" s="1485"/>
    </row>
    <row r="489" spans="1:24">
      <c r="A489" s="1647"/>
      <c r="B489" s="1751">
        <f>G472+G478+G483+G486</f>
        <v>22735735.5</v>
      </c>
      <c r="C489" s="1751"/>
      <c r="D489" s="1647"/>
      <c r="E489" s="1703"/>
      <c r="F489" s="1747">
        <f>B489/'Part VI-Revenues &amp; Expenses'!$O$154</f>
        <v>167.88804994757129</v>
      </c>
      <c r="G489" s="1671" t="s">
        <v>4507</v>
      </c>
      <c r="H489" s="1647"/>
      <c r="I489" s="1647"/>
      <c r="J489" s="1749">
        <f>B489/'Part VI-Revenues &amp; Expenses'!$O$156</f>
        <v>167.88804994757129</v>
      </c>
      <c r="K489" s="1749"/>
      <c r="L489" s="1647"/>
      <c r="M489" s="1671" t="s">
        <v>2776</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4188</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5">
      <c r="A492" s="1653"/>
      <c r="B492" s="1647" t="s">
        <v>1960</v>
      </c>
      <c r="C492" s="1653"/>
      <c r="D492" s="1753" t="s">
        <v>4187</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1136786.7750000001</v>
      </c>
      <c r="F492" s="1755">
        <f>G492/B489</f>
        <v>5.0000009896314986E-2</v>
      </c>
      <c r="G492" s="1729">
        <f>'Part IV-A-Uses of Funds'!G47</f>
        <v>1136787</v>
      </c>
      <c r="H492" s="1729"/>
      <c r="I492" s="1647"/>
      <c r="J492" s="1729">
        <f>'Part IV-A-Uses of Funds'!J47</f>
        <v>1136787</v>
      </c>
      <c r="K492" s="1729"/>
      <c r="L492" s="1664"/>
      <c r="M492" s="1729">
        <f>'Part IV-A-Uses of Funds'!M47</f>
        <v>0</v>
      </c>
      <c r="N492" s="1729"/>
      <c r="O492" s="1647"/>
      <c r="P492" s="1729">
        <f>'Part IV-A-Uses of Funds'!P47</f>
        <v>0</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616</v>
      </c>
      <c r="B494" s="2728" t="s">
        <v>4508</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2682</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3732</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3733</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2345</v>
      </c>
      <c r="C499" s="1647"/>
      <c r="D499" s="1647"/>
      <c r="E499" s="1647"/>
      <c r="F499" s="1647"/>
      <c r="G499" s="1729">
        <f>'Part IV-A-Uses of Funds'!G54</f>
        <v>0</v>
      </c>
      <c r="H499" s="1729"/>
      <c r="I499" s="1647"/>
      <c r="J499" s="1729">
        <f>'Part IV-A-Uses of Funds'!J54</f>
        <v>0</v>
      </c>
      <c r="K499" s="1729"/>
      <c r="L499" s="1664"/>
      <c r="M499" s="1729">
        <f>'Part IV-A-Uses of Funds'!M54</f>
        <v>0</v>
      </c>
      <c r="N499" s="1729"/>
      <c r="O499" s="1647"/>
      <c r="P499" s="1729">
        <f>'Part IV-A-Uses of Funds'!P54</f>
        <v>0</v>
      </c>
      <c r="Q499" s="1729"/>
      <c r="R499" s="1647"/>
      <c r="S499" s="1729">
        <f>'Part IV-A-Uses of Funds'!S54</f>
        <v>0</v>
      </c>
      <c r="T499" s="1729"/>
      <c r="U499" s="1647"/>
      <c r="V499" s="1735">
        <f>'Part IV-A-Uses of Funds'!V54</f>
        <v>0</v>
      </c>
      <c r="W499" s="1485">
        <f>'Part IV-A-Uses of Funds'!W54</f>
        <v>0</v>
      </c>
      <c r="X499" s="1485"/>
    </row>
    <row r="500" spans="1:24">
      <c r="A500" s="1647"/>
      <c r="B500" s="1647" t="s">
        <v>2346</v>
      </c>
      <c r="C500" s="1647"/>
      <c r="D500" s="1647"/>
      <c r="E500" s="1647"/>
      <c r="F500" s="1647"/>
      <c r="G500" s="1729">
        <f>'Part IV-A-Uses of Funds'!G55</f>
        <v>908171</v>
      </c>
      <c r="H500" s="1729"/>
      <c r="I500" s="1647"/>
      <c r="J500" s="1729">
        <f>'Part IV-A-Uses of Funds'!J55</f>
        <v>726537</v>
      </c>
      <c r="K500" s="1729"/>
      <c r="L500" s="1664"/>
      <c r="M500" s="1729">
        <f>'Part IV-A-Uses of Funds'!M55</f>
        <v>0</v>
      </c>
      <c r="N500" s="1729"/>
      <c r="O500" s="1647"/>
      <c r="P500" s="1729">
        <f>'Part IV-A-Uses of Funds'!P55</f>
        <v>0</v>
      </c>
      <c r="Q500" s="1729"/>
      <c r="R500" s="1647"/>
      <c r="S500" s="1729">
        <f>'Part IV-A-Uses of Funds'!S55</f>
        <v>181634</v>
      </c>
      <c r="T500" s="1729"/>
      <c r="U500" s="1647"/>
      <c r="V500" s="1735">
        <f>'Part IV-A-Uses of Funds'!V55</f>
        <v>0</v>
      </c>
      <c r="W500" s="1485">
        <f>'Part IV-A-Uses of Funds'!W55</f>
        <v>0</v>
      </c>
      <c r="X500" s="1485"/>
    </row>
    <row r="501" spans="1:24">
      <c r="A501" s="1647"/>
      <c r="B501" s="1647" t="s">
        <v>2347</v>
      </c>
      <c r="C501" s="1647"/>
      <c r="D501" s="1647"/>
      <c r="E501" s="1647"/>
      <c r="F501" s="1647"/>
      <c r="G501" s="1729">
        <f>'Part IV-A-Uses of Funds'!G56</f>
        <v>0</v>
      </c>
      <c r="H501" s="1729"/>
      <c r="I501" s="1647"/>
      <c r="J501" s="1729">
        <f>'Part IV-A-Uses of Funds'!J56</f>
        <v>0</v>
      </c>
      <c r="K501" s="1729"/>
      <c r="L501" s="1664"/>
      <c r="M501" s="1729">
        <f>'Part IV-A-Uses of Funds'!M56</f>
        <v>0</v>
      </c>
      <c r="N501" s="1729"/>
      <c r="O501" s="1647"/>
      <c r="P501" s="1729">
        <f>'Part IV-A-Uses of Funds'!P56</f>
        <v>0</v>
      </c>
      <c r="Q501" s="1729"/>
      <c r="R501" s="1647"/>
      <c r="S501" s="1729">
        <f>'Part IV-A-Uses of Funds'!S56</f>
        <v>0</v>
      </c>
      <c r="T501" s="1729"/>
      <c r="U501" s="1647"/>
      <c r="V501" s="1735">
        <f>'Part IV-A-Uses of Funds'!V56</f>
        <v>0</v>
      </c>
      <c r="W501" s="1485">
        <f>'Part IV-A-Uses of Funds'!W56</f>
        <v>0</v>
      </c>
      <c r="X501" s="1485"/>
    </row>
    <row r="502" spans="1:24">
      <c r="A502" s="1647"/>
      <c r="B502" s="1647" t="s">
        <v>2686</v>
      </c>
      <c r="C502" s="1647"/>
      <c r="D502" s="1647"/>
      <c r="E502" s="1647"/>
      <c r="F502" s="1647"/>
      <c r="G502" s="1729">
        <f>'Part IV-A-Uses of Funds'!G57</f>
        <v>20000</v>
      </c>
      <c r="H502" s="1729"/>
      <c r="I502" s="1647"/>
      <c r="J502" s="1729">
        <f>'Part IV-A-Uses of Funds'!J57</f>
        <v>20000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25000</v>
      </c>
      <c r="H503" s="1729"/>
      <c r="I503" s="1647"/>
      <c r="J503" s="1729">
        <f>'Part IV-A-Uses of Funds'!J58</f>
        <v>25000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2348</v>
      </c>
      <c r="C504" s="1647"/>
      <c r="D504" s="1647"/>
      <c r="E504" s="1647"/>
      <c r="F504" s="1647"/>
      <c r="G504" s="1729">
        <f>'Part IV-A-Uses of Funds'!G59</f>
        <v>125000</v>
      </c>
      <c r="H504" s="1729"/>
      <c r="I504" s="1647"/>
      <c r="J504" s="1729">
        <f>'Part IV-A-Uses of Funds'!J59</f>
        <v>125000</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75000</v>
      </c>
      <c r="H505" s="1729"/>
      <c r="I505" s="1647"/>
      <c r="J505" s="1729">
        <f>'Part IV-A-Uses of Funds'!J60</f>
        <v>75000</v>
      </c>
      <c r="K505" s="1729"/>
      <c r="L505" s="1664"/>
      <c r="M505" s="1729">
        <f>'Part IV-A-Uses of Funds'!M60</f>
        <v>0</v>
      </c>
      <c r="N505" s="1729"/>
      <c r="O505" s="1647"/>
      <c r="P505" s="1729">
        <f>'Part IV-A-Uses of Funds'!P60</f>
        <v>0</v>
      </c>
      <c r="Q505" s="1729"/>
      <c r="R505" s="1647"/>
      <c r="S505" s="1729">
        <f>'Part IV-A-Uses of Funds'!S60</f>
        <v>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0</v>
      </c>
      <c r="H506" s="1729"/>
      <c r="I506" s="1653"/>
      <c r="J506" s="1729">
        <f>'Part IV-A-Uses of Funds'!J61</f>
        <v>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741</v>
      </c>
      <c r="C507" s="1659" t="str">
        <f>'Part IV-A-Uses of Funds'!C62</f>
        <v>Lender Commitment Fee</v>
      </c>
      <c r="D507" s="1659"/>
      <c r="E507" s="1659"/>
      <c r="F507" s="1659"/>
      <c r="G507" s="1729">
        <f>'Part IV-A-Uses of Funds'!G62</f>
        <v>25000</v>
      </c>
      <c r="H507" s="1729"/>
      <c r="I507" s="1647"/>
      <c r="J507" s="1729">
        <f>'Part IV-A-Uses of Funds'!J62</f>
        <v>25000</v>
      </c>
      <c r="K507" s="1729"/>
      <c r="L507" s="1664"/>
      <c r="M507" s="1729">
        <f>'Part IV-A-Uses of Funds'!M62</f>
        <v>0</v>
      </c>
      <c r="N507" s="1729"/>
      <c r="O507" s="1647"/>
      <c r="P507" s="1729">
        <f>'Part IV-A-Uses of Funds'!P62</f>
        <v>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1178171</v>
      </c>
      <c r="H509" s="1729"/>
      <c r="I509" s="1647"/>
      <c r="J509" s="1729">
        <f>SUM(J497:K508)</f>
        <v>996537</v>
      </c>
      <c r="K509" s="1729"/>
      <c r="L509" s="1664"/>
      <c r="M509" s="1729">
        <f>SUM(M497:N508)</f>
        <v>0</v>
      </c>
      <c r="N509" s="1729"/>
      <c r="O509" s="1647"/>
      <c r="P509" s="1729">
        <f>SUM(P497:Q508)</f>
        <v>0</v>
      </c>
      <c r="Q509" s="1729"/>
      <c r="R509" s="1647"/>
      <c r="S509" s="1729">
        <f>SUM(S497:T508)</f>
        <v>181634</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248000</v>
      </c>
      <c r="H511" s="1729"/>
      <c r="I511" s="1647"/>
      <c r="J511" s="1729">
        <f>'Part IV-A-Uses of Funds'!J66</f>
        <v>248000</v>
      </c>
      <c r="K511" s="1729"/>
      <c r="L511" s="1664"/>
      <c r="M511" s="1729">
        <f>'Part IV-A-Uses of Funds'!M66</f>
        <v>0</v>
      </c>
      <c r="N511" s="1729"/>
      <c r="O511" s="1647"/>
      <c r="P511" s="1729">
        <f>'Part IV-A-Uses of Funds'!P66</f>
        <v>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0</v>
      </c>
      <c r="H512" s="1729"/>
      <c r="I512" s="1647"/>
      <c r="J512" s="1729">
        <f>'Part IV-A-Uses of Funds'!J67</f>
        <v>0</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3847</v>
      </c>
      <c r="E513" s="1758">
        <f>'DCA Underwriting Assumptions'!R521</f>
        <v>0</v>
      </c>
      <c r="F513" s="1647" t="str">
        <f>IF(G513&gt;E513,"CHECK!!!","")</f>
        <v>CHECK!!!</v>
      </c>
      <c r="G513" s="1729">
        <f>'Part IV-A-Uses of Funds'!G68</f>
        <v>20000</v>
      </c>
      <c r="H513" s="1729"/>
      <c r="I513" s="1647"/>
      <c r="J513" s="1729">
        <f>'Part IV-A-Uses of Funds'!J68</f>
        <v>20000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18500</v>
      </c>
      <c r="H515" s="1729"/>
      <c r="I515" s="1647"/>
      <c r="J515" s="1729">
        <f>'Part IV-A-Uses of Funds'!J70</f>
        <v>18500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20000</v>
      </c>
      <c r="H516" s="1729"/>
      <c r="I516" s="1647"/>
      <c r="J516" s="1729">
        <f>'Part IV-A-Uses of Funds'!J71</f>
        <v>20000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100000</v>
      </c>
      <c r="H517" s="1729"/>
      <c r="I517" s="1647"/>
      <c r="J517" s="1729">
        <f>'Part IV-A-Uses of Funds'!J72</f>
        <v>100000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175000</v>
      </c>
      <c r="H518" s="1729"/>
      <c r="I518" s="1647"/>
      <c r="J518" s="1729">
        <f>'Part IV-A-Uses of Funds'!J73</f>
        <v>87500</v>
      </c>
      <c r="K518" s="1729"/>
      <c r="L518" s="1664"/>
      <c r="M518" s="1729">
        <f>'Part IV-A-Uses of Funds'!M73</f>
        <v>0</v>
      </c>
      <c r="N518" s="1729"/>
      <c r="O518" s="1647"/>
      <c r="P518" s="1729">
        <f>'Part IV-A-Uses of Funds'!P73</f>
        <v>0</v>
      </c>
      <c r="Q518" s="1729"/>
      <c r="R518" s="1647"/>
      <c r="S518" s="1729">
        <f>'Part IV-A-Uses of Funds'!S73</f>
        <v>87500</v>
      </c>
      <c r="T518" s="1729"/>
      <c r="U518" s="1647"/>
      <c r="V518" s="1735">
        <f>'Part IV-A-Uses of Funds'!V73</f>
        <v>0</v>
      </c>
      <c r="W518" s="1485">
        <f>'Part IV-A-Uses of Funds'!W73</f>
        <v>0</v>
      </c>
      <c r="X518" s="1485"/>
    </row>
    <row r="519" spans="1:24">
      <c r="A519" s="1647"/>
      <c r="B519" s="1647" t="s">
        <v>2048</v>
      </c>
      <c r="C519" s="1647"/>
      <c r="D519" s="1647"/>
      <c r="E519" s="1647"/>
      <c r="F519" s="1647"/>
      <c r="G519" s="1729">
        <f>'Part IV-A-Uses of Funds'!G74</f>
        <v>40000</v>
      </c>
      <c r="H519" s="1729"/>
      <c r="I519" s="1647"/>
      <c r="J519" s="1729">
        <f>'Part IV-A-Uses of Funds'!J74</f>
        <v>40000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10000</v>
      </c>
      <c r="H520" s="1729"/>
      <c r="I520" s="1647"/>
      <c r="J520" s="1729">
        <f>'Part IV-A-Uses of Funds'!J75</f>
        <v>10000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741</v>
      </c>
      <c r="C521" s="1659" t="str">
        <f>'Part IV-A-Uses of Funds'!C76</f>
        <v>Radon Testing</v>
      </c>
      <c r="D521" s="1659"/>
      <c r="E521" s="1659"/>
      <c r="F521" s="1659"/>
      <c r="G521" s="1729">
        <f>'Part IV-A-Uses of Funds'!G76</f>
        <v>9000</v>
      </c>
      <c r="H521" s="1729"/>
      <c r="I521" s="1647"/>
      <c r="J521" s="1729">
        <f>'Part IV-A-Uses of Funds'!J76</f>
        <v>9000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640500</v>
      </c>
      <c r="H522" s="1729"/>
      <c r="I522" s="1647"/>
      <c r="J522" s="1729">
        <f>SUM(J511:K521)</f>
        <v>553000</v>
      </c>
      <c r="K522" s="1729"/>
      <c r="L522" s="1664"/>
      <c r="M522" s="1729">
        <f>SUM(M511:N521)</f>
        <v>0</v>
      </c>
      <c r="N522" s="1729"/>
      <c r="O522" s="1647"/>
      <c r="P522" s="1729">
        <f>SUM(P511:Q521)</f>
        <v>0</v>
      </c>
      <c r="Q522" s="1729"/>
      <c r="R522" s="1647"/>
      <c r="S522" s="1729">
        <f>SUM(S511:T521)</f>
        <v>87500</v>
      </c>
      <c r="T522" s="1729"/>
      <c r="U522" s="1647"/>
      <c r="V522" s="1735">
        <f>SUM(V511:V521)</f>
        <v>0</v>
      </c>
      <c r="W522" s="1485">
        <f>'Part IV-A-Uses of Funds'!W77</f>
        <v>0</v>
      </c>
      <c r="X522" s="1485"/>
    </row>
    <row r="523" spans="1:24">
      <c r="A523" s="1647"/>
      <c r="B523" s="1647" t="s">
        <v>1269</v>
      </c>
      <c r="C523" s="1647"/>
      <c r="D523" s="1759" t="s">
        <v>3734</v>
      </c>
      <c r="E523" s="1760">
        <f>G528/'Part VI-Revenues &amp; Expenses'!$O$67</f>
        <v>2671.4423076923076</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159425</v>
      </c>
      <c r="H524" s="1729"/>
      <c r="I524" s="1647"/>
      <c r="J524" s="1729">
        <f>'Part IV-A-Uses of Funds'!J79</f>
        <v>159425</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257320</v>
      </c>
      <c r="H525" s="1729"/>
      <c r="I525" s="1647"/>
      <c r="J525" s="1729">
        <f>'Part IV-A-Uses of Funds'!J80</f>
        <v>257320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t="str">
        <f>'Part IV-A-Uses of Funds'!E81</f>
        <v>No</v>
      </c>
      <c r="F526" s="1647"/>
      <c r="G526" s="1729">
        <f>'Part IV-A-Uses of Funds'!G81</f>
        <v>0</v>
      </c>
      <c r="H526" s="1729"/>
      <c r="I526" s="1653"/>
      <c r="J526" s="1729">
        <f>'Part IV-A-Uses of Funds'!J81</f>
        <v>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1273</v>
      </c>
      <c r="C527" s="1647"/>
      <c r="D527" s="1761" t="s">
        <v>1403</v>
      </c>
      <c r="E527" s="1774" t="str">
        <f>'Part IV-A-Uses of Funds'!E82</f>
        <v>No</v>
      </c>
      <c r="F527" s="1647"/>
      <c r="G527" s="1729">
        <f>'Part IV-A-Uses of Funds'!G82</f>
        <v>0</v>
      </c>
      <c r="H527" s="1729"/>
      <c r="I527" s="1653"/>
      <c r="J527" s="1729">
        <f>'Part IV-A-Uses of Funds'!J82</f>
        <v>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416745</v>
      </c>
      <c r="H528" s="1729"/>
      <c r="I528" s="1647"/>
      <c r="J528" s="1729">
        <f>SUM(J524:K527)</f>
        <v>416745</v>
      </c>
      <c r="K528" s="1729"/>
      <c r="L528" s="1664"/>
      <c r="M528" s="1729">
        <f>SUM(M524:N527)</f>
        <v>0</v>
      </c>
      <c r="N528" s="1729"/>
      <c r="O528" s="1647"/>
      <c r="P528" s="1729">
        <f>SUM(P524:Q527)</f>
        <v>0</v>
      </c>
      <c r="Q528" s="1729"/>
      <c r="R528" s="1647"/>
      <c r="S528" s="1729">
        <f>SUM(S524:T527)</f>
        <v>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129911</v>
      </c>
      <c r="H530" s="1729"/>
      <c r="I530" s="1647"/>
      <c r="J530" s="1729"/>
      <c r="K530" s="1729"/>
      <c r="L530" s="1664"/>
      <c r="M530" s="1729"/>
      <c r="N530" s="1729"/>
      <c r="O530" s="1647"/>
      <c r="P530" s="1729"/>
      <c r="Q530" s="1729"/>
      <c r="R530" s="1647"/>
      <c r="S530" s="1729">
        <f>'Part IV-A-Uses of Funds'!S85</f>
        <v>129911</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60000</v>
      </c>
      <c r="H531" s="1729"/>
      <c r="I531" s="1647"/>
      <c r="J531" s="1729"/>
      <c r="K531" s="1729"/>
      <c r="L531" s="1664"/>
      <c r="M531" s="1729"/>
      <c r="N531" s="1729"/>
      <c r="O531" s="1647"/>
      <c r="P531" s="1729"/>
      <c r="Q531" s="1729"/>
      <c r="R531" s="1647"/>
      <c r="S531" s="1729">
        <f>'Part IV-A-Uses of Funds'!S86</f>
        <v>60000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0</v>
      </c>
      <c r="H532" s="1729"/>
      <c r="I532" s="1647"/>
      <c r="J532" s="1729"/>
      <c r="K532" s="1729"/>
      <c r="L532" s="1664"/>
      <c r="M532" s="1729"/>
      <c r="N532" s="1729"/>
      <c r="O532" s="1647"/>
      <c r="P532" s="1729"/>
      <c r="Q532" s="1729"/>
      <c r="R532" s="1647"/>
      <c r="S532" s="1729">
        <f>'Part IV-A-Uses of Funds'!S87</f>
        <v>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2297</v>
      </c>
      <c r="C534" s="1647"/>
      <c r="D534" s="1647"/>
      <c r="E534" s="1647"/>
      <c r="F534" s="1647"/>
      <c r="G534" s="1729">
        <f>'Part IV-A-Uses of Funds'!G89</f>
        <v>361225</v>
      </c>
      <c r="H534" s="1729"/>
      <c r="I534" s="1647"/>
      <c r="J534" s="1729"/>
      <c r="K534" s="1729"/>
      <c r="L534" s="1664"/>
      <c r="M534" s="1729"/>
      <c r="N534" s="1729"/>
      <c r="O534" s="1647"/>
      <c r="P534" s="1729"/>
      <c r="Q534" s="1729"/>
      <c r="R534" s="1647"/>
      <c r="S534" s="1729">
        <f>'Part IV-A-Uses of Funds'!S89</f>
        <v>361225</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741</v>
      </c>
      <c r="C535" s="1659" t="str">
        <f>'Part IV-A-Uses of Funds'!C90</f>
        <v>&lt;&lt; Enter description here; provide detail &amp; justification in tab Part IV-b &gt;&gt;</v>
      </c>
      <c r="D535" s="1659"/>
      <c r="E535" s="1659"/>
      <c r="F535" s="1659"/>
      <c r="G535" s="1729">
        <f>'Part IV-A-Uses of Funds'!G90</f>
        <v>0</v>
      </c>
      <c r="H535" s="1729"/>
      <c r="I535" s="1647"/>
      <c r="J535" s="1729"/>
      <c r="K535" s="1729"/>
      <c r="L535" s="1664"/>
      <c r="M535" s="1729"/>
      <c r="N535" s="1729"/>
      <c r="O535" s="1647"/>
      <c r="P535" s="1729"/>
      <c r="Q535" s="1729"/>
      <c r="R535" s="1647"/>
      <c r="S535" s="1729">
        <f>'Part IV-A-Uses of Funds'!S90</f>
        <v>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551136</v>
      </c>
      <c r="H536" s="1729"/>
      <c r="I536" s="1647"/>
      <c r="J536" s="1729"/>
      <c r="K536" s="1729"/>
      <c r="L536" s="1664"/>
      <c r="M536" s="1729"/>
      <c r="N536" s="1729"/>
      <c r="O536" s="1647"/>
      <c r="P536" s="1729"/>
      <c r="Q536" s="1729"/>
      <c r="R536" s="1647"/>
      <c r="S536" s="1729">
        <f>SUM(S530:T535)</f>
        <v>551136</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616</v>
      </c>
      <c r="B538" s="2728" t="s">
        <v>4509</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2682</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5000</v>
      </c>
      <c r="H542" s="1729"/>
      <c r="I542" s="1647"/>
      <c r="J542" s="1664"/>
      <c r="K542" s="1664"/>
      <c r="L542" s="1762"/>
      <c r="M542" s="1664"/>
      <c r="N542" s="1664"/>
      <c r="O542" s="1647"/>
      <c r="P542" s="1664"/>
      <c r="Q542" s="1664"/>
      <c r="R542" s="1647"/>
      <c r="S542" s="1729">
        <f>'Part IV-A-Uses of Funds'!S97</f>
        <v>5000</v>
      </c>
      <c r="T542" s="1729"/>
      <c r="U542" s="1647"/>
      <c r="V542" s="1735">
        <f>'Part IV-A-Uses of Funds'!V97</f>
        <v>0</v>
      </c>
      <c r="W542" s="1485">
        <f>'Part IV-A-Uses of Funds'!W97</f>
        <v>0</v>
      </c>
      <c r="X542" s="1485"/>
    </row>
    <row r="543" spans="1:24">
      <c r="A543" s="1647"/>
      <c r="B543" s="1647" t="s">
        <v>3949</v>
      </c>
      <c r="C543" s="1647"/>
      <c r="D543" s="1647"/>
      <c r="E543" s="1647"/>
      <c r="F543" s="1647"/>
      <c r="G543" s="1729">
        <f>'Part IV-A-Uses of Funds'!G98</f>
        <v>2500</v>
      </c>
      <c r="H543" s="1729"/>
      <c r="I543" s="1647"/>
      <c r="J543" s="1664"/>
      <c r="K543" s="1664"/>
      <c r="L543" s="1762"/>
      <c r="M543" s="1664"/>
      <c r="N543" s="1664"/>
      <c r="O543" s="1647"/>
      <c r="P543" s="1664"/>
      <c r="Q543" s="1664"/>
      <c r="R543" s="1647"/>
      <c r="S543" s="1729">
        <f>'Part IV-A-Uses of Funds'!S98</f>
        <v>2500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97076.400000000009</v>
      </c>
      <c r="F544" s="1763"/>
      <c r="G544" s="1729">
        <f>'Part IV-A-Uses of Funds'!G99</f>
        <v>97077</v>
      </c>
      <c r="H544" s="1729"/>
      <c r="I544" s="1647"/>
      <c r="J544" s="2739" t="str">
        <f>IF(E544&gt;G544,"WARNING!  LIHTC Allocation Fee proposed is below minimum required.","")</f>
        <v/>
      </c>
      <c r="K544" s="1664"/>
      <c r="L544" s="1664"/>
      <c r="M544" s="1664"/>
      <c r="N544" s="1664"/>
      <c r="O544" s="1647"/>
      <c r="P544" s="1664"/>
      <c r="Q544" s="1664"/>
      <c r="R544" s="1647"/>
      <c r="S544" s="1729">
        <f>'Part IV-A-Uses of Funds'!S99</f>
        <v>97077</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156000</v>
      </c>
      <c r="F545" s="1763"/>
      <c r="G545" s="1729">
        <f>'Part IV-A-Uses of Funds'!G100</f>
        <v>156000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156000</v>
      </c>
      <c r="T545" s="1729"/>
      <c r="U545" s="1647"/>
      <c r="V545" s="1735">
        <f>'Part IV-A-Uses of Funds'!V100</f>
        <v>0</v>
      </c>
      <c r="W545" s="1485">
        <f>'Part IV-A-Uses of Funds'!W100</f>
        <v>0</v>
      </c>
      <c r="X545" s="1485"/>
    </row>
    <row r="546" spans="1:24">
      <c r="A546" s="1647"/>
      <c r="B546" s="1647" t="s">
        <v>4240</v>
      </c>
      <c r="C546" s="1647"/>
      <c r="D546" s="1647"/>
      <c r="E546" s="1647"/>
      <c r="F546" s="1765">
        <f>'DCA Underwriting Assumptions'!$Q$90</f>
        <v>3000</v>
      </c>
      <c r="G546" s="1729">
        <f>'Part IV-A-Uses of Funds'!G101</f>
        <v>3000</v>
      </c>
      <c r="H546" s="1729"/>
      <c r="I546" s="1647"/>
      <c r="J546" s="1653"/>
      <c r="K546" s="1653"/>
      <c r="L546" s="1653"/>
      <c r="M546" s="1653"/>
      <c r="N546" s="1653"/>
      <c r="O546" s="1653"/>
      <c r="P546" s="1653"/>
      <c r="Q546" s="1653"/>
      <c r="R546" s="1647"/>
      <c r="S546" s="1729">
        <f>'Part IV-A-Uses of Funds'!S101</f>
        <v>3000</v>
      </c>
      <c r="T546" s="1729"/>
      <c r="U546" s="1647"/>
      <c r="V546" s="1735">
        <f>'Part IV-A-Uses of Funds'!V101</f>
        <v>0</v>
      </c>
      <c r="W546" s="1485">
        <f>'Part IV-A-Uses of Funds'!W101</f>
        <v>0</v>
      </c>
      <c r="X546" s="1485"/>
    </row>
    <row r="547" spans="1:24">
      <c r="A547" s="1647"/>
      <c r="B547" s="1647" t="s">
        <v>4241</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741</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266577</v>
      </c>
      <c r="H550" s="1729"/>
      <c r="I550" s="1647"/>
      <c r="J550" s="1664"/>
      <c r="K550" s="1664"/>
      <c r="L550" s="1664"/>
      <c r="M550" s="1664"/>
      <c r="N550" s="1664"/>
      <c r="O550" s="1647"/>
      <c r="P550" s="1664"/>
      <c r="Q550" s="1664"/>
      <c r="R550" s="1647"/>
      <c r="S550" s="1729">
        <f>SUM(S541:T549)</f>
        <v>266577</v>
      </c>
      <c r="T550" s="1729"/>
      <c r="U550" s="1647"/>
      <c r="V550" s="1735">
        <f>SUM(V541:V549)</f>
        <v>0</v>
      </c>
      <c r="W550" s="1485">
        <f>'Part IV-A-Uses of Funds'!W105</f>
        <v>0</v>
      </c>
      <c r="X550" s="1485"/>
    </row>
    <row r="551" spans="1:24">
      <c r="A551" s="1647"/>
      <c r="B551" s="1647" t="s">
        <v>2298</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50000</v>
      </c>
      <c r="H552" s="1729"/>
      <c r="I552" s="1647"/>
      <c r="J552" s="1729"/>
      <c r="K552" s="1729"/>
      <c r="L552" s="1664"/>
      <c r="M552" s="1729"/>
      <c r="N552" s="1729"/>
      <c r="O552" s="1647"/>
      <c r="P552" s="1729"/>
      <c r="Q552" s="1729"/>
      <c r="R552" s="1647"/>
      <c r="S552" s="1729">
        <f>'Part IV-A-Uses of Funds'!S107</f>
        <v>50000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c r="A554" s="1647"/>
      <c r="B554" s="1647" t="s">
        <v>2385</v>
      </c>
      <c r="C554" s="1647"/>
      <c r="D554" s="1647"/>
      <c r="E554" s="1647"/>
      <c r="F554" s="1647"/>
      <c r="G554" s="1729">
        <f>'Part IV-A-Uses of Funds'!G109</f>
        <v>50000</v>
      </c>
      <c r="H554" s="1729"/>
      <c r="I554" s="1647"/>
      <c r="J554" s="1729"/>
      <c r="K554" s="1729"/>
      <c r="L554" s="1664"/>
      <c r="M554" s="1729"/>
      <c r="N554" s="1729"/>
      <c r="O554" s="1647"/>
      <c r="P554" s="1729"/>
      <c r="Q554" s="1729"/>
      <c r="R554" s="1647"/>
      <c r="S554" s="1729">
        <f>'Part IV-A-Uses of Funds'!S109</f>
        <v>50000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741</v>
      </c>
      <c r="C555" s="1659" t="str">
        <f>'Part IV-A-Uses of Funds'!C110</f>
        <v>&lt;&lt; Enter description here; provide detail &amp; justification in tab Part IV-b &gt;&gt;</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100000</v>
      </c>
      <c r="H556" s="1729"/>
      <c r="I556" s="1647"/>
      <c r="J556" s="1729"/>
      <c r="K556" s="1729"/>
      <c r="L556" s="1664"/>
      <c r="M556" s="1729"/>
      <c r="N556" s="1729"/>
      <c r="O556" s="1647"/>
      <c r="P556" s="1729"/>
      <c r="Q556" s="1729"/>
      <c r="R556" s="1647"/>
      <c r="S556" s="1729">
        <f>SUM(S552:T555)</f>
        <v>100000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1859</v>
      </c>
      <c r="C558" s="1647"/>
      <c r="D558" s="1647"/>
      <c r="E558" s="1647"/>
      <c r="F558" s="1716">
        <f>IF($G$118=0,0,G558/$G$118)</f>
        <v>0</v>
      </c>
      <c r="G558" s="1729">
        <f>'Part IV-A-Uses of Funds'!G113</f>
        <v>1576420</v>
      </c>
      <c r="H558" s="1729"/>
      <c r="I558" s="1647"/>
      <c r="J558" s="1729">
        <f>'Part IV-A-Uses of Funds'!J113</f>
        <v>1576420</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c r="A559" s="1647"/>
      <c r="B559" s="1647" t="s">
        <v>4196</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1860</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3633</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1852</v>
      </c>
      <c r="C562" s="1647"/>
      <c r="D562" s="1647"/>
      <c r="E562" s="1647"/>
      <c r="F562" s="1716">
        <f>IF($G$118=0,0,G562/$G$118)</f>
        <v>0</v>
      </c>
      <c r="G562" s="1729">
        <f>'Part IV-A-Uses of Funds'!G117</f>
        <v>1576420</v>
      </c>
      <c r="H562" s="1729"/>
      <c r="I562" s="1647"/>
      <c r="J562" s="1729">
        <f>'Part IV-A-Uses of Funds'!J117</f>
        <v>1576420</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40">
        <f>SUM(G558:H562)</f>
        <v>3152840</v>
      </c>
      <c r="H563" s="2740"/>
      <c r="I563" s="1647"/>
      <c r="J563" s="1729">
        <f>SUM(J558:K562)</f>
        <v>3152840</v>
      </c>
      <c r="K563" s="1729"/>
      <c r="L563" s="1664"/>
      <c r="M563" s="1729">
        <f>SUM(M558:N562)</f>
        <v>0</v>
      </c>
      <c r="N563" s="1729"/>
      <c r="O563" s="1647"/>
      <c r="P563" s="1729">
        <f>SUM(P558:Q562)</f>
        <v>0</v>
      </c>
      <c r="Q563" s="1729"/>
      <c r="R563" s="1647"/>
      <c r="S563" s="1729">
        <f>SUM(S558:T562)</f>
        <v>0</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20000</v>
      </c>
      <c r="H565" s="1729"/>
      <c r="I565" s="1647"/>
      <c r="J565" s="1762"/>
      <c r="K565" s="1762"/>
      <c r="L565" s="1762"/>
      <c r="M565" s="1762"/>
      <c r="N565" s="1762"/>
      <c r="O565" s="1647"/>
      <c r="P565" s="1762"/>
      <c r="Q565" s="1762"/>
      <c r="R565" s="1647"/>
      <c r="S565" s="1729">
        <f>'Part IV-A-Uses of Funds'!S120</f>
        <v>20000</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210294.75</v>
      </c>
      <c r="G566" s="1729">
        <f>'Part IV-A-Uses of Funds'!G121</f>
        <v>210295</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210295</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694940.32860836433</v>
      </c>
      <c r="G567" s="1729">
        <f>'Part IV-A-Uses of Funds'!G122</f>
        <v>694940</v>
      </c>
      <c r="H567" s="1729"/>
      <c r="I567" s="1647"/>
      <c r="J567" s="1803" t="str">
        <f>IF(E567&gt;G567,"WARNING! ODR proposed is below minimum - add comment.","")</f>
        <v/>
      </c>
      <c r="K567" s="1762"/>
      <c r="L567" s="1762"/>
      <c r="M567" s="1762"/>
      <c r="N567" s="1762"/>
      <c r="O567" s="1647"/>
      <c r="P567" s="1762"/>
      <c r="Q567" s="1762"/>
      <c r="R567" s="1647"/>
      <c r="S567" s="1729">
        <f>'Part IV-A-Uses of Funds'!S122</f>
        <v>694940</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c r="A569" s="1647"/>
      <c r="B569" s="1647" t="s">
        <v>1245</v>
      </c>
      <c r="C569" s="1647"/>
      <c r="D569" s="1647"/>
      <c r="E569" s="1694" t="s">
        <v>3566</v>
      </c>
      <c r="F569" s="1736">
        <f>IF('Part VI-Revenues &amp; Expenses'!$O$67=0,0,G569/'Part VI-Revenues &amp; Expenses'!$O$67)</f>
        <v>923.71794871794873</v>
      </c>
      <c r="G569" s="1729">
        <f>'Part IV-A-Uses of Funds'!G124</f>
        <v>144100</v>
      </c>
      <c r="H569" s="1729"/>
      <c r="I569" s="1647"/>
      <c r="J569" s="1729">
        <f>'Part IV-A-Uses of Funds'!J124</f>
        <v>144100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741</v>
      </c>
      <c r="C570" s="1659" t="str">
        <f>'Part IV-A-Uses of Funds'!C125</f>
        <v>Tax and Insurance Escrow</v>
      </c>
      <c r="D570" s="1659"/>
      <c r="E570" s="1659"/>
      <c r="F570" s="1659"/>
      <c r="G570" s="1729">
        <f>'Part IV-A-Uses of Funds'!G125</f>
        <v>60000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60000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1129335</v>
      </c>
      <c r="H571" s="1729"/>
      <c r="I571" s="1647"/>
      <c r="J571" s="1729">
        <f>SUM(J569:K570)</f>
        <v>144100</v>
      </c>
      <c r="K571" s="1729"/>
      <c r="L571" s="1664"/>
      <c r="M571" s="1729">
        <f>SUM(M569:N570)</f>
        <v>0</v>
      </c>
      <c r="N571" s="1729"/>
      <c r="O571" s="1647"/>
      <c r="P571" s="1729">
        <f>SUM(P569:Q570)</f>
        <v>0</v>
      </c>
      <c r="Q571" s="1729"/>
      <c r="R571" s="1647"/>
      <c r="S571" s="1729">
        <f>SUM(S565:T570)</f>
        <v>985235</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0</v>
      </c>
      <c r="H573" s="1729"/>
      <c r="I573" s="1647"/>
      <c r="J573" s="1729">
        <f>'Part IV-A-Uses of Funds'!J128</f>
        <v>0</v>
      </c>
      <c r="K573" s="1729"/>
      <c r="L573" s="1664"/>
      <c r="M573" s="1729">
        <f>'Part IV-A-Uses of Funds'!M128</f>
        <v>0</v>
      </c>
      <c r="N573" s="1729"/>
      <c r="O573" s="1647"/>
      <c r="P573" s="1729">
        <f>'Part IV-A-Uses of Funds'!P128</f>
        <v>0</v>
      </c>
      <c r="Q573" s="1729"/>
      <c r="R573" s="1647"/>
      <c r="S573" s="1729">
        <f>'Part IV-A-Uses of Funds'!S128</f>
        <v>0</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741</v>
      </c>
      <c r="C574" s="1659" t="str">
        <f>'Part IV-A-Uses of Funds'!C129</f>
        <v>Site Lighting</v>
      </c>
      <c r="D574" s="1659"/>
      <c r="E574" s="1659"/>
      <c r="F574" s="1659"/>
      <c r="G574" s="1729">
        <f>'Part IV-A-Uses of Funds'!G129</f>
        <v>45000</v>
      </c>
      <c r="H574" s="1729"/>
      <c r="I574" s="1647"/>
      <c r="J574" s="1729">
        <f>'Part IV-A-Uses of Funds'!J129</f>
        <v>45000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45000</v>
      </c>
      <c r="H575" s="1729"/>
      <c r="I575" s="1647"/>
      <c r="J575" s="1729">
        <f>SUM(J573:K574)</f>
        <v>45000</v>
      </c>
      <c r="K575" s="1729"/>
      <c r="L575" s="1664"/>
      <c r="M575" s="1729">
        <f>SUM(M573:N574)</f>
        <v>0</v>
      </c>
      <c r="N575" s="1729"/>
      <c r="O575" s="1647"/>
      <c r="P575" s="1729">
        <f>SUM(P573:Q574)</f>
        <v>0</v>
      </c>
      <c r="Q575" s="1729"/>
      <c r="R575" s="1647"/>
      <c r="S575" s="1729">
        <f>SUM(S573:T574)</f>
        <v>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5147</v>
      </c>
      <c r="C577" s="1647"/>
      <c r="D577" s="1647"/>
      <c r="E577" s="1647"/>
      <c r="F577" s="1647"/>
      <c r="G577" s="1729">
        <f>G462+G468+G472+G478+G483+G486+G492+G509+G522+G528+G536+G550+G556+G563+G571+G575</f>
        <v>32698126.5</v>
      </c>
      <c r="H577" s="1729"/>
      <c r="I577" s="1647"/>
      <c r="J577" s="1729">
        <f>J462+J468+J472+J478+J483+J486+J492+J509+J522+J528+J536+J550+J556+J563+J571+J575</f>
        <v>29261044.5</v>
      </c>
      <c r="K577" s="1729"/>
      <c r="L577" s="1647"/>
      <c r="M577" s="1729">
        <f>M462+M468+M472+M478+M483+M486+M492+M509+M522+M528+M536+M550+M556+M563+M571+M575</f>
        <v>0</v>
      </c>
      <c r="N577" s="1729"/>
      <c r="O577" s="1647"/>
      <c r="P577" s="1729">
        <f>P462+P468+P472+P478+P483+P486+P492+P509+P522+P528+P536+P550+P556+P563+P571+P575</f>
        <v>0</v>
      </c>
      <c r="Q577" s="1729"/>
      <c r="R577" s="1647"/>
      <c r="S577" s="1729">
        <f>S462+S468+S472+S478+S483+S486+S492+S509+S522+S528+S536+S550+S556+S563+S571+S575</f>
        <v>3437082</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41" t="s">
        <v>5097</v>
      </c>
      <c r="C579" s="1746"/>
      <c r="D579" s="1773">
        <f>IF('Part VI-Revenues &amp; Expenses'!$O$67=0,0,G577/'Part VI-Revenues &amp; Expenses'!$O$67)</f>
        <v>209603.375</v>
      </c>
      <c r="E579" s="1773"/>
      <c r="F579" s="1774" t="s">
        <v>2762</v>
      </c>
      <c r="G579" s="1773">
        <f>IF('Part I-Project Information'!$P$75=0,0,G577/'Part I-Project Information'!$P$75)</f>
        <v>231.20961731555204</v>
      </c>
      <c r="H579" s="1773"/>
      <c r="I579" s="2742"/>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c r="A583" s="1647"/>
      <c r="B583" s="1654" t="s">
        <v>2043</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2151</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1862</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1863</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1864</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2339</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29261044.5</v>
      </c>
      <c r="K594" s="1779"/>
      <c r="L594" s="1647"/>
      <c r="M594" s="1779">
        <f>M577</f>
        <v>0</v>
      </c>
      <c r="N594" s="1779"/>
      <c r="O594" s="1647"/>
      <c r="P594" s="1779">
        <f>P577</f>
        <v>0</v>
      </c>
      <c r="Q594" s="1779"/>
      <c r="R594" s="1785" t="s">
        <v>4728</v>
      </c>
      <c r="S594" s="1785"/>
      <c r="T594" s="1785"/>
      <c r="U594" s="1647"/>
      <c r="V594" s="1735">
        <f>'Part IV-A-Uses of Funds'!V149</f>
        <v>0</v>
      </c>
      <c r="W594" s="1485">
        <f>'Part IV-A-Uses of Funds'!W149</f>
        <v>0</v>
      </c>
      <c r="X594" s="1485"/>
    </row>
    <row r="595" spans="1:24">
      <c r="A595" s="1647"/>
      <c r="B595" s="1647" t="s">
        <v>2219</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2220</v>
      </c>
      <c r="C596" s="1647"/>
      <c r="D596" s="1647"/>
      <c r="E596" s="1647"/>
      <c r="F596" s="1647"/>
      <c r="G596" s="1647"/>
      <c r="H596" s="1647"/>
      <c r="I596" s="1647"/>
      <c r="J596" s="1779">
        <f>J594-J595</f>
        <v>29261044.5</v>
      </c>
      <c r="K596" s="1779"/>
      <c r="L596" s="1647"/>
      <c r="M596" s="1779">
        <f>M594</f>
        <v>0</v>
      </c>
      <c r="N596" s="1779"/>
      <c r="O596" s="1647"/>
      <c r="P596" s="1779">
        <f>P594-P595</f>
        <v>0</v>
      </c>
      <c r="Q596" s="1779"/>
      <c r="R596" s="1785"/>
      <c r="S596" s="1785"/>
      <c r="T596" s="1785"/>
      <c r="U596" s="1785"/>
      <c r="V596" s="1735">
        <f>'Part IV-A-Uses of Funds'!V151</f>
        <v>0</v>
      </c>
      <c r="W596" s="1485">
        <f>'Part IV-A-Uses of Funds'!W151</f>
        <v>0</v>
      </c>
      <c r="X596" s="1485"/>
    </row>
    <row r="597" spans="1:24">
      <c r="A597" s="1647"/>
      <c r="B597" s="1647" t="s">
        <v>1485</v>
      </c>
      <c r="C597" s="1647"/>
      <c r="D597" s="1647"/>
      <c r="E597" s="1647"/>
      <c r="F597" s="1647"/>
      <c r="G597" s="1651" t="s">
        <v>1714</v>
      </c>
      <c r="H597" s="1647" t="str">
        <f>'Part IV-A-Uses of Funds'!H152</f>
        <v>DDA/QCT</v>
      </c>
      <c r="I597" s="1647"/>
      <c r="J597" s="1780">
        <f>'Part IV-A-Uses of Funds'!J152</f>
        <v>1.3</v>
      </c>
      <c r="K597" s="1780"/>
      <c r="L597" s="1647"/>
      <c r="M597" s="1780"/>
      <c r="N597" s="1780"/>
      <c r="O597" s="1647"/>
      <c r="P597" s="1780">
        <f>'Part IV-A-Uses of Funds'!P152</f>
        <v>0</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2053</v>
      </c>
      <c r="C598" s="1647"/>
      <c r="D598" s="1647"/>
      <c r="E598" s="1647"/>
      <c r="F598" s="1647"/>
      <c r="G598" s="1647"/>
      <c r="H598" s="1647"/>
      <c r="I598" s="1647"/>
      <c r="J598" s="1779">
        <f>J596*J597</f>
        <v>38039357.850000001</v>
      </c>
      <c r="K598" s="1779"/>
      <c r="L598" s="1647"/>
      <c r="M598" s="1779">
        <f>+M596</f>
        <v>0</v>
      </c>
      <c r="N598" s="1779"/>
      <c r="O598" s="1647"/>
      <c r="P598" s="1779">
        <f>P596*P597</f>
        <v>0</v>
      </c>
      <c r="Q598" s="1779"/>
      <c r="R598" s="1785"/>
      <c r="S598" s="1785"/>
      <c r="T598" s="1785"/>
      <c r="U598" s="1703"/>
      <c r="V598" s="1735">
        <f>'Part IV-A-Uses of Funds'!V153</f>
        <v>0</v>
      </c>
      <c r="W598" s="1485">
        <f>'Part IV-A-Uses of Funds'!W153</f>
        <v>0</v>
      </c>
      <c r="X598" s="1485"/>
    </row>
    <row r="599" spans="1:24">
      <c r="A599" s="1647"/>
      <c r="B599" s="1647" t="s">
        <v>2540</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2044</v>
      </c>
      <c r="C600" s="1647"/>
      <c r="D600" s="1647"/>
      <c r="E600" s="1647"/>
      <c r="F600" s="1647"/>
      <c r="G600" s="1647"/>
      <c r="H600" s="1647"/>
      <c r="I600" s="1647"/>
      <c r="J600" s="1779">
        <f>J598*J599</f>
        <v>38039357.850000001</v>
      </c>
      <c r="K600" s="1779"/>
      <c r="L600" s="1647"/>
      <c r="M600" s="1779">
        <f>M598*M599</f>
        <v>0</v>
      </c>
      <c r="N600" s="1779"/>
      <c r="O600" s="1647"/>
      <c r="P600" s="1779">
        <f>P598*P599</f>
        <v>0</v>
      </c>
      <c r="Q600" s="1779"/>
      <c r="R600" s="1647"/>
      <c r="S600" s="1647"/>
      <c r="T600" s="1647"/>
      <c r="U600" s="1647"/>
      <c r="V600" s="1735">
        <f>'Part IV-A-Uses of Funds'!V155</f>
        <v>0</v>
      </c>
      <c r="W600" s="1485">
        <f>'Part IV-A-Uses of Funds'!W155</f>
        <v>0</v>
      </c>
      <c r="X600" s="1485"/>
    </row>
    <row r="601" spans="1:24">
      <c r="A601" s="1647"/>
      <c r="B601" s="1647" t="s">
        <v>2045</v>
      </c>
      <c r="C601" s="1647"/>
      <c r="D601" s="1647"/>
      <c r="E601" s="1647"/>
      <c r="F601" s="1647"/>
      <c r="G601" s="1647"/>
      <c r="H601" s="1647"/>
      <c r="I601" s="1647"/>
      <c r="J601" s="1780">
        <f>'Part IV-A-Uses of Funds'!J156</f>
        <v>3.1899999999999998E-2</v>
      </c>
      <c r="K601" s="1780"/>
      <c r="L601" s="1647"/>
      <c r="M601" s="1780">
        <f>'Part IV-A-Uses of Funds'!M156</f>
        <v>0</v>
      </c>
      <c r="N601" s="1780"/>
      <c r="O601" s="1647"/>
      <c r="P601" s="1780">
        <f>'Part IV-A-Uses of Funds'!P156</f>
        <v>0</v>
      </c>
      <c r="Q601" s="1780"/>
      <c r="R601" s="1647"/>
      <c r="S601" s="1647"/>
      <c r="T601" s="1647"/>
      <c r="U601" s="1647"/>
      <c r="V601" s="1735">
        <f>'Part IV-A-Uses of Funds'!V156</f>
        <v>0</v>
      </c>
      <c r="W601" s="1485">
        <f>'Part IV-A-Uses of Funds'!W156</f>
        <v>0</v>
      </c>
      <c r="X601" s="1485"/>
    </row>
    <row r="602" spans="1:24">
      <c r="A602" s="1647"/>
      <c r="B602" s="1647" t="s">
        <v>2541</v>
      </c>
      <c r="C602" s="1647"/>
      <c r="D602" s="1647"/>
      <c r="E602" s="1647"/>
      <c r="F602" s="1647"/>
      <c r="G602" s="1647"/>
      <c r="H602" s="1647"/>
      <c r="I602" s="1647"/>
      <c r="J602" s="1779">
        <f>J600*J601</f>
        <v>1213455.515415</v>
      </c>
      <c r="K602" s="1779"/>
      <c r="L602" s="1647"/>
      <c r="M602" s="1779">
        <f>M600*M601</f>
        <v>0</v>
      </c>
      <c r="N602" s="1779"/>
      <c r="O602" s="1647"/>
      <c r="P602" s="1779">
        <f>P600*P601</f>
        <v>0</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1213455</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6.5">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6.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5148</v>
      </c>
      <c r="C607" s="1647"/>
      <c r="D607" s="1647"/>
      <c r="E607" s="1647"/>
      <c r="F607" s="1647"/>
      <c r="G607" s="1652" t="str">
        <f>IF(J608&gt;J607,"TDC exceeds QAP PUCL!","")</f>
        <v>TDC exceeds QAP PUCL!</v>
      </c>
      <c r="H607" s="1652"/>
      <c r="I607" s="1652"/>
      <c r="J607" s="1784">
        <f>'Part VIII-Threshold Criteria'!$P$63</f>
        <v>31486324</v>
      </c>
      <c r="K607" s="1784"/>
      <c r="L607" s="1784"/>
      <c r="M607" s="1785" t="s">
        <v>2745</v>
      </c>
      <c r="N607" s="1785"/>
      <c r="O607" s="1785"/>
      <c r="P607" s="1785"/>
      <c r="Q607" s="1785"/>
      <c r="R607" s="1785"/>
      <c r="S607" s="1785" t="s">
        <v>3674</v>
      </c>
      <c r="T607" s="1785"/>
      <c r="U607" s="1647"/>
      <c r="V607" s="1735">
        <f>'Part IV-A-Uses of Funds'!V162</f>
        <v>0</v>
      </c>
      <c r="W607" s="1485">
        <f>'Part IV-A-Uses of Funds'!W162</f>
        <v>0</v>
      </c>
      <c r="X607" s="1485"/>
    </row>
    <row r="608" spans="1:24">
      <c r="A608" s="1647"/>
      <c r="B608" s="1647" t="s">
        <v>5149</v>
      </c>
      <c r="C608" s="1647"/>
      <c r="D608" s="1647"/>
      <c r="E608" s="1647"/>
      <c r="F608" s="1647"/>
      <c r="G608" s="1647"/>
      <c r="H608" s="1647"/>
      <c r="I608" s="1647"/>
      <c r="J608" s="1779">
        <f>'Part IV-A-Uses of Funds'!J163</f>
        <v>32691888</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13112870.000000004</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5">
      <c r="A610" s="1647"/>
      <c r="B610" s="1647" t="s">
        <v>2231</v>
      </c>
      <c r="C610" s="1647"/>
      <c r="D610" s="1647"/>
      <c r="E610" s="1647"/>
      <c r="F610" s="1647"/>
      <c r="G610" s="1647"/>
      <c r="H610" s="1647"/>
      <c r="I610" s="1647"/>
      <c r="J610" s="1779">
        <f>+J608-J609</f>
        <v>19579017.999999996</v>
      </c>
      <c r="K610" s="1779"/>
      <c r="L610" s="1779"/>
      <c r="M610" s="1710" t="s">
        <v>2746</v>
      </c>
      <c r="N610" s="1710"/>
      <c r="O610" s="1786">
        <f>'Part III-Sources of Funds'!$I$42</f>
        <v>0</v>
      </c>
      <c r="P610" s="1786"/>
      <c r="Q610" s="1786"/>
      <c r="R610" s="1786"/>
      <c r="S610" s="1787" t="s">
        <v>1662</v>
      </c>
      <c r="T610" s="2137">
        <f>'Part IV-A-Uses of Funds'!T165</f>
        <v>0</v>
      </c>
      <c r="U610" s="1647"/>
      <c r="V610" s="1735">
        <f>'Part IV-A-Uses of Funds'!V165</f>
        <v>0</v>
      </c>
      <c r="W610" s="1485">
        <f>'Part IV-A-Uses of Funds'!W165</f>
        <v>0</v>
      </c>
      <c r="X610" s="1485"/>
    </row>
    <row r="611" spans="1:24" ht="13.5">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1957901.7999999996</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5098</v>
      </c>
      <c r="C613" s="1647"/>
      <c r="D613" s="1647"/>
      <c r="E613" s="1647"/>
      <c r="F613" s="1647"/>
      <c r="G613" s="1647"/>
      <c r="H613" s="1647"/>
      <c r="I613" s="1647"/>
      <c r="J613" s="1788">
        <f>N613+Q613</f>
        <v>1.5899999999999999</v>
      </c>
      <c r="K613" s="1788"/>
      <c r="L613" s="1788"/>
      <c r="M613" s="1651" t="s">
        <v>1289</v>
      </c>
      <c r="N613" s="2138">
        <f>'Part IV-A-Uses of Funds'!N168</f>
        <v>0.96</v>
      </c>
      <c r="O613" s="2138"/>
      <c r="P613" s="1651" t="s">
        <v>612</v>
      </c>
      <c r="Q613" s="2138">
        <f>'Part IV-A-Uses of Funds'!Q168</f>
        <v>0.63</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1231384</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5099</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1213455</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5100</v>
      </c>
      <c r="C618" s="1647"/>
      <c r="D618" s="1647"/>
      <c r="E618" s="1647"/>
      <c r="F618" s="1647"/>
      <c r="G618" s="1647"/>
      <c r="H618" s="1647"/>
      <c r="I618" s="1647"/>
      <c r="J618" s="1779">
        <f>'Part IV-A-Uses of Funds'!J173</f>
        <v>1213455</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6.5">
      <c r="A620" s="2731" t="s">
        <v>1792</v>
      </c>
      <c r="B620" s="2731" t="s">
        <v>5150</v>
      </c>
      <c r="C620" s="1647"/>
      <c r="D620" s="1653"/>
      <c r="E620" s="1653"/>
      <c r="F620" s="1654"/>
      <c r="G620" s="1647"/>
      <c r="H620" s="1647"/>
      <c r="I620" s="1647"/>
      <c r="J620" s="1779">
        <f>IF(J618="",0,+MIN(J616,J618))</f>
        <v>1213455</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Construction cost estimate is based off of our historical cost to deliver similar projects that are currenlty under construction.
Local government fees were confirmed by the local government and our construction managment team. Water and Sewer Tap Fees are included in the total impact fee figure.
Construction Interest is calculated based on having to stabilize and hold the property for three months before conversion. A Draw Schedule is provided in Folder 43 Additional Documentation.</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2692</v>
      </c>
      <c r="X624" s="2727"/>
    </row>
    <row r="628" spans="1:8" ht="15">
      <c r="A628" s="2745" t="str">
        <f>CONCATENATE("PART FOUR (b) -  OTHER COSTS","  -  ",'Part I-Project Information'!$O$6," - ",'Part I-Project Information'!$F$34,"  -  ",'Part I-Project Information'!$F$38,"  -  ",'Part I-Project Information'!$J$39,",  ","County")</f>
        <v>PART FOUR (b) -  OTHER COSTS  -  2019-5 - 55 Milton  -  Atlanta  -  Fulton,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3713</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5101</v>
      </c>
      <c r="B632" s="2746"/>
      <c r="C632" s="2746"/>
      <c r="D632" s="2746"/>
      <c r="E632" s="2139"/>
      <c r="F632" s="2747" t="s">
        <v>3704</v>
      </c>
      <c r="G632" s="1794"/>
      <c r="H632" s="2747" t="s">
        <v>3705</v>
      </c>
    </row>
    <row r="633" spans="1:8">
      <c r="A633" s="1794"/>
      <c r="B633" s="1794"/>
      <c r="C633" s="1794"/>
      <c r="D633" s="1794"/>
      <c r="E633" s="2139"/>
      <c r="F633" s="2139"/>
      <c r="G633" s="2139"/>
      <c r="H633" s="2139"/>
    </row>
    <row r="634" spans="1:8" ht="13.5">
      <c r="A634" s="2748"/>
      <c r="B634" s="2748"/>
      <c r="C634" s="2748"/>
      <c r="D634" s="2748"/>
      <c r="E634" s="2748"/>
      <c r="F634" s="2748"/>
      <c r="G634" s="2748"/>
      <c r="H634" s="2141"/>
    </row>
    <row r="635" spans="1:8">
      <c r="A635" s="1794" t="s">
        <v>102</v>
      </c>
      <c r="B635" s="1797"/>
      <c r="C635" s="1797"/>
      <c r="D635" s="1797"/>
      <c r="E635" s="1797"/>
      <c r="F635" s="1797"/>
      <c r="G635" s="1797"/>
      <c r="H635" s="1797"/>
    </row>
    <row r="636" spans="1:8" ht="13.5" customHeight="1">
      <c r="A636" s="1798" t="str">
        <f>'Part IV-A-Uses of Funds'!$C$14</f>
        <v>&lt;&lt; Enter description here; provide detail &amp; justification in tab Part IV-b &gt;&gt;</v>
      </c>
      <c r="B636" s="1798"/>
      <c r="C636" s="1798"/>
      <c r="D636" s="1798"/>
      <c r="E636" s="2141"/>
      <c r="F636" s="2142">
        <f>'Part IV-B-Other Items'!F9</f>
        <v>0</v>
      </c>
      <c r="G636" s="1797"/>
      <c r="H636" s="2142">
        <f>'Part IV-B-Other Items'!H9</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3707</v>
      </c>
      <c r="B639" s="1800">
        <f>'Part IV-A-Uses of Funds'!$G$14</f>
        <v>0</v>
      </c>
      <c r="C639" s="1799" t="s">
        <v>1790</v>
      </c>
      <c r="D639" s="1800">
        <f>'Part IV-A-Uses of Funds'!$J$14+'Part IV-A-Uses of Funds'!$M$14+'Part IV-A-Uses of Funds'!$P$14</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3707</v>
      </c>
      <c r="B644" s="1800">
        <f>'Part IV-A-Uses of Funds'!$G$15</f>
        <v>0</v>
      </c>
      <c r="C644" s="1799" t="s">
        <v>1790</v>
      </c>
      <c r="D644" s="1800">
        <f>'Part IV-A-Uses of Funds'!$J$15+'Part IV-A-Uses of Funds'!$M$15+'Part IV-A-Uses of Funds'!$P$15</f>
        <v>0</v>
      </c>
      <c r="E644" s="2141"/>
      <c r="F644" s="2142"/>
      <c r="G644" s="1797"/>
      <c r="H644" s="2142"/>
    </row>
    <row r="645" spans="1:8" ht="13.5">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ht="13.5">
      <c r="A647" s="1798"/>
      <c r="B647" s="1798"/>
      <c r="C647" s="1798"/>
      <c r="D647" s="1798"/>
      <c r="E647" s="2141"/>
      <c r="F647" s="2142"/>
      <c r="G647" s="1797"/>
      <c r="H647" s="2142"/>
    </row>
    <row r="648" spans="1:8" ht="13.5">
      <c r="A648" s="2141"/>
      <c r="B648" s="2141"/>
      <c r="C648" s="2141"/>
      <c r="D648" s="2141"/>
      <c r="E648" s="2141"/>
      <c r="F648" s="2142"/>
      <c r="G648" s="1797"/>
      <c r="H648" s="2142"/>
    </row>
    <row r="649" spans="1:8" ht="13.5">
      <c r="A649" s="1799" t="s">
        <v>3707</v>
      </c>
      <c r="B649" s="1800">
        <f>'Part IV-A-Uses of Funds'!$G$16</f>
        <v>0</v>
      </c>
      <c r="C649" s="1799" t="s">
        <v>1790</v>
      </c>
      <c r="D649" s="1800">
        <f>'Part IV-A-Uses of Funds'!$J$16+'Part IV-A-Uses of Funds'!$M$16+'Part IV-A-Uses of Funds'!$P$16</f>
        <v>0</v>
      </c>
      <c r="E649" s="2141"/>
      <c r="F649" s="2142"/>
      <c r="G649" s="1797"/>
      <c r="H649" s="2142"/>
    </row>
    <row r="650" spans="1:8" ht="13.5">
      <c r="A650" s="1797"/>
      <c r="B650" s="1801"/>
      <c r="C650" s="1797"/>
      <c r="D650" s="1797"/>
      <c r="E650" s="2141"/>
      <c r="F650" s="2142"/>
      <c r="G650" s="1802"/>
      <c r="H650" s="2142"/>
    </row>
    <row r="651" spans="1:8" ht="13.5">
      <c r="A651" s="1794" t="s">
        <v>3706</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3707</v>
      </c>
      <c r="B655" s="1800">
        <f>'Part IV-A-Uses of Funds'!$G$41</f>
        <v>0</v>
      </c>
      <c r="C655" s="1799" t="s">
        <v>1790</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ht="13.5">
      <c r="A657" s="1794" t="s">
        <v>722</v>
      </c>
      <c r="B657" s="1797"/>
      <c r="C657" s="1797"/>
      <c r="D657" s="1797"/>
      <c r="E657" s="1797"/>
      <c r="F657" s="1797"/>
      <c r="G657" s="1797"/>
      <c r="H657" s="2141"/>
    </row>
    <row r="658" spans="1:8" ht="12.75" customHeight="1">
      <c r="A658" s="1798" t="str">
        <f>'Part IV-A-Uses of Funds'!$C$62</f>
        <v>Lender Commitment Fee</v>
      </c>
      <c r="B658" s="1798"/>
      <c r="C658" s="1798"/>
      <c r="D658" s="1798"/>
      <c r="E658" s="1797"/>
      <c r="F658" s="2142" t="str">
        <f>'Part IV-B-Other Items'!F31</f>
        <v>Lender Commitment Fee is a requirement of our investors</v>
      </c>
      <c r="G658" s="1797"/>
      <c r="H658" s="2142" t="str">
        <f>'Part IV-B-Other Items'!H31</f>
        <v>100% of the work is related to construction work.</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Funds'!$G$62</f>
        <v>25000</v>
      </c>
      <c r="C661" s="1799" t="s">
        <v>1790</v>
      </c>
      <c r="D661" s="1800">
        <f>'Part IV-A-Uses of Funds'!$J$62+'Part IV-A-Uses of Funds'!$M$62+'Part IV-A-Uses of Funds'!$P$62</f>
        <v>25000</v>
      </c>
      <c r="E661" s="1797"/>
      <c r="F661" s="2142"/>
      <c r="G661" s="1797"/>
      <c r="H661" s="2142"/>
    </row>
    <row r="662" spans="1:8" ht="13.5">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3707</v>
      </c>
      <c r="B666" s="1800">
        <f>'Part IV-A-Uses of Funds'!$G$63</f>
        <v>0</v>
      </c>
      <c r="C666" s="1799" t="s">
        <v>1790</v>
      </c>
      <c r="D666" s="1800">
        <f>'Part IV-A-Uses of Funds'!$J$63+'Part IV-A-Uses of Funds'!$M$63+'Part IV-A-Uses of Funds'!$P$63</f>
        <v>0</v>
      </c>
      <c r="E666" s="1797"/>
      <c r="F666" s="2142"/>
      <c r="G666" s="1797"/>
      <c r="H666" s="2142"/>
    </row>
    <row r="667" spans="1:8" ht="13.5">
      <c r="A667" s="2141"/>
      <c r="B667" s="2141"/>
      <c r="C667" s="2141"/>
      <c r="D667" s="1797"/>
      <c r="E667" s="1797"/>
      <c r="F667" s="2142"/>
      <c r="G667" s="1802"/>
      <c r="H667" s="2142"/>
    </row>
    <row r="668" spans="1:8" ht="13.5">
      <c r="A668" s="1794" t="s">
        <v>476</v>
      </c>
      <c r="B668" s="1797"/>
      <c r="C668" s="1797"/>
      <c r="D668" s="1797"/>
      <c r="E668" s="1803"/>
      <c r="F668" s="1803"/>
      <c r="G668" s="1797"/>
      <c r="H668" s="2141"/>
    </row>
    <row r="669" spans="1:8" ht="13.5" customHeight="1">
      <c r="A669" s="1798" t="str">
        <f>'Part IV-A-Uses of Funds'!$C$76</f>
        <v>Radon Testing</v>
      </c>
      <c r="B669" s="1798"/>
      <c r="C669" s="1798"/>
      <c r="D669" s="1798"/>
      <c r="E669" s="2141"/>
      <c r="F669" s="2142" t="str">
        <f>'Part IV-B-Other Items'!F42</f>
        <v>Post construction radon testing is a requirement of our investors</v>
      </c>
      <c r="G669" s="1797"/>
      <c r="H669" s="2142" t="str">
        <f>'Part IV-B-Other Items'!H42</f>
        <v>100% of the work is related to construction work.</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3707</v>
      </c>
      <c r="B672" s="1800">
        <f>'Part IV-A-Uses of Funds'!$G$76</f>
        <v>9000</v>
      </c>
      <c r="C672" s="1799" t="s">
        <v>1790</v>
      </c>
      <c r="D672" s="1800">
        <f>'Part IV-A-Uses of Funds'!$J$76+'Part IV-A-Uses of Funds'!$M$76+'Part IV-A-Uses of Funds'!$P$76</f>
        <v>9000</v>
      </c>
      <c r="E672" s="1797"/>
      <c r="F672" s="2142"/>
      <c r="G672" s="1797"/>
      <c r="H672" s="2142"/>
    </row>
    <row r="673" spans="1:8">
      <c r="A673" s="1797"/>
      <c r="B673" s="1801"/>
      <c r="C673" s="1797"/>
      <c r="D673" s="1797"/>
      <c r="E673" s="1797"/>
      <c r="F673" s="2142"/>
      <c r="G673" s="1802"/>
      <c r="H673" s="2142"/>
    </row>
    <row r="674" spans="1:8" ht="13.5">
      <c r="A674" s="1794" t="s">
        <v>724</v>
      </c>
      <c r="B674" s="1797"/>
      <c r="C674" s="1797"/>
      <c r="D674" s="1797"/>
      <c r="E674" s="1797"/>
      <c r="F674" s="1797"/>
      <c r="G674" s="1797"/>
      <c r="H674" s="2141"/>
    </row>
    <row r="675" spans="1:8" ht="13.5" customHeight="1">
      <c r="A675" s="1798" t="str">
        <f>'Part IV-A-Uses of Funds'!$C$90</f>
        <v>&lt;&lt; Enter description here; provide detail &amp; justification in tab Part IV-b &gt;&gt;</v>
      </c>
      <c r="B675" s="1798"/>
      <c r="C675" s="1798"/>
      <c r="D675" s="1798"/>
      <c r="E675" s="2141"/>
      <c r="F675" s="2142">
        <f>'Part IV-B-Other Items'!F48</f>
        <v>0</v>
      </c>
      <c r="G675" s="1797"/>
      <c r="H675" s="2141"/>
    </row>
    <row r="676" spans="1:8" ht="13.5">
      <c r="A676" s="1798"/>
      <c r="B676" s="1798"/>
      <c r="C676" s="1798"/>
      <c r="D676" s="1798"/>
      <c r="E676" s="1797"/>
      <c r="F676" s="2142"/>
      <c r="G676" s="1797"/>
      <c r="H676" s="2141"/>
    </row>
    <row r="677" spans="1:8" ht="13.5">
      <c r="A677" s="1797"/>
      <c r="B677" s="1797"/>
      <c r="C677" s="1797"/>
      <c r="D677" s="1797"/>
      <c r="E677" s="1797"/>
      <c r="F677" s="2142"/>
      <c r="G677" s="1797"/>
      <c r="H677" s="2141"/>
    </row>
    <row r="678" spans="1:8" ht="13.5">
      <c r="A678" s="1799" t="s">
        <v>3707</v>
      </c>
      <c r="B678" s="1800">
        <f>'Part IV-A-Uses of Funds'!$G$90</f>
        <v>0</v>
      </c>
      <c r="C678" s="1804"/>
      <c r="D678" s="1804"/>
      <c r="E678" s="1797"/>
      <c r="F678" s="2142"/>
      <c r="G678" s="1797"/>
      <c r="H678" s="2141"/>
    </row>
    <row r="679" spans="1:8" ht="13.5">
      <c r="A679" s="1797"/>
      <c r="B679" s="1797"/>
      <c r="C679" s="1797"/>
      <c r="D679" s="1797"/>
      <c r="E679" s="1797"/>
      <c r="F679" s="2142"/>
      <c r="G679" s="1802"/>
      <c r="H679" s="2141"/>
    </row>
    <row r="680" spans="1:8" ht="13.5">
      <c r="A680" s="1794" t="s">
        <v>5102</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3707</v>
      </c>
      <c r="B684" s="1800">
        <f>'Part IV-A-Uses of Funds'!$G$103</f>
        <v>0</v>
      </c>
      <c r="C684" s="1804"/>
      <c r="D684" s="1804"/>
      <c r="E684" s="1797"/>
      <c r="F684" s="2142"/>
      <c r="G684" s="1797"/>
      <c r="H684" s="2141"/>
    </row>
    <row r="685" spans="1:8" ht="13.5">
      <c r="A685" s="2748"/>
      <c r="B685" s="2748"/>
      <c r="C685" s="2748"/>
      <c r="D685" s="2748"/>
      <c r="E685" s="2748"/>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ht="13.5">
      <c r="A687" s="1798"/>
      <c r="B687" s="1798"/>
      <c r="C687" s="1798"/>
      <c r="D687" s="1798"/>
      <c r="E687" s="1797"/>
      <c r="F687" s="2142"/>
      <c r="G687" s="1797"/>
      <c r="H687" s="2141"/>
    </row>
    <row r="688" spans="1:8" ht="13.5">
      <c r="A688" s="1797"/>
      <c r="B688" s="1797"/>
      <c r="C688" s="1797"/>
      <c r="D688" s="1797"/>
      <c r="E688" s="1797"/>
      <c r="F688" s="2142"/>
      <c r="G688" s="1797"/>
      <c r="H688" s="2141"/>
    </row>
    <row r="689" spans="1:8" ht="13.5">
      <c r="A689" s="1799" t="s">
        <v>3707</v>
      </c>
      <c r="B689" s="1800">
        <f>'Part IV-A-Uses of Funds'!$G$104</f>
        <v>0</v>
      </c>
      <c r="C689" s="1804"/>
      <c r="D689" s="1804"/>
      <c r="E689" s="1797"/>
      <c r="F689" s="2142"/>
      <c r="G689" s="1797"/>
      <c r="H689" s="2141"/>
    </row>
    <row r="690" spans="1:8" ht="13.5">
      <c r="A690" s="2748"/>
      <c r="B690" s="2748"/>
      <c r="C690" s="2748"/>
      <c r="D690" s="2748"/>
      <c r="E690" s="2748"/>
      <c r="F690" s="2142"/>
      <c r="G690" s="1802"/>
      <c r="H690" s="2141"/>
    </row>
    <row r="691" spans="1:8" ht="13.5">
      <c r="A691" s="1794" t="s">
        <v>5103</v>
      </c>
      <c r="B691" s="1797"/>
      <c r="C691" s="1797"/>
      <c r="D691" s="1797"/>
      <c r="E691" s="1797"/>
      <c r="F691" s="1797"/>
      <c r="G691" s="1797"/>
      <c r="H691" s="2141"/>
    </row>
    <row r="692" spans="1:8" ht="13.5" customHeight="1">
      <c r="A692" s="1798" t="str">
        <f>'Part IV-A-Uses of Funds'!$C$110</f>
        <v>&lt;&lt; Enter description here; provide detail &amp; justification in tab Part IV-b &gt;&gt;</v>
      </c>
      <c r="B692" s="1798"/>
      <c r="C692" s="1798"/>
      <c r="D692" s="1798"/>
      <c r="E692" s="2141"/>
      <c r="F692" s="2142">
        <f>'Part IV-B-Other Items'!F65</f>
        <v>0</v>
      </c>
      <c r="G692" s="1797"/>
      <c r="H692" s="2141"/>
    </row>
    <row r="693" spans="1:8" ht="13.5">
      <c r="A693" s="1798"/>
      <c r="B693" s="1798"/>
      <c r="C693" s="1798"/>
      <c r="D693" s="1798"/>
      <c r="E693" s="1797"/>
      <c r="F693" s="2142"/>
      <c r="G693" s="1797"/>
      <c r="H693" s="2141"/>
    </row>
    <row r="694" spans="1:8" ht="13.5">
      <c r="A694" s="1797"/>
      <c r="B694" s="1797"/>
      <c r="C694" s="1797"/>
      <c r="D694" s="1797"/>
      <c r="E694" s="1797"/>
      <c r="F694" s="2142"/>
      <c r="G694" s="1797"/>
      <c r="H694" s="2141"/>
    </row>
    <row r="695" spans="1:8" ht="13.5">
      <c r="A695" s="1799" t="s">
        <v>3707</v>
      </c>
      <c r="B695" s="1800">
        <f>'Part IV-A-Uses of Funds'!$G$110</f>
        <v>0</v>
      </c>
      <c r="C695" s="1804"/>
      <c r="D695" s="1804"/>
      <c r="E695" s="1797"/>
      <c r="F695" s="2142"/>
      <c r="G695" s="1797"/>
      <c r="H695" s="2141"/>
    </row>
    <row r="696" spans="1:8" ht="13.5">
      <c r="A696" s="1797"/>
      <c r="B696" s="1801"/>
      <c r="C696" s="1797"/>
      <c r="D696" s="1797"/>
      <c r="E696" s="1797"/>
      <c r="F696" s="2142"/>
      <c r="G696" s="1802"/>
      <c r="H696" s="2141"/>
    </row>
    <row r="697" spans="1:8" ht="13.5">
      <c r="A697" s="1794" t="s">
        <v>1309</v>
      </c>
      <c r="B697" s="1797"/>
      <c r="C697" s="1797"/>
      <c r="D697" s="1797"/>
      <c r="E697" s="1797"/>
      <c r="F697" s="1797"/>
      <c r="G697" s="1797"/>
      <c r="H697" s="2141"/>
    </row>
    <row r="698" spans="1:8" ht="13.5" customHeight="1">
      <c r="A698" s="1798" t="str">
        <f>'Part IV-A-Uses of Funds'!$C$125</f>
        <v>Tax and Insurance Escrow</v>
      </c>
      <c r="B698" s="1798"/>
      <c r="C698" s="1798"/>
      <c r="D698" s="1798"/>
      <c r="E698" s="2141"/>
      <c r="F698" s="2142" t="str">
        <f>'Part IV-B-Other Items'!F71</f>
        <v>First Year tax and insurance reserve is a requirement of our investors.</v>
      </c>
      <c r="G698" s="1797"/>
      <c r="H698" s="2142" t="str">
        <f>'Part IV-B-Other Items'!H71</f>
        <v>This item is not in basis.</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3707</v>
      </c>
      <c r="B701" s="1800">
        <f>'Part IV-A-Uses of Funds'!$G$125</f>
        <v>60000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ht="13.5">
      <c r="A703" s="1794" t="s">
        <v>5104</v>
      </c>
      <c r="B703" s="1801"/>
      <c r="C703" s="1797"/>
      <c r="D703" s="1797"/>
      <c r="E703" s="1797"/>
      <c r="F703" s="1797"/>
      <c r="G703" s="1802"/>
      <c r="H703" s="2141"/>
    </row>
    <row r="704" spans="1:8" ht="13.5" customHeight="1">
      <c r="A704" s="1798" t="str">
        <f>'Part IV-A-Uses of Funds'!$C$129</f>
        <v>Site Lighting</v>
      </c>
      <c r="B704" s="1798"/>
      <c r="C704" s="1798"/>
      <c r="D704" s="1798"/>
      <c r="E704" s="2141"/>
      <c r="F704" s="2142" t="str">
        <f>'Part IV-B-Other Items'!F77</f>
        <v>Fee required for construction of site lighting.</v>
      </c>
      <c r="G704" s="1797"/>
      <c r="H704" s="2142" t="str">
        <f>'Part IV-B-Other Items'!H77</f>
        <v>100% of the work is related to construction work.</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3707</v>
      </c>
      <c r="B707" s="1800">
        <f>'Part IV-A-Uses of Funds'!$G$129</f>
        <v>45000</v>
      </c>
      <c r="C707" s="1799" t="s">
        <v>1790</v>
      </c>
      <c r="D707" s="1800">
        <f>'Part IV-A-Uses of Funds'!$J$129+'Part IV-A-Uses of Funds'!$M$129+'Part IV-A-Uses of Funds'!$P$129</f>
        <v>45000</v>
      </c>
      <c r="E707" s="1797"/>
      <c r="F707" s="2142"/>
      <c r="G707" s="1797"/>
      <c r="H707" s="2142"/>
    </row>
    <row r="708" spans="1:13" ht="13.5">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55 Milton,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4609</v>
      </c>
      <c r="I713" s="1947" t="str">
        <f>VLOOKUP('Part I-Project Information'!$J$39,'DCA Underwriting Assumptions'!$G$158:$H$317,2)</f>
        <v>Local PHA</v>
      </c>
    </row>
    <row r="715" spans="1:13">
      <c r="A715" s="1806" t="s">
        <v>3804</v>
      </c>
    </row>
    <row r="717" spans="1:13" ht="25.5">
      <c r="A717" s="742" t="s">
        <v>616</v>
      </c>
      <c r="B717" s="742" t="s">
        <v>2226</v>
      </c>
      <c r="F717" s="742" t="s">
        <v>2518</v>
      </c>
      <c r="I717" s="1635" t="str">
        <f>'Part V-Utility Allowances'!I7</f>
        <v>HUD Utility Model</v>
      </c>
      <c r="J717" s="1635"/>
      <c r="K717" s="1635"/>
      <c r="L717" s="1635"/>
      <c r="M717" s="1635"/>
    </row>
    <row r="718" spans="1:13">
      <c r="F718" s="742" t="s">
        <v>636</v>
      </c>
      <c r="I718" s="2143">
        <f>'Part V-Utility Allowances'!I8</f>
        <v>43452</v>
      </c>
      <c r="J718" s="2143"/>
      <c r="K718" s="1637" t="s">
        <v>540</v>
      </c>
      <c r="L718" s="2111" t="str">
        <f>'Part V-Utility Allowances'!L8</f>
        <v>3+ Story</v>
      </c>
      <c r="M718" s="2111"/>
    </row>
    <row r="720" spans="1:13">
      <c r="F720" s="2111" t="s">
        <v>609</v>
      </c>
      <c r="G720" s="2111"/>
      <c r="I720" s="2111" t="s">
        <v>200</v>
      </c>
      <c r="J720" s="2111"/>
      <c r="K720" s="2111"/>
      <c r="L720" s="2111"/>
      <c r="M720" s="2111"/>
    </row>
    <row r="721" spans="1:13">
      <c r="B721" s="742" t="s">
        <v>798</v>
      </c>
      <c r="D721" s="742" t="s">
        <v>1599</v>
      </c>
      <c r="F721" s="1637" t="s">
        <v>642</v>
      </c>
      <c r="G721" s="1637" t="s">
        <v>1849</v>
      </c>
      <c r="I721" s="1637" t="s">
        <v>568</v>
      </c>
      <c r="J721" s="1637">
        <v>1</v>
      </c>
      <c r="K721" s="1637">
        <v>2</v>
      </c>
      <c r="L721" s="1637">
        <v>3</v>
      </c>
      <c r="M721" s="1637">
        <v>4</v>
      </c>
    </row>
    <row r="722" spans="1:13">
      <c r="B722" s="742" t="s">
        <v>1851</v>
      </c>
      <c r="D722" s="2111" t="str">
        <f>'Part V-Utility Allowances'!D12</f>
        <v>Electric Heat Pump</v>
      </c>
      <c r="E722" s="2111"/>
      <c r="F722" s="2749" t="str">
        <f>'Part V-Utility Allowances'!F12</f>
        <v>X</v>
      </c>
      <c r="G722" s="2749">
        <f>'Part V-Utility Allowances'!G12</f>
        <v>0</v>
      </c>
      <c r="I722" s="1637">
        <f>'Part V-Utility Allowances'!I12</f>
        <v>0</v>
      </c>
      <c r="J722" s="1637">
        <f>'Part V-Utility Allowances'!J12</f>
        <v>12</v>
      </c>
      <c r="K722" s="1637">
        <f>'Part V-Utility Allowances'!K12</f>
        <v>14</v>
      </c>
      <c r="L722" s="1637">
        <f>'Part V-Utility Allowances'!L12</f>
        <v>15</v>
      </c>
      <c r="M722" s="1637">
        <f>'Part V-Utility Allowances'!M12</f>
        <v>0</v>
      </c>
    </row>
    <row r="723" spans="1:13">
      <c r="B723" s="742" t="s">
        <v>1597</v>
      </c>
      <c r="D723" s="2111" t="str">
        <f>'Part V-Utility Allowances'!D13</f>
        <v>Electric</v>
      </c>
      <c r="E723" s="2111"/>
      <c r="F723" s="2749" t="str">
        <f>'Part V-Utility Allowances'!F13</f>
        <v>X</v>
      </c>
      <c r="G723" s="2749">
        <f>'Part V-Utility Allowances'!G13</f>
        <v>0</v>
      </c>
      <c r="I723" s="1637">
        <f>'Part V-Utility Allowances'!I13</f>
        <v>0</v>
      </c>
      <c r="J723" s="1637">
        <f>'Part V-Utility Allowances'!J13</f>
        <v>6</v>
      </c>
      <c r="K723" s="1637">
        <f>'Part V-Utility Allowances'!K13</f>
        <v>8</v>
      </c>
      <c r="L723" s="1637">
        <f>'Part V-Utility Allowances'!L13</f>
        <v>11</v>
      </c>
      <c r="M723" s="1637">
        <f>'Part V-Utility Allowances'!M13</f>
        <v>0</v>
      </c>
    </row>
    <row r="724" spans="1:13">
      <c r="B724" s="742" t="s">
        <v>1598</v>
      </c>
      <c r="D724" s="2111" t="str">
        <f>'Part V-Utility Allowances'!D14</f>
        <v>Electric</v>
      </c>
      <c r="E724" s="2111"/>
      <c r="F724" s="2749" t="str">
        <f>'Part V-Utility Allowances'!F14</f>
        <v>X</v>
      </c>
      <c r="G724" s="2749">
        <f>'Part V-Utility Allowances'!G14</f>
        <v>0</v>
      </c>
      <c r="I724" s="1637">
        <f>'Part V-Utility Allowances'!I14</f>
        <v>0</v>
      </c>
      <c r="J724" s="1637">
        <f>'Part V-Utility Allowances'!J14</f>
        <v>13</v>
      </c>
      <c r="K724" s="1637">
        <f>'Part V-Utility Allowances'!K14</f>
        <v>17</v>
      </c>
      <c r="L724" s="1637">
        <f>'Part V-Utility Allowances'!L14</f>
        <v>20</v>
      </c>
      <c r="M724" s="1637">
        <f>'Part V-Utility Allowances'!M14</f>
        <v>0</v>
      </c>
    </row>
    <row r="725" spans="1:13">
      <c r="B725" s="742" t="s">
        <v>467</v>
      </c>
      <c r="D725" s="742" t="s">
        <v>1596</v>
      </c>
      <c r="F725" s="2749" t="str">
        <f>'Part V-Utility Allowances'!F15</f>
        <v>X</v>
      </c>
      <c r="G725" s="2749">
        <f>'Part V-Utility Allowances'!G15</f>
        <v>0</v>
      </c>
      <c r="I725" s="1637">
        <f>'Part V-Utility Allowances'!I15</f>
        <v>0</v>
      </c>
      <c r="J725" s="1637">
        <f>'Part V-Utility Allowances'!J15</f>
        <v>10</v>
      </c>
      <c r="K725" s="1637">
        <f>'Part V-Utility Allowances'!K15</f>
        <v>16</v>
      </c>
      <c r="L725" s="1637">
        <f>'Part V-Utility Allowances'!L15</f>
        <v>24</v>
      </c>
      <c r="M725" s="1637">
        <f>'Part V-Utility Allowances'!M15</f>
        <v>0</v>
      </c>
    </row>
    <row r="726" spans="1:13">
      <c r="B726" s="742" t="s">
        <v>3801</v>
      </c>
      <c r="D726" s="742" t="s">
        <v>1596</v>
      </c>
      <c r="F726" s="2749">
        <f>'Part V-Utility Allowances'!F16</f>
        <v>0</v>
      </c>
      <c r="G726" s="2749">
        <f>'Part V-Utility Allowances'!G16</f>
        <v>0</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3802</v>
      </c>
      <c r="D727" s="742" t="s">
        <v>1596</v>
      </c>
      <c r="F727" s="2749">
        <f>'Part V-Utility Allowances'!F17</f>
        <v>0</v>
      </c>
      <c r="G727" s="2749">
        <f>'Part V-Utility Allowances'!G17</f>
        <v>0</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3803</v>
      </c>
      <c r="D728" s="742" t="s">
        <v>1596</v>
      </c>
      <c r="F728" s="2749" t="str">
        <f>'Part V-Utility Allowances'!F18</f>
        <v>X</v>
      </c>
      <c r="G728" s="2749">
        <f>'Part V-Utility Allowances'!G18</f>
        <v>0</v>
      </c>
      <c r="I728" s="1637">
        <f>'Part V-Utility Allowances'!I18</f>
        <v>0</v>
      </c>
      <c r="J728" s="1637">
        <f>'Part V-Utility Allowances'!J18</f>
        <v>31</v>
      </c>
      <c r="K728" s="1637">
        <f>'Part V-Utility Allowances'!K18</f>
        <v>39</v>
      </c>
      <c r="L728" s="1637">
        <f>'Part V-Utility Allowances'!L18</f>
        <v>48</v>
      </c>
      <c r="M728" s="1637">
        <f>'Part V-Utility Allowances'!M18</f>
        <v>0</v>
      </c>
    </row>
    <row r="729" spans="1:13">
      <c r="B729" s="742" t="s">
        <v>1370</v>
      </c>
      <c r="D729" s="742" t="s">
        <v>4522</v>
      </c>
      <c r="E729" s="1637" t="str">
        <f>'Part V-Utility Allowances'!E19</f>
        <v>Yes</v>
      </c>
      <c r="F729" s="2749">
        <f>'Part V-Utility Allowances'!F19</f>
        <v>0</v>
      </c>
      <c r="G729" s="2749"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1850</v>
      </c>
      <c r="F730" s="2749">
        <f>'Part V-Utility Allowances'!F20</f>
        <v>0</v>
      </c>
      <c r="G730" s="2749"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f>'Part V-Utility Allowances'!C21</f>
        <v>0</v>
      </c>
      <c r="D731" s="521"/>
      <c r="E731" s="521"/>
      <c r="F731" s="2749">
        <f>'Part V-Utility Allowances'!F21</f>
        <v>0</v>
      </c>
      <c r="G731" s="2749">
        <f>'Part V-Utility Allowances'!G21</f>
        <v>0</v>
      </c>
      <c r="I731" s="1637">
        <f>'Part V-Utility Allowances'!I21</f>
        <v>0</v>
      </c>
      <c r="J731" s="1637">
        <f>'Part V-Utility Allowances'!J21</f>
        <v>0</v>
      </c>
      <c r="K731" s="1637">
        <f>'Part V-Utility Allowances'!K21</f>
        <v>0</v>
      </c>
      <c r="L731" s="1637">
        <f>'Part V-Utility Allowances'!L21</f>
        <v>0</v>
      </c>
      <c r="M731" s="1637">
        <f>'Part V-Utility Allowances'!M21</f>
        <v>0</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72</v>
      </c>
      <c r="K732" s="1637">
        <f>IF(SUM(K722:K731)=0,0,IF(OR($D722="&lt;&lt;Select Fuel &gt;&gt;",$D723="&lt;&lt;Select Fuel &gt;&gt;",$D724="&lt;&lt;Select Fuel &gt;&gt;"),"Select Fuel",IF($E729="&lt;Select&gt;","Submeter?",SUM(K722:K731))))</f>
        <v>94</v>
      </c>
      <c r="L732" s="1637">
        <f>IF(SUM(L722:L731)=0,0,IF(OR($D722="&lt;&lt;Select Fuel &gt;&gt;",$D723="&lt;&lt;Select Fuel &gt;&gt;",$D724="&lt;&lt;Select Fuel &gt;&gt;"),"Select Fuel",IF($E729="&lt;Select&gt;","Submeter?",SUM(L722:L731))))</f>
        <v>118</v>
      </c>
      <c r="M732" s="1637">
        <f>IF(SUM(M722:M731)=0,0,IF(OR($D722="&lt;&lt;Select Fuel &gt;&gt;",$D723="&lt;&lt;Select Fuel &gt;&gt;",$D724="&lt;&lt;Select Fuel &gt;&gt;"),"Select Fuel",IF($E729="&lt;Select&gt;","Submeter?",SUM(M722:M731))))</f>
        <v>0</v>
      </c>
    </row>
    <row r="734" spans="1:13" ht="25.5">
      <c r="A734" s="742" t="s">
        <v>740</v>
      </c>
      <c r="B734" s="742" t="s">
        <v>2227</v>
      </c>
      <c r="F734" s="742" t="s">
        <v>2518</v>
      </c>
      <c r="I734" s="1635" t="str">
        <f>'Part V-Utility Allowances'!I24</f>
        <v>Atlanta Housing Authority</v>
      </c>
      <c r="J734" s="1635"/>
      <c r="K734" s="1635"/>
      <c r="L734" s="1635"/>
      <c r="M734" s="1635"/>
    </row>
    <row r="735" spans="1:13">
      <c r="F735" s="742" t="s">
        <v>636</v>
      </c>
      <c r="I735" s="2143">
        <f>'Part V-Utility Allowances'!I25</f>
        <v>43466</v>
      </c>
      <c r="J735" s="2143"/>
      <c r="K735" s="1637" t="s">
        <v>540</v>
      </c>
      <c r="L735" s="2111" t="str">
        <f>'Part V-Utility Allowances'!L25</f>
        <v>3+ Story</v>
      </c>
      <c r="M735" s="2111"/>
    </row>
    <row r="737" spans="2:13">
      <c r="F737" s="2111" t="s">
        <v>609</v>
      </c>
      <c r="G737" s="2111"/>
      <c r="I737" s="2111" t="s">
        <v>200</v>
      </c>
      <c r="J737" s="2111"/>
      <c r="K737" s="2111"/>
      <c r="L737" s="2111"/>
      <c r="M737" s="2111"/>
    </row>
    <row r="738" spans="2:13">
      <c r="B738" s="742" t="s">
        <v>798</v>
      </c>
      <c r="D738" s="742" t="s">
        <v>1599</v>
      </c>
      <c r="F738" s="1637" t="s">
        <v>642</v>
      </c>
      <c r="G738" s="1637" t="s">
        <v>1849</v>
      </c>
      <c r="I738" s="1637" t="s">
        <v>568</v>
      </c>
      <c r="J738" s="1637">
        <v>1</v>
      </c>
      <c r="K738" s="1637">
        <v>2</v>
      </c>
      <c r="L738" s="1637">
        <v>3</v>
      </c>
      <c r="M738" s="1637">
        <v>4</v>
      </c>
    </row>
    <row r="739" spans="2:13">
      <c r="B739" s="742" t="s">
        <v>1851</v>
      </c>
      <c r="D739" s="2111" t="str">
        <f>'Part V-Utility Allowances'!D29</f>
        <v>Electric Heat Pump</v>
      </c>
      <c r="E739" s="2111"/>
      <c r="F739" s="2749">
        <f>'Part V-Utility Allowances'!F29</f>
        <v>0</v>
      </c>
      <c r="G739" s="2749" t="str">
        <f>'Part V-Utility Allowances'!G29</f>
        <v>X</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Electric</v>
      </c>
      <c r="E740" s="2111"/>
      <c r="F740" s="2749">
        <f>'Part V-Utility Allowances'!F30</f>
        <v>0</v>
      </c>
      <c r="G740" s="2749" t="str">
        <f>'Part V-Utility Allowances'!G30</f>
        <v>X</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Electric</v>
      </c>
      <c r="E741" s="2111"/>
      <c r="F741" s="2749">
        <f>'Part V-Utility Allowances'!F31</f>
        <v>0</v>
      </c>
      <c r="G741" s="2749" t="str">
        <f>'Part V-Utility Allowances'!G31</f>
        <v>X</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49">
        <f>'Part V-Utility Allowances'!F32</f>
        <v>0</v>
      </c>
      <c r="G742" s="2749" t="str">
        <f>'Part V-Utility Allowances'!G32</f>
        <v>X</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3801</v>
      </c>
      <c r="D743" s="742" t="s">
        <v>1596</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3802</v>
      </c>
      <c r="D744" s="742" t="s">
        <v>1596</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3803</v>
      </c>
      <c r="D745" s="742" t="s">
        <v>1596</v>
      </c>
      <c r="F745" s="2749">
        <f>'Part V-Utility Allowances'!F35</f>
        <v>0</v>
      </c>
      <c r="G745" s="2749" t="str">
        <f>'Part V-Utility Allowances'!G35</f>
        <v>X</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4522</v>
      </c>
      <c r="E746" s="1637" t="str">
        <f>'Part V-Utility Allowances'!E36</f>
        <v>Yes</v>
      </c>
      <c r="F746" s="2749">
        <f>'Part V-Utility Allowances'!F36</f>
        <v>0</v>
      </c>
      <c r="G746" s="2749" t="str">
        <f>'Part V-Utility Allowances'!G36</f>
        <v>X</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1850</v>
      </c>
      <c r="F747" s="2749">
        <f>'Part V-Utility Allowances'!F37</f>
        <v>0</v>
      </c>
      <c r="G747" s="2749" t="str">
        <f>'Part V-Utility Allowances'!G37</f>
        <v>X</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4523</v>
      </c>
      <c r="F751" s="1637"/>
      <c r="G751" s="1637"/>
      <c r="I751" s="1637"/>
      <c r="J751" s="1637"/>
      <c r="K751" s="1637"/>
      <c r="L751" s="1637"/>
      <c r="M751" s="1637"/>
    </row>
    <row r="752" spans="2:13">
      <c r="B752" s="742" t="s">
        <v>572</v>
      </c>
    </row>
    <row r="753" spans="1:357" ht="409.5">
      <c r="B753" s="1485" t="str">
        <f>'Part V-Utility Allowances'!B43</f>
        <v>The HUD Utility Schedule Model is an allowed utility allowance for a Tax Credit Building with no HOME per Threshold Section 1 Feasibility, Subsection 7 Operating Utility Allowance. The PBRA units will be owner paid. All documentation used in the calculation has been submitted in Folder 01 Feasibility.</v>
      </c>
      <c r="C753" s="1485"/>
      <c r="D753" s="1485"/>
      <c r="E753" s="1485"/>
      <c r="F753" s="1485"/>
      <c r="G753" s="1485"/>
      <c r="H753" s="1485"/>
      <c r="I753" s="1485"/>
      <c r="J753" s="1485"/>
      <c r="K753" s="1485"/>
      <c r="L753" s="1485"/>
      <c r="M753" s="1485"/>
    </row>
    <row r="755" spans="1:357">
      <c r="B755" s="742" t="s">
        <v>1844</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55 Milton,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55 Milton,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2365</v>
      </c>
      <c r="C765" s="1631"/>
      <c r="D765" s="1652" t="s">
        <v>3569</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2439</v>
      </c>
      <c r="IF765" s="1632" t="s">
        <v>2440</v>
      </c>
      <c r="IG765" s="1632" t="s">
        <v>2441</v>
      </c>
      <c r="IH765" s="1632" t="s">
        <v>2442</v>
      </c>
      <c r="II765" s="1632" t="s">
        <v>485</v>
      </c>
      <c r="IJ765" s="1632" t="s">
        <v>2439</v>
      </c>
      <c r="IK765" s="1632" t="s">
        <v>2440</v>
      </c>
      <c r="IL765" s="1632" t="s">
        <v>2441</v>
      </c>
      <c r="IM765" s="1632" t="s">
        <v>2442</v>
      </c>
      <c r="IN765" s="1633"/>
      <c r="IO765" s="1633"/>
      <c r="IP765" s="1633"/>
      <c r="IQ765" s="1633"/>
      <c r="IR765" s="1633"/>
      <c r="IS765" s="1633"/>
      <c r="IT765" s="1633"/>
      <c r="IU765" s="1633"/>
      <c r="IV765" s="1633"/>
      <c r="IW765" s="1633"/>
      <c r="IX765" s="1632" t="s">
        <v>485</v>
      </c>
      <c r="IY765" s="1632" t="s">
        <v>2439</v>
      </c>
      <c r="IZ765" s="1632" t="s">
        <v>2440</v>
      </c>
      <c r="JA765" s="1632" t="s">
        <v>2441</v>
      </c>
      <c r="JB765" s="1632" t="s">
        <v>2442</v>
      </c>
      <c r="JC765" s="1632" t="s">
        <v>485</v>
      </c>
      <c r="JD765" s="1632" t="s">
        <v>2439</v>
      </c>
      <c r="JE765" s="1632" t="s">
        <v>2440</v>
      </c>
      <c r="JF765" s="1632" t="s">
        <v>2441</v>
      </c>
      <c r="JG765" s="1632" t="s">
        <v>2442</v>
      </c>
      <c r="JH765" s="1632" t="s">
        <v>485</v>
      </c>
      <c r="JI765" s="1632" t="s">
        <v>2439</v>
      </c>
      <c r="JJ765" s="1632" t="s">
        <v>2440</v>
      </c>
      <c r="JK765" s="1632" t="s">
        <v>2441</v>
      </c>
      <c r="JL765" s="1632" t="s">
        <v>2442</v>
      </c>
      <c r="JM765" s="1632" t="s">
        <v>485</v>
      </c>
      <c r="JN765" s="1632" t="s">
        <v>2439</v>
      </c>
      <c r="JO765" s="1632" t="s">
        <v>2440</v>
      </c>
      <c r="JP765" s="1632" t="s">
        <v>2441</v>
      </c>
      <c r="JQ765" s="1632" t="s">
        <v>2442</v>
      </c>
      <c r="JR765" s="1632" t="s">
        <v>485</v>
      </c>
      <c r="JS765" s="1632" t="s">
        <v>2439</v>
      </c>
      <c r="JT765" s="1632" t="s">
        <v>2440</v>
      </c>
      <c r="JU765" s="1632" t="s">
        <v>2441</v>
      </c>
      <c r="JV765" s="1632" t="s">
        <v>2442</v>
      </c>
      <c r="JW765" s="1632" t="s">
        <v>485</v>
      </c>
      <c r="JX765" s="1632" t="s">
        <v>2439</v>
      </c>
      <c r="JY765" s="1632" t="s">
        <v>2440</v>
      </c>
      <c r="JZ765" s="1632" t="s">
        <v>2441</v>
      </c>
      <c r="KA765" s="1632" t="s">
        <v>2442</v>
      </c>
      <c r="KB765" s="1632" t="s">
        <v>485</v>
      </c>
      <c r="KC765" s="1632" t="s">
        <v>2439</v>
      </c>
      <c r="KD765" s="1632" t="s">
        <v>2440</v>
      </c>
      <c r="KE765" s="1632" t="s">
        <v>2441</v>
      </c>
      <c r="KF765" s="1632" t="s">
        <v>2442</v>
      </c>
      <c r="KG765" s="1632" t="s">
        <v>485</v>
      </c>
      <c r="KH765" s="1632" t="s">
        <v>2439</v>
      </c>
      <c r="KI765" s="1632" t="s">
        <v>2440</v>
      </c>
      <c r="KJ765" s="1632" t="s">
        <v>2441</v>
      </c>
      <c r="KK765" s="1632" t="s">
        <v>2442</v>
      </c>
      <c r="KL765" s="1632" t="s">
        <v>485</v>
      </c>
      <c r="KM765" s="1632" t="s">
        <v>2439</v>
      </c>
      <c r="KN765" s="1632" t="s">
        <v>2440</v>
      </c>
      <c r="KO765" s="1632" t="s">
        <v>2441</v>
      </c>
      <c r="KP765" s="1632" t="s">
        <v>2442</v>
      </c>
      <c r="KQ765" s="1632" t="s">
        <v>485</v>
      </c>
      <c r="KR765" s="1632" t="s">
        <v>2439</v>
      </c>
      <c r="KS765" s="1632" t="s">
        <v>2440</v>
      </c>
      <c r="KT765" s="1632" t="s">
        <v>2441</v>
      </c>
      <c r="KU765" s="1632" t="s">
        <v>2442</v>
      </c>
      <c r="KV765" s="1632" t="s">
        <v>485</v>
      </c>
      <c r="KW765" s="1632" t="s">
        <v>2439</v>
      </c>
      <c r="KX765" s="1632" t="s">
        <v>2440</v>
      </c>
      <c r="KY765" s="1632" t="s">
        <v>2441</v>
      </c>
      <c r="KZ765" s="1632" t="s">
        <v>2442</v>
      </c>
      <c r="LA765" s="1632" t="s">
        <v>485</v>
      </c>
      <c r="LB765" s="1632" t="s">
        <v>2439</v>
      </c>
      <c r="LC765" s="1632" t="s">
        <v>2440</v>
      </c>
      <c r="LD765" s="1632" t="s">
        <v>2441</v>
      </c>
      <c r="LE765" s="1632" t="s">
        <v>2442</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3422</v>
      </c>
      <c r="MF765" s="1635" t="s">
        <v>3423</v>
      </c>
      <c r="MG765" s="1635" t="s">
        <v>3424</v>
      </c>
      <c r="MH765" s="1635" t="s">
        <v>3425</v>
      </c>
      <c r="MI765" s="1635" t="s">
        <v>3426</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4524</v>
      </c>
      <c r="Q766" s="2716"/>
      <c r="R766" s="1636"/>
      <c r="S766" s="1636"/>
      <c r="T766" s="1636"/>
      <c r="U766" s="1636"/>
      <c r="V766" s="1631"/>
      <c r="W766" s="1810" t="s">
        <v>4623</v>
      </c>
      <c r="X766" s="1810" t="s">
        <v>4624</v>
      </c>
      <c r="Y766" s="1810" t="s">
        <v>4625</v>
      </c>
      <c r="Z766" s="1810" t="s">
        <v>4626</v>
      </c>
      <c r="AA766" s="1810" t="s">
        <v>4627</v>
      </c>
      <c r="AB766" s="1810" t="s">
        <v>4628</v>
      </c>
      <c r="AC766" s="1810" t="s">
        <v>4629</v>
      </c>
      <c r="AD766" s="1810" t="s">
        <v>4630</v>
      </c>
      <c r="AE766" s="1810" t="s">
        <v>4631</v>
      </c>
      <c r="AF766" s="1810" t="s">
        <v>4632</v>
      </c>
      <c r="AG766" s="1810" t="s">
        <v>919</v>
      </c>
      <c r="AH766" s="1810" t="s">
        <v>756</v>
      </c>
      <c r="AI766" s="1810" t="s">
        <v>757</v>
      </c>
      <c r="AJ766" s="1810" t="s">
        <v>758</v>
      </c>
      <c r="AK766" s="1810" t="s">
        <v>759</v>
      </c>
      <c r="AL766" s="1810" t="s">
        <v>920</v>
      </c>
      <c r="AM766" s="1810" t="s">
        <v>2309</v>
      </c>
      <c r="AN766" s="1810" t="s">
        <v>2310</v>
      </c>
      <c r="AO766" s="1810" t="s">
        <v>2311</v>
      </c>
      <c r="AP766" s="1810" t="s">
        <v>2312</v>
      </c>
      <c r="AQ766" s="1810" t="s">
        <v>4634</v>
      </c>
      <c r="AR766" s="1810" t="s">
        <v>4635</v>
      </c>
      <c r="AS766" s="1810" t="s">
        <v>4636</v>
      </c>
      <c r="AT766" s="1810" t="s">
        <v>4637</v>
      </c>
      <c r="AU766" s="1810" t="s">
        <v>4633</v>
      </c>
      <c r="AV766" s="1810" t="s">
        <v>921</v>
      </c>
      <c r="AW766" s="1810" t="s">
        <v>2313</v>
      </c>
      <c r="AX766" s="1810" t="s">
        <v>2314</v>
      </c>
      <c r="AY766" s="1810" t="s">
        <v>2315</v>
      </c>
      <c r="AZ766" s="1810" t="s">
        <v>2316</v>
      </c>
      <c r="BA766" s="1810" t="s">
        <v>4638</v>
      </c>
      <c r="BB766" s="1810" t="s">
        <v>4639</v>
      </c>
      <c r="BC766" s="1810" t="s">
        <v>4640</v>
      </c>
      <c r="BD766" s="1810" t="s">
        <v>4641</v>
      </c>
      <c r="BE766" s="1810" t="s">
        <v>4642</v>
      </c>
      <c r="BF766" s="1810" t="s">
        <v>129</v>
      </c>
      <c r="BG766" s="1810" t="s">
        <v>2317</v>
      </c>
      <c r="BH766" s="1810" t="s">
        <v>2318</v>
      </c>
      <c r="BI766" s="1810" t="s">
        <v>2319</v>
      </c>
      <c r="BJ766" s="1810" t="s">
        <v>1148</v>
      </c>
      <c r="BK766" s="1810" t="s">
        <v>4643</v>
      </c>
      <c r="BL766" s="1810" t="s">
        <v>4644</v>
      </c>
      <c r="BM766" s="1810" t="s">
        <v>4645</v>
      </c>
      <c r="BN766" s="1810" t="s">
        <v>4646</v>
      </c>
      <c r="BO766" s="1810" t="s">
        <v>4647</v>
      </c>
      <c r="BP766" s="1810" t="s">
        <v>556</v>
      </c>
      <c r="BQ766" s="1810" t="s">
        <v>557</v>
      </c>
      <c r="BR766" s="1810" t="s">
        <v>577</v>
      </c>
      <c r="BS766" s="1810" t="s">
        <v>578</v>
      </c>
      <c r="BT766" s="1810" t="s">
        <v>579</v>
      </c>
      <c r="BU766" s="1810" t="s">
        <v>4648</v>
      </c>
      <c r="BV766" s="1810" t="s">
        <v>4649</v>
      </c>
      <c r="BW766" s="1810" t="s">
        <v>4650</v>
      </c>
      <c r="BX766" s="1810" t="s">
        <v>4651</v>
      </c>
      <c r="BY766" s="1810" t="s">
        <v>4652</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4658</v>
      </c>
      <c r="CK766" s="1810" t="s">
        <v>4659</v>
      </c>
      <c r="CL766" s="1810" t="s">
        <v>4660</v>
      </c>
      <c r="CM766" s="1810" t="s">
        <v>4661</v>
      </c>
      <c r="CN766" s="1810" t="s">
        <v>4662</v>
      </c>
      <c r="CO766" s="1810" t="s">
        <v>4653</v>
      </c>
      <c r="CP766" s="1810" t="s">
        <v>4654</v>
      </c>
      <c r="CQ766" s="1810" t="s">
        <v>4655</v>
      </c>
      <c r="CR766" s="1810" t="s">
        <v>4656</v>
      </c>
      <c r="CS766" s="1810" t="s">
        <v>4657</v>
      </c>
      <c r="CT766" s="1810" t="s">
        <v>4663</v>
      </c>
      <c r="CU766" s="1810" t="s">
        <v>4664</v>
      </c>
      <c r="CV766" s="1810" t="s">
        <v>4665</v>
      </c>
      <c r="CW766" s="1810" t="s">
        <v>4666</v>
      </c>
      <c r="CX766" s="1810" t="s">
        <v>4667</v>
      </c>
      <c r="CY766" s="1810" t="s">
        <v>496</v>
      </c>
      <c r="CZ766" s="1810" t="s">
        <v>497</v>
      </c>
      <c r="DA766" s="1810" t="s">
        <v>498</v>
      </c>
      <c r="DB766" s="1810" t="s">
        <v>499</v>
      </c>
      <c r="DC766" s="1810" t="s">
        <v>500</v>
      </c>
      <c r="DD766" s="1810" t="s">
        <v>4668</v>
      </c>
      <c r="DE766" s="1810" t="s">
        <v>4669</v>
      </c>
      <c r="DF766" s="1810" t="s">
        <v>4670</v>
      </c>
      <c r="DG766" s="1810" t="s">
        <v>4671</v>
      </c>
      <c r="DH766" s="1810" t="s">
        <v>4672</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4673</v>
      </c>
      <c r="DT766" s="1810" t="s">
        <v>4674</v>
      </c>
      <c r="DU766" s="1810" t="s">
        <v>4675</v>
      </c>
      <c r="DV766" s="1810" t="s">
        <v>4676</v>
      </c>
      <c r="DW766" s="1810" t="s">
        <v>4677</v>
      </c>
      <c r="DX766" s="1810" t="s">
        <v>4678</v>
      </c>
      <c r="DY766" s="1810" t="s">
        <v>4679</v>
      </c>
      <c r="DZ766" s="1810" t="s">
        <v>4680</v>
      </c>
      <c r="EA766" s="1810" t="s">
        <v>4681</v>
      </c>
      <c r="EB766" s="1810" t="s">
        <v>4682</v>
      </c>
      <c r="EC766" s="1810" t="s">
        <v>2429</v>
      </c>
      <c r="ED766" s="1810" t="s">
        <v>2430</v>
      </c>
      <c r="EE766" s="1810" t="s">
        <v>2431</v>
      </c>
      <c r="EF766" s="1810" t="s">
        <v>2432</v>
      </c>
      <c r="EG766" s="1810" t="s">
        <v>2433</v>
      </c>
      <c r="EH766" s="1810" t="s">
        <v>4683</v>
      </c>
      <c r="EI766" s="1810" t="s">
        <v>4684</v>
      </c>
      <c r="EJ766" s="1810" t="s">
        <v>4685</v>
      </c>
      <c r="EK766" s="1810" t="s">
        <v>4686</v>
      </c>
      <c r="EL766" s="1810" t="s">
        <v>4687</v>
      </c>
      <c r="EM766" s="1810" t="s">
        <v>4688</v>
      </c>
      <c r="EN766" s="1810" t="s">
        <v>4689</v>
      </c>
      <c r="EO766" s="1810" t="s">
        <v>4690</v>
      </c>
      <c r="EP766" s="1810" t="s">
        <v>4691</v>
      </c>
      <c r="EQ766" s="1810" t="s">
        <v>4692</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4693</v>
      </c>
      <c r="FC766" s="1810" t="s">
        <v>4694</v>
      </c>
      <c r="FD766" s="1810" t="s">
        <v>4695</v>
      </c>
      <c r="FE766" s="1810" t="s">
        <v>4696</v>
      </c>
      <c r="FF766" s="1810" t="s">
        <v>4697</v>
      </c>
      <c r="FG766" s="1635" t="s">
        <v>131</v>
      </c>
      <c r="FH766" s="1635" t="s">
        <v>911</v>
      </c>
      <c r="FI766" s="1635" t="s">
        <v>912</v>
      </c>
      <c r="FJ766" s="1635" t="s">
        <v>913</v>
      </c>
      <c r="FK766" s="1635" t="s">
        <v>914</v>
      </c>
      <c r="FL766" s="1810" t="s">
        <v>4698</v>
      </c>
      <c r="FM766" s="1810" t="s">
        <v>4699</v>
      </c>
      <c r="FN766" s="1810" t="s">
        <v>4700</v>
      </c>
      <c r="FO766" s="1810" t="s">
        <v>4701</v>
      </c>
      <c r="FP766" s="1810" t="s">
        <v>4702</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2428</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2207</v>
      </c>
      <c r="HP766" s="1635" t="s">
        <v>2208</v>
      </c>
      <c r="HQ766" s="1635" t="s">
        <v>2209</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2522</v>
      </c>
      <c r="LH766" s="1635" t="s">
        <v>2523</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1845</v>
      </c>
      <c r="C767" s="1631"/>
      <c r="D767" s="1631"/>
      <c r="E767" s="1631"/>
      <c r="F767" s="1631"/>
      <c r="G767" s="1630" t="str">
        <f>'Part VI-Revenues &amp; Expenses'!G5</f>
        <v>&lt;Select&gt;</v>
      </c>
      <c r="H767" s="1631"/>
      <c r="I767" s="1631"/>
      <c r="J767" s="1633" t="s">
        <v>3564</v>
      </c>
      <c r="K767" s="2751" t="str">
        <f>'Part I-Project Information'!$B$6</f>
        <v>May 2019 Final</v>
      </c>
      <c r="L767" s="2752"/>
      <c r="M767" s="1947" t="s">
        <v>576</v>
      </c>
      <c r="N767" s="1631"/>
      <c r="O767" s="1630" t="s">
        <v>5151</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3417</v>
      </c>
      <c r="MK767" s="1636" t="s">
        <v>3418</v>
      </c>
      <c r="ML767" s="1636" t="s">
        <v>3419</v>
      </c>
      <c r="MM767" s="1636" t="s">
        <v>3420</v>
      </c>
      <c r="MN767" s="1636" t="s">
        <v>3421</v>
      </c>
      <c r="MO767" s="1635" t="s">
        <v>3431</v>
      </c>
      <c r="MP767" s="1635" t="s">
        <v>3433</v>
      </c>
      <c r="MQ767" s="1635" t="s">
        <v>3434</v>
      </c>
      <c r="MR767" s="1635" t="s">
        <v>3435</v>
      </c>
      <c r="MS767" s="1635" t="s">
        <v>3436</v>
      </c>
    </row>
    <row r="768" spans="1:357" ht="12.75" customHeight="1">
      <c r="A768" s="2750"/>
      <c r="B768" s="1843" t="s">
        <v>1805</v>
      </c>
      <c r="C768" s="1631"/>
      <c r="D768" s="1631"/>
      <c r="E768" s="1631"/>
      <c r="F768" s="1630" t="str">
        <f>'Part VI-Revenues &amp; Expenses'!F6</f>
        <v>&lt;Select&gt;</v>
      </c>
      <c r="G768" s="1633" t="s">
        <v>3664</v>
      </c>
      <c r="H768" s="1810" t="s">
        <v>3888</v>
      </c>
      <c r="I768" s="1633" t="s">
        <v>798</v>
      </c>
      <c r="J768" s="1633" t="s">
        <v>3667</v>
      </c>
      <c r="K768" s="2752"/>
      <c r="L768" s="2752"/>
      <c r="M768" s="2753" t="str">
        <f>'Part I-Project Information'!$O$40</f>
        <v>Atlanta-Sandy Springs-Marietta</v>
      </c>
      <c r="N768" s="2753"/>
      <c r="O768" s="1924">
        <f>VLOOKUP('Part I-Project Information'!$O$40,'DCA Underwriting Assumptions'!$C$158:$D$268,2)</f>
        <v>74800</v>
      </c>
      <c r="P768" s="1810"/>
      <c r="Q768" s="2716"/>
      <c r="R768" s="1631"/>
      <c r="S768" s="1631" t="s">
        <v>2697</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4705</v>
      </c>
      <c r="C769" s="1631"/>
      <c r="D769" s="1631"/>
      <c r="E769" s="1631"/>
      <c r="F769" s="1631"/>
      <c r="G769" s="1633" t="s">
        <v>3665</v>
      </c>
      <c r="H769" s="1810"/>
      <c r="I769" s="1633" t="s">
        <v>799</v>
      </c>
      <c r="J769" s="1633" t="s">
        <v>3668</v>
      </c>
      <c r="K769" s="1636"/>
      <c r="L769" s="1636"/>
      <c r="M769" s="2753"/>
      <c r="N769" s="2753"/>
      <c r="O769" s="1631"/>
      <c r="P769" s="1810"/>
      <c r="Q769" s="2716"/>
      <c r="R769" s="1636"/>
      <c r="S769" s="1636"/>
      <c r="T769" s="1923" t="s">
        <v>2694</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4706</v>
      </c>
      <c r="C770" s="1633" t="s">
        <v>172</v>
      </c>
      <c r="D770" s="1633" t="s">
        <v>545</v>
      </c>
      <c r="E770" s="1633" t="s">
        <v>1476</v>
      </c>
      <c r="F770" s="1633" t="s">
        <v>1476</v>
      </c>
      <c r="G770" s="1633" t="s">
        <v>1478</v>
      </c>
      <c r="H770" s="1633" t="s">
        <v>3665</v>
      </c>
      <c r="I770" s="2755" t="s">
        <v>5067</v>
      </c>
      <c r="J770" s="1633" t="s">
        <v>5152</v>
      </c>
      <c r="K770" s="1634" t="s">
        <v>145</v>
      </c>
      <c r="L770" s="1634"/>
      <c r="M770" s="1633" t="s">
        <v>2366</v>
      </c>
      <c r="N770" s="1633" t="s">
        <v>532</v>
      </c>
      <c r="O770" s="1633" t="s">
        <v>383</v>
      </c>
      <c r="P770" s="1810"/>
      <c r="Q770" s="1634" t="s">
        <v>3573</v>
      </c>
      <c r="R770" s="1634"/>
      <c r="S770" s="1633" t="s">
        <v>2693</v>
      </c>
      <c r="T770" s="1633" t="s">
        <v>2695</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2439</v>
      </c>
      <c r="IA770" s="1637" t="s">
        <v>2440</v>
      </c>
      <c r="IB770" s="1637" t="s">
        <v>2441</v>
      </c>
      <c r="IC770" s="1637" t="s">
        <v>2442</v>
      </c>
      <c r="ID770" s="1635" t="s">
        <v>2496</v>
      </c>
      <c r="IE770" s="1635" t="s">
        <v>2496</v>
      </c>
      <c r="IF770" s="1635" t="s">
        <v>2496</v>
      </c>
      <c r="IG770" s="1635" t="s">
        <v>2496</v>
      </c>
      <c r="IH770" s="1635" t="s">
        <v>2496</v>
      </c>
      <c r="II770" s="1635" t="s">
        <v>3365</v>
      </c>
      <c r="IJ770" s="1635" t="s">
        <v>3365</v>
      </c>
      <c r="IK770" s="1635" t="s">
        <v>3365</v>
      </c>
      <c r="IL770" s="1635" t="s">
        <v>3365</v>
      </c>
      <c r="IM770" s="1635" t="s">
        <v>3365</v>
      </c>
      <c r="IN770" s="1637" t="s">
        <v>568</v>
      </c>
      <c r="IO770" s="1637" t="s">
        <v>2439</v>
      </c>
      <c r="IP770" s="1637" t="s">
        <v>2440</v>
      </c>
      <c r="IQ770" s="1637" t="s">
        <v>2441</v>
      </c>
      <c r="IR770" s="1637" t="s">
        <v>2442</v>
      </c>
      <c r="IS770" s="1637" t="s">
        <v>568</v>
      </c>
      <c r="IT770" s="1637" t="s">
        <v>2439</v>
      </c>
      <c r="IU770" s="1637" t="s">
        <v>2440</v>
      </c>
      <c r="IV770" s="1637" t="s">
        <v>2441</v>
      </c>
      <c r="IW770" s="1637" t="s">
        <v>2442</v>
      </c>
      <c r="IX770" s="1635" t="s">
        <v>2498</v>
      </c>
      <c r="IY770" s="1635" t="s">
        <v>2498</v>
      </c>
      <c r="IZ770" s="1635" t="s">
        <v>2498</v>
      </c>
      <c r="JA770" s="1635" t="s">
        <v>2498</v>
      </c>
      <c r="JB770" s="1635" t="s">
        <v>2498</v>
      </c>
      <c r="JC770" s="1635" t="s">
        <v>3361</v>
      </c>
      <c r="JD770" s="1635" t="s">
        <v>3361</v>
      </c>
      <c r="JE770" s="1635" t="s">
        <v>3361</v>
      </c>
      <c r="JF770" s="1635" t="s">
        <v>3361</v>
      </c>
      <c r="JG770" s="1635" t="s">
        <v>3361</v>
      </c>
      <c r="JH770" s="1635" t="s">
        <v>358</v>
      </c>
      <c r="JI770" s="1635" t="s">
        <v>358</v>
      </c>
      <c r="JJ770" s="1635" t="s">
        <v>358</v>
      </c>
      <c r="JK770" s="1635" t="s">
        <v>358</v>
      </c>
      <c r="JL770" s="1635" t="s">
        <v>358</v>
      </c>
      <c r="JM770" s="1635" t="s">
        <v>3360</v>
      </c>
      <c r="JN770" s="1635" t="s">
        <v>3360</v>
      </c>
      <c r="JO770" s="1635" t="s">
        <v>3360</v>
      </c>
      <c r="JP770" s="1635" t="s">
        <v>3360</v>
      </c>
      <c r="JQ770" s="1635" t="s">
        <v>3360</v>
      </c>
      <c r="JR770" s="1635" t="s">
        <v>359</v>
      </c>
      <c r="JS770" s="1635" t="s">
        <v>359</v>
      </c>
      <c r="JT770" s="1635" t="s">
        <v>359</v>
      </c>
      <c r="JU770" s="1635" t="s">
        <v>359</v>
      </c>
      <c r="JV770" s="1635" t="s">
        <v>359</v>
      </c>
      <c r="JW770" s="1635" t="s">
        <v>3359</v>
      </c>
      <c r="JX770" s="1635" t="s">
        <v>3359</v>
      </c>
      <c r="JY770" s="1635" t="s">
        <v>3359</v>
      </c>
      <c r="JZ770" s="1635" t="s">
        <v>3359</v>
      </c>
      <c r="KA770" s="1635" t="s">
        <v>3359</v>
      </c>
      <c r="KB770" s="1635" t="s">
        <v>360</v>
      </c>
      <c r="KC770" s="1635" t="s">
        <v>360</v>
      </c>
      <c r="KD770" s="1635" t="s">
        <v>360</v>
      </c>
      <c r="KE770" s="1635" t="s">
        <v>360</v>
      </c>
      <c r="KF770" s="1635" t="s">
        <v>360</v>
      </c>
      <c r="KG770" s="1635" t="s">
        <v>3362</v>
      </c>
      <c r="KH770" s="1635" t="s">
        <v>3362</v>
      </c>
      <c r="KI770" s="1635" t="s">
        <v>3362</v>
      </c>
      <c r="KJ770" s="1635" t="s">
        <v>3362</v>
      </c>
      <c r="KK770" s="1635" t="s">
        <v>3362</v>
      </c>
      <c r="KL770" s="1635" t="s">
        <v>361</v>
      </c>
      <c r="KM770" s="1635" t="s">
        <v>361</v>
      </c>
      <c r="KN770" s="1635" t="s">
        <v>361</v>
      </c>
      <c r="KO770" s="1635" t="s">
        <v>361</v>
      </c>
      <c r="KP770" s="1635" t="s">
        <v>361</v>
      </c>
      <c r="KQ770" s="1635" t="s">
        <v>3363</v>
      </c>
      <c r="KR770" s="1635" t="s">
        <v>3363</v>
      </c>
      <c r="KS770" s="1635" t="s">
        <v>3363</v>
      </c>
      <c r="KT770" s="1635" t="s">
        <v>3363</v>
      </c>
      <c r="KU770" s="1635" t="s">
        <v>3363</v>
      </c>
      <c r="KV770" s="1635" t="s">
        <v>1461</v>
      </c>
      <c r="KW770" s="1635" t="s">
        <v>1461</v>
      </c>
      <c r="KX770" s="1635" t="s">
        <v>1461</v>
      </c>
      <c r="KY770" s="1635" t="s">
        <v>1461</v>
      </c>
      <c r="KZ770" s="1635" t="s">
        <v>1461</v>
      </c>
      <c r="LA770" s="1635" t="s">
        <v>3364</v>
      </c>
      <c r="LB770" s="1635" t="s">
        <v>3364</v>
      </c>
      <c r="LC770" s="1635" t="s">
        <v>3364</v>
      </c>
      <c r="LD770" s="1635" t="s">
        <v>3364</v>
      </c>
      <c r="LE770" s="1635" t="s">
        <v>3364</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ht="16.5">
      <c r="A771" s="2750"/>
      <c r="B771" s="2756" t="s">
        <v>5069</v>
      </c>
      <c r="C771" s="1633" t="s">
        <v>171</v>
      </c>
      <c r="D771" s="1633" t="s">
        <v>173</v>
      </c>
      <c r="E771" s="1633" t="s">
        <v>1477</v>
      </c>
      <c r="F771" s="1633" t="s">
        <v>1279</v>
      </c>
      <c r="G771" s="1633" t="s">
        <v>3666</v>
      </c>
      <c r="H771" s="1633" t="s">
        <v>1478</v>
      </c>
      <c r="I771" s="2755"/>
      <c r="J771" s="1821" t="s">
        <v>350</v>
      </c>
      <c r="K771" s="1633" t="s">
        <v>1530</v>
      </c>
      <c r="L771" s="1633" t="s">
        <v>539</v>
      </c>
      <c r="M771" s="1633" t="s">
        <v>1476</v>
      </c>
      <c r="N771" s="1633" t="s">
        <v>3314</v>
      </c>
      <c r="O771" s="1633" t="s">
        <v>384</v>
      </c>
      <c r="P771" s="1810"/>
      <c r="Q771" s="1633" t="s">
        <v>3574</v>
      </c>
      <c r="R771" s="1633" t="s">
        <v>1040</v>
      </c>
      <c r="S771" s="1633" t="s">
        <v>1478</v>
      </c>
      <c r="T771" s="1633" t="s">
        <v>2696</v>
      </c>
      <c r="U771" s="2111" t="s">
        <v>1844</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2495</v>
      </c>
      <c r="IA771" s="1637" t="s">
        <v>2495</v>
      </c>
      <c r="IB771" s="1637" t="s">
        <v>2495</v>
      </c>
      <c r="IC771" s="1637" t="s">
        <v>2495</v>
      </c>
      <c r="ID771" s="1635"/>
      <c r="IE771" s="1635"/>
      <c r="IF771" s="1635"/>
      <c r="IG771" s="1635"/>
      <c r="IH771" s="1635"/>
      <c r="II771" s="1635"/>
      <c r="IJ771" s="1635"/>
      <c r="IK771" s="1635"/>
      <c r="IL771" s="1635"/>
      <c r="IM771" s="1635"/>
      <c r="IN771" s="1637" t="s">
        <v>2497</v>
      </c>
      <c r="IO771" s="1637" t="s">
        <v>2497</v>
      </c>
      <c r="IP771" s="1637" t="s">
        <v>2497</v>
      </c>
      <c r="IQ771" s="1637" t="s">
        <v>2497</v>
      </c>
      <c r="IR771" s="1637" t="s">
        <v>2497</v>
      </c>
      <c r="IS771" s="1637" t="s">
        <v>3366</v>
      </c>
      <c r="IT771" s="1637" t="s">
        <v>3366</v>
      </c>
      <c r="IU771" s="1637" t="s">
        <v>3366</v>
      </c>
      <c r="IV771" s="1637" t="s">
        <v>3366</v>
      </c>
      <c r="IW771" s="1637" t="s">
        <v>3366</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ht="13.5">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ht="13.5">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ht="13.5">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ht="13.5">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ht="13.5">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ht="13.5">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ht="13.5">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ht="13.5">
      <c r="A779" s="1630" t="str">
        <f t="shared" si="0"/>
        <v/>
      </c>
      <c r="B779" s="2757">
        <f>'Part VI-Revenues &amp; Expenses'!B17</f>
        <v>50</v>
      </c>
      <c r="C779" s="2146">
        <f>'Part VI-Revenues &amp; Expenses'!C17</f>
        <v>1</v>
      </c>
      <c r="D779" s="2147">
        <f>'Part VI-Revenues &amp; Expenses'!D17</f>
        <v>1</v>
      </c>
      <c r="E779" s="2148">
        <f>'Part VI-Revenues &amp; Expenses'!E17</f>
        <v>18</v>
      </c>
      <c r="F779" s="2148">
        <f>'Part VI-Revenues &amp; Expenses'!F17</f>
        <v>653</v>
      </c>
      <c r="G779" s="2148">
        <f>'Part VI-Revenues &amp; Expenses'!G17</f>
        <v>747</v>
      </c>
      <c r="H779" s="2148">
        <f>'Part VI-Revenues &amp; Expenses'!H17</f>
        <v>897</v>
      </c>
      <c r="I779" s="2148">
        <f>'Part VI-Revenues &amp; Expenses'!I17</f>
        <v>0</v>
      </c>
      <c r="J779" s="2149" t="str">
        <f>'Part VI-Revenues &amp; Expenses'!J17</f>
        <v>PHA PBRA</v>
      </c>
      <c r="K779" s="1822">
        <f t="shared" si="1"/>
        <v>897</v>
      </c>
      <c r="L779" s="1822">
        <f t="shared" si="2"/>
        <v>16146</v>
      </c>
      <c r="M779" s="2133" t="str">
        <f>'Part VI-Revenues &amp; Expenses'!M17</f>
        <v>No</v>
      </c>
      <c r="N779" s="2133" t="str">
        <f>'Part VI-Revenues &amp; Expenses'!N17</f>
        <v>3+ Story</v>
      </c>
      <c r="O779" s="2133" t="str">
        <f>'Part VI-Revenues &amp; Expenses'!O17</f>
        <v>New Construction</v>
      </c>
      <c r="P779" s="1633" t="str">
        <f>'Part VI-Revenues &amp; Expenses'!P17</f>
        <v>No</v>
      </c>
      <c r="Q779" s="1823">
        <f>'Part VI-Revenues &amp; Expenses'!Q17</f>
        <v>35880</v>
      </c>
      <c r="R779" s="1824">
        <f>'Part VI-Revenues &amp; Expenses'!R17</f>
        <v>0.63957219251336894</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f t="shared" si="19"/>
        <v>18</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f t="shared" si="59"/>
        <v>18</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t="str">
        <f t="shared" si="313"/>
        <v/>
      </c>
      <c r="EX779" s="742">
        <f t="shared" si="314"/>
        <v>11754</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f t="shared" si="148"/>
        <v>11754</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f t="shared" si="158"/>
        <v>18</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18</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f t="shared" si="278"/>
        <v>18</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0</v>
      </c>
      <c r="MK779" s="1637">
        <f t="shared" si="329"/>
        <v>18</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ht="13.5">
      <c r="A780" s="1630" t="str">
        <f t="shared" si="0"/>
        <v/>
      </c>
      <c r="B780" s="2757">
        <f>'Part VI-Revenues &amp; Expenses'!B18</f>
        <v>50</v>
      </c>
      <c r="C780" s="2146">
        <f>'Part VI-Revenues &amp; Expenses'!C18</f>
        <v>2</v>
      </c>
      <c r="D780" s="2147">
        <f>'Part VI-Revenues &amp; Expenses'!D18</f>
        <v>2</v>
      </c>
      <c r="E780" s="2148">
        <f>'Part VI-Revenues &amp; Expenses'!E18</f>
        <v>20</v>
      </c>
      <c r="F780" s="2148">
        <f>'Part VI-Revenues &amp; Expenses'!F18</f>
        <v>963</v>
      </c>
      <c r="G780" s="2148">
        <f>'Part VI-Revenues &amp; Expenses'!G18</f>
        <v>897</v>
      </c>
      <c r="H780" s="2148">
        <f>'Part VI-Revenues &amp; Expenses'!H18</f>
        <v>897</v>
      </c>
      <c r="I780" s="2148">
        <f>'Part VI-Revenues &amp; Expenses'!I18</f>
        <v>94</v>
      </c>
      <c r="J780" s="2149">
        <f>'Part VI-Revenues &amp; Expenses'!J18</f>
        <v>0</v>
      </c>
      <c r="K780" s="1822">
        <f t="shared" si="1"/>
        <v>803</v>
      </c>
      <c r="L780" s="1822">
        <f t="shared" si="2"/>
        <v>16060</v>
      </c>
      <c r="M780" s="2133" t="str">
        <f>'Part VI-Revenues &amp; Expenses'!M18</f>
        <v>No</v>
      </c>
      <c r="N780" s="2133" t="str">
        <f>'Part VI-Revenues &amp; Expenses'!N18</f>
        <v>3+ Story</v>
      </c>
      <c r="O780" s="2133" t="str">
        <f>'Part VI-Revenues &amp; Expenses'!O18</f>
        <v>New Construction</v>
      </c>
      <c r="P780" s="1633" t="str">
        <f>'Part VI-Revenues &amp; Expenses'!P18</f>
        <v>No</v>
      </c>
      <c r="Q780" s="1823">
        <f>'Part VI-Revenues &amp; Expenses'!Q18</f>
        <v>35880</v>
      </c>
      <c r="R780" s="1824">
        <f>'Part VI-Revenues &amp; Expenses'!R18</f>
        <v>0.53297682709447414</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f t="shared" si="20"/>
        <v>20</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t="str">
        <f t="shared" si="129"/>
        <v/>
      </c>
      <c r="EU780" s="742" t="str">
        <f t="shared" si="130"/>
        <v/>
      </c>
      <c r="EV780" s="742" t="str">
        <f t="shared" si="131"/>
        <v/>
      </c>
      <c r="EW780" s="742" t="str">
        <f t="shared" si="313"/>
        <v/>
      </c>
      <c r="EX780" s="742" t="str">
        <f t="shared" si="314"/>
        <v/>
      </c>
      <c r="EY780" s="742">
        <f t="shared" si="315"/>
        <v>19260</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f t="shared" si="159"/>
        <v>20</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f t="shared" si="204"/>
        <v>20</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f t="shared" si="279"/>
        <v>20</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0</v>
      </c>
      <c r="ML780" s="1637">
        <f t="shared" si="330"/>
        <v>20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ht="13.5">
      <c r="A781" s="1630" t="str">
        <f t="shared" si="0"/>
        <v/>
      </c>
      <c r="B781" s="2757">
        <f>'Part VI-Revenues &amp; Expenses'!B19</f>
        <v>50</v>
      </c>
      <c r="C781" s="2146">
        <f>'Part VI-Revenues &amp; Expenses'!C19</f>
        <v>3</v>
      </c>
      <c r="D781" s="2147">
        <f>'Part VI-Revenues &amp; Expenses'!D19</f>
        <v>2</v>
      </c>
      <c r="E781" s="2148">
        <f>'Part VI-Revenues &amp; Expenses'!E19</f>
        <v>8</v>
      </c>
      <c r="F781" s="2148">
        <f>'Part VI-Revenues &amp; Expenses'!F19</f>
        <v>1115</v>
      </c>
      <c r="G781" s="2148">
        <f>'Part VI-Revenues &amp; Expenses'!G19</f>
        <v>1036</v>
      </c>
      <c r="H781" s="2148">
        <f>'Part VI-Revenues &amp; Expenses'!H19</f>
        <v>1036</v>
      </c>
      <c r="I781" s="2148">
        <f>'Part VI-Revenues &amp; Expenses'!I19</f>
        <v>118</v>
      </c>
      <c r="J781" s="2149">
        <f>'Part VI-Revenues &amp; Expenses'!J19</f>
        <v>0</v>
      </c>
      <c r="K781" s="1822">
        <f t="shared" si="1"/>
        <v>918</v>
      </c>
      <c r="L781" s="1822">
        <f t="shared" si="2"/>
        <v>7344</v>
      </c>
      <c r="M781" s="2133" t="str">
        <f>'Part VI-Revenues &amp; Expenses'!M19</f>
        <v>No</v>
      </c>
      <c r="N781" s="2133" t="str">
        <f>'Part VI-Revenues &amp; Expenses'!N19</f>
        <v>3+ Story</v>
      </c>
      <c r="O781" s="2133" t="str">
        <f>'Part VI-Revenues &amp; Expenses'!O19</f>
        <v>New Construction</v>
      </c>
      <c r="P781" s="1633" t="str">
        <f>'Part VI-Revenues &amp; Expenses'!P19</f>
        <v>No</v>
      </c>
      <c r="Q781" s="1823">
        <f>'Part VI-Revenues &amp; Expenses'!Q19</f>
        <v>41440</v>
      </c>
      <c r="R781" s="1824">
        <f>'Part VI-Revenues &amp; Expenses'!R19</f>
        <v>0.53270259152612098</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f t="shared" si="21"/>
        <v>8</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t="str">
        <f t="shared" si="130"/>
        <v/>
      </c>
      <c r="EV781" s="742" t="str">
        <f t="shared" si="131"/>
        <v/>
      </c>
      <c r="EW781" s="742" t="str">
        <f t="shared" si="313"/>
        <v/>
      </c>
      <c r="EX781" s="742" t="str">
        <f t="shared" si="314"/>
        <v/>
      </c>
      <c r="EY781" s="742" t="str">
        <f t="shared" si="315"/>
        <v/>
      </c>
      <c r="EZ781" s="742">
        <f t="shared" si="316"/>
        <v>8920</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f t="shared" si="160"/>
        <v>8</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f t="shared" si="205"/>
        <v>8</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f t="shared" si="280"/>
        <v>8</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0</v>
      </c>
      <c r="ML781" s="1637">
        <f t="shared" si="330"/>
        <v>0</v>
      </c>
      <c r="MM781" s="1637">
        <f t="shared" si="331"/>
        <v>8</v>
      </c>
      <c r="MN781" s="1637">
        <f t="shared" si="332"/>
        <v>0</v>
      </c>
      <c r="MO781" s="1637">
        <f t="shared" si="333"/>
        <v>0</v>
      </c>
      <c r="MP781" s="1637">
        <f t="shared" si="334"/>
        <v>0</v>
      </c>
      <c r="MQ781" s="1637">
        <f t="shared" si="335"/>
        <v>0</v>
      </c>
      <c r="MR781" s="1637">
        <f t="shared" si="336"/>
        <v>0</v>
      </c>
      <c r="MS781" s="1637">
        <f t="shared" si="337"/>
        <v>0</v>
      </c>
    </row>
    <row r="782" spans="1:357" ht="13.5">
      <c r="A782" s="1630" t="str">
        <f t="shared" si="0"/>
        <v/>
      </c>
      <c r="B782" s="2757">
        <f>'Part VI-Revenues &amp; Expenses'!B20</f>
        <v>60</v>
      </c>
      <c r="C782" s="2146">
        <f>'Part VI-Revenues &amp; Expenses'!C20</f>
        <v>1</v>
      </c>
      <c r="D782" s="2147">
        <f>'Part VI-Revenues &amp; Expenses'!D20</f>
        <v>1</v>
      </c>
      <c r="E782" s="2148">
        <f>'Part VI-Revenues &amp; Expenses'!E20</f>
        <v>34</v>
      </c>
      <c r="F782" s="2148">
        <f>'Part VI-Revenues &amp; Expenses'!F20</f>
        <v>653</v>
      </c>
      <c r="G782" s="2148">
        <f>'Part VI-Revenues &amp; Expenses'!G20</f>
        <v>897</v>
      </c>
      <c r="H782" s="2148">
        <f>'Part VI-Revenues &amp; Expenses'!H20</f>
        <v>822</v>
      </c>
      <c r="I782" s="2148">
        <f>'Part VI-Revenues &amp; Expenses'!I20</f>
        <v>72</v>
      </c>
      <c r="J782" s="2149">
        <f>'Part VI-Revenues &amp; Expenses'!J20</f>
        <v>0</v>
      </c>
      <c r="K782" s="1822">
        <f t="shared" si="1"/>
        <v>750</v>
      </c>
      <c r="L782" s="1822">
        <f t="shared" si="2"/>
        <v>25500</v>
      </c>
      <c r="M782" s="2133" t="str">
        <f>'Part VI-Revenues &amp; Expenses'!M20</f>
        <v>No</v>
      </c>
      <c r="N782" s="2133" t="str">
        <f>'Part VI-Revenues &amp; Expenses'!N20</f>
        <v>3+ Story</v>
      </c>
      <c r="O782" s="2133" t="str">
        <f>'Part VI-Revenues &amp; Expenses'!O20</f>
        <v>New Construction</v>
      </c>
      <c r="P782" s="1633" t="str">
        <f>'Part VI-Revenues &amp; Expenses'!P20</f>
        <v>No</v>
      </c>
      <c r="Q782" s="1823">
        <f>'Part VI-Revenues &amp; Expenses'!Q20</f>
        <v>32880</v>
      </c>
      <c r="R782" s="1824">
        <f>'Part VI-Revenues &amp; Expenses'!R20</f>
        <v>0.58609625668449195</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f t="shared" si="14"/>
        <v>34</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f t="shared" si="128"/>
        <v>22202</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f t="shared" si="158"/>
        <v>34</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f t="shared" si="203"/>
        <v>34</v>
      </c>
      <c r="IA782" s="1638" t="str">
        <f t="shared" si="204"/>
        <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f t="shared" si="278"/>
        <v>34</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34</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ht="13.5">
      <c r="A783" s="1630" t="str">
        <f t="shared" si="0"/>
        <v/>
      </c>
      <c r="B783" s="2757">
        <f>'Part VI-Revenues &amp; Expenses'!B21</f>
        <v>60</v>
      </c>
      <c r="C783" s="2146">
        <f>'Part VI-Revenues &amp; Expenses'!C21</f>
        <v>2</v>
      </c>
      <c r="D783" s="2147">
        <f>'Part VI-Revenues &amp; Expenses'!D21</f>
        <v>2</v>
      </c>
      <c r="E783" s="2148">
        <f>'Part VI-Revenues &amp; Expenses'!E21</f>
        <v>38</v>
      </c>
      <c r="F783" s="2148">
        <f>'Part VI-Revenues &amp; Expenses'!F21</f>
        <v>963</v>
      </c>
      <c r="G783" s="2148">
        <f>'Part VI-Revenues &amp; Expenses'!G21</f>
        <v>1077</v>
      </c>
      <c r="H783" s="2148">
        <f>'Part VI-Revenues &amp; Expenses'!H21</f>
        <v>994</v>
      </c>
      <c r="I783" s="2148">
        <f>'Part VI-Revenues &amp; Expenses'!I21</f>
        <v>94</v>
      </c>
      <c r="J783" s="2149">
        <f>'Part VI-Revenues &amp; Expenses'!J21</f>
        <v>0</v>
      </c>
      <c r="K783" s="1822">
        <f t="shared" si="1"/>
        <v>900</v>
      </c>
      <c r="L783" s="1822">
        <f t="shared" si="2"/>
        <v>34200</v>
      </c>
      <c r="M783" s="2133" t="str">
        <f>'Part VI-Revenues &amp; Expenses'!M21</f>
        <v>No</v>
      </c>
      <c r="N783" s="2133" t="str">
        <f>'Part VI-Revenues &amp; Expenses'!N21</f>
        <v>3+ Story</v>
      </c>
      <c r="O783" s="2133" t="str">
        <f>'Part VI-Revenues &amp; Expenses'!O21</f>
        <v>New Construction</v>
      </c>
      <c r="P783" s="1633" t="str">
        <f>'Part VI-Revenues &amp; Expenses'!P21</f>
        <v>No</v>
      </c>
      <c r="Q783" s="1823">
        <f>'Part VI-Revenues &amp; Expenses'!Q21</f>
        <v>39760</v>
      </c>
      <c r="R783" s="1824">
        <f>'Part VI-Revenues &amp; Expenses'!R21</f>
        <v>0.5906120023767083</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f t="shared" si="15"/>
        <v>38</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f t="shared" si="129"/>
        <v>36594</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f t="shared" si="159"/>
        <v>38</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f t="shared" si="204"/>
        <v>38</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f t="shared" si="279"/>
        <v>38</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38</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ht="13.5">
      <c r="A784" s="1630" t="str">
        <f t="shared" si="0"/>
        <v/>
      </c>
      <c r="B784" s="2757">
        <f>'Part VI-Revenues &amp; Expenses'!B22</f>
        <v>60</v>
      </c>
      <c r="C784" s="2146">
        <f>'Part VI-Revenues &amp; Expenses'!C22</f>
        <v>3</v>
      </c>
      <c r="D784" s="2147">
        <f>'Part VI-Revenues &amp; Expenses'!D22</f>
        <v>2</v>
      </c>
      <c r="E784" s="2148">
        <f>'Part VI-Revenues &amp; Expenses'!E22</f>
        <v>15</v>
      </c>
      <c r="F784" s="2148">
        <f>'Part VI-Revenues &amp; Expenses'!F22</f>
        <v>1115</v>
      </c>
      <c r="G784" s="2148">
        <f>'Part VI-Revenues &amp; Expenses'!G22</f>
        <v>1243</v>
      </c>
      <c r="H784" s="2148">
        <f>'Part VI-Revenues &amp; Expenses'!H22</f>
        <v>1143</v>
      </c>
      <c r="I784" s="2148">
        <f>'Part VI-Revenues &amp; Expenses'!I22</f>
        <v>118</v>
      </c>
      <c r="J784" s="2149">
        <f>'Part VI-Revenues &amp; Expenses'!J22</f>
        <v>0</v>
      </c>
      <c r="K784" s="1822">
        <f t="shared" si="1"/>
        <v>1025</v>
      </c>
      <c r="L784" s="1822">
        <f t="shared" si="2"/>
        <v>15375</v>
      </c>
      <c r="M784" s="2133" t="str">
        <f>'Part VI-Revenues &amp; Expenses'!M22</f>
        <v>No</v>
      </c>
      <c r="N784" s="2133" t="str">
        <f>'Part VI-Revenues &amp; Expenses'!N22</f>
        <v>3+ Story</v>
      </c>
      <c r="O784" s="2133" t="str">
        <f>'Part VI-Revenues &amp; Expenses'!O22</f>
        <v>New Construction</v>
      </c>
      <c r="P784" s="1633" t="str">
        <f>'Part VI-Revenues &amp; Expenses'!P22</f>
        <v>No</v>
      </c>
      <c r="Q784" s="1823">
        <f>'Part VI-Revenues &amp; Expenses'!Q22</f>
        <v>45720</v>
      </c>
      <c r="R784" s="1824">
        <f>'Part VI-Revenues &amp; Expenses'!R22</f>
        <v>0.58772110242698483</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f t="shared" si="16"/>
        <v>15</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f t="shared" si="130"/>
        <v>16725</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f t="shared" si="160"/>
        <v>15</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f t="shared" si="205"/>
        <v>15</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f t="shared" si="280"/>
        <v>15</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15</v>
      </c>
      <c r="MN784" s="1637">
        <f t="shared" si="332"/>
        <v>0</v>
      </c>
      <c r="MO784" s="1637">
        <f t="shared" si="333"/>
        <v>0</v>
      </c>
      <c r="MP784" s="1637">
        <f t="shared" si="334"/>
        <v>0</v>
      </c>
      <c r="MQ784" s="1637">
        <f t="shared" si="335"/>
        <v>0</v>
      </c>
      <c r="MR784" s="1637">
        <f t="shared" si="336"/>
        <v>0</v>
      </c>
      <c r="MS784" s="1637">
        <f t="shared" si="337"/>
        <v>0</v>
      </c>
    </row>
    <row r="785" spans="1:357" ht="13.5">
      <c r="A785" s="1630" t="str">
        <f t="shared" si="0"/>
        <v/>
      </c>
      <c r="B785" s="2757">
        <f>'Part VI-Revenues &amp; Expenses'!B23</f>
        <v>80</v>
      </c>
      <c r="C785" s="2146">
        <f>'Part VI-Revenues &amp; Expenses'!C23</f>
        <v>1</v>
      </c>
      <c r="D785" s="2147">
        <f>'Part VI-Revenues &amp; Expenses'!D23</f>
        <v>1</v>
      </c>
      <c r="E785" s="2148">
        <f>'Part VI-Revenues &amp; Expenses'!E23</f>
        <v>9</v>
      </c>
      <c r="F785" s="2148">
        <f>'Part VI-Revenues &amp; Expenses'!F23</f>
        <v>653</v>
      </c>
      <c r="G785" s="2148">
        <f>'Part VI-Revenues &amp; Expenses'!G23</f>
        <v>1196</v>
      </c>
      <c r="H785" s="2148">
        <f>'Part VI-Revenues &amp; Expenses'!H23</f>
        <v>972</v>
      </c>
      <c r="I785" s="2148">
        <f>'Part VI-Revenues &amp; Expenses'!I23</f>
        <v>72</v>
      </c>
      <c r="J785" s="2149">
        <f>'Part VI-Revenues &amp; Expenses'!J23</f>
        <v>0</v>
      </c>
      <c r="K785" s="1822">
        <f t="shared" si="1"/>
        <v>900</v>
      </c>
      <c r="L785" s="1822">
        <f t="shared" si="2"/>
        <v>8100</v>
      </c>
      <c r="M785" s="2133" t="str">
        <f>'Part VI-Revenues &amp; Expenses'!M23</f>
        <v>No</v>
      </c>
      <c r="N785" s="2133" t="str">
        <f>'Part VI-Revenues &amp; Expenses'!N23</f>
        <v>3+ Story</v>
      </c>
      <c r="O785" s="2133" t="str">
        <f>'Part VI-Revenues &amp; Expenses'!O23</f>
        <v>New Construction</v>
      </c>
      <c r="P785" s="1633" t="str">
        <f>'Part VI-Revenues &amp; Expenses'!P23</f>
        <v>No</v>
      </c>
      <c r="Q785" s="1823">
        <f>'Part VI-Revenues &amp; Expenses'!Q23</f>
        <v>38880</v>
      </c>
      <c r="R785" s="1824">
        <f>'Part VI-Revenues &amp; Expenses'!R23</f>
        <v>0.69304812834224594</v>
      </c>
      <c r="S785" s="1823">
        <f>'Part VI-Revenues &amp; Expenses'!S23</f>
        <v>0</v>
      </c>
      <c r="T785" s="1824">
        <f>'Part VI-Revenues &amp; Expenses'!T23</f>
        <v>0</v>
      </c>
      <c r="U785" s="1838">
        <f>'Part VI-Revenues &amp; Expenses'!U23:V23</f>
        <v>0</v>
      </c>
      <c r="V785" s="1838"/>
      <c r="W785" s="742" t="str">
        <f t="shared" si="3"/>
        <v/>
      </c>
      <c r="X785" s="742">
        <f t="shared" si="4"/>
        <v>9</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f t="shared" si="74"/>
        <v>9</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f t="shared" si="118"/>
        <v>5877</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f t="shared" si="158"/>
        <v>9</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f t="shared" si="203"/>
        <v>9</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f t="shared" si="278"/>
        <v>9</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9</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ht="13.5">
      <c r="A786" s="1630" t="str">
        <f t="shared" si="0"/>
        <v/>
      </c>
      <c r="B786" s="2757">
        <f>'Part VI-Revenues &amp; Expenses'!B24</f>
        <v>80</v>
      </c>
      <c r="C786" s="2146">
        <f>'Part VI-Revenues &amp; Expenses'!C24</f>
        <v>2</v>
      </c>
      <c r="D786" s="2147">
        <f>'Part VI-Revenues &amp; Expenses'!D24</f>
        <v>2</v>
      </c>
      <c r="E786" s="2148">
        <f>'Part VI-Revenues &amp; Expenses'!E24</f>
        <v>10</v>
      </c>
      <c r="F786" s="2148">
        <f>'Part VI-Revenues &amp; Expenses'!F24</f>
        <v>963</v>
      </c>
      <c r="G786" s="2148">
        <f>'Part VI-Revenues &amp; Expenses'!G24</f>
        <v>1436</v>
      </c>
      <c r="H786" s="2148">
        <f>'Part VI-Revenues &amp; Expenses'!H24</f>
        <v>1194</v>
      </c>
      <c r="I786" s="2148">
        <f>'Part VI-Revenues &amp; Expenses'!I24</f>
        <v>94</v>
      </c>
      <c r="J786" s="2149">
        <f>'Part VI-Revenues &amp; Expenses'!J24</f>
        <v>0</v>
      </c>
      <c r="K786" s="1822">
        <f t="shared" si="1"/>
        <v>1100</v>
      </c>
      <c r="L786" s="1822">
        <f t="shared" si="2"/>
        <v>11000</v>
      </c>
      <c r="M786" s="2133" t="str">
        <f>'Part VI-Revenues &amp; Expenses'!M24</f>
        <v>No</v>
      </c>
      <c r="N786" s="2133" t="str">
        <f>'Part VI-Revenues &amp; Expenses'!N24</f>
        <v>3+ Story</v>
      </c>
      <c r="O786" s="2133" t="str">
        <f>'Part VI-Revenues &amp; Expenses'!O24</f>
        <v>New Construction</v>
      </c>
      <c r="P786" s="1633" t="str">
        <f>'Part VI-Revenues &amp; Expenses'!P24</f>
        <v>No</v>
      </c>
      <c r="Q786" s="1823">
        <f>'Part VI-Revenues &amp; Expenses'!Q24</f>
        <v>47760</v>
      </c>
      <c r="R786" s="1824">
        <f>'Part VI-Revenues &amp; Expenses'!R24</f>
        <v>0.70944741532976829</v>
      </c>
      <c r="S786" s="1823">
        <f>'Part VI-Revenues &amp; Expenses'!S24</f>
        <v>0</v>
      </c>
      <c r="T786" s="1824">
        <f>'Part VI-Revenues &amp; Expenses'!T24</f>
        <v>0</v>
      </c>
      <c r="U786" s="1838">
        <f>'Part VI-Revenues &amp; Expenses'!U24:V24</f>
        <v>0</v>
      </c>
      <c r="V786" s="1838"/>
      <c r="W786" s="742" t="str">
        <f t="shared" si="3"/>
        <v/>
      </c>
      <c r="X786" s="742" t="str">
        <f t="shared" si="4"/>
        <v/>
      </c>
      <c r="Y786" s="742">
        <f t="shared" si="5"/>
        <v>10</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f t="shared" si="75"/>
        <v>10</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f t="shared" si="119"/>
        <v>9630</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f t="shared" si="159"/>
        <v>10</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f t="shared" si="204"/>
        <v>10</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f t="shared" si="279"/>
        <v>10</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10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ht="13.5">
      <c r="A787" s="1630" t="str">
        <f t="shared" si="0"/>
        <v/>
      </c>
      <c r="B787" s="2757">
        <f>'Part VI-Revenues &amp; Expenses'!B25</f>
        <v>80</v>
      </c>
      <c r="C787" s="2146">
        <f>'Part VI-Revenues &amp; Expenses'!C25</f>
        <v>3</v>
      </c>
      <c r="D787" s="2147">
        <f>'Part VI-Revenues &amp; Expenses'!D25</f>
        <v>2</v>
      </c>
      <c r="E787" s="2148">
        <f>'Part VI-Revenues &amp; Expenses'!E25</f>
        <v>4</v>
      </c>
      <c r="F787" s="2148">
        <f>'Part VI-Revenues &amp; Expenses'!F25</f>
        <v>1115</v>
      </c>
      <c r="G787" s="2148">
        <f>'Part VI-Revenues &amp; Expenses'!G25</f>
        <v>1658</v>
      </c>
      <c r="H787" s="2148">
        <f>'Part VI-Revenues &amp; Expenses'!H25</f>
        <v>1363</v>
      </c>
      <c r="I787" s="2148">
        <f>'Part VI-Revenues &amp; Expenses'!I25</f>
        <v>118</v>
      </c>
      <c r="J787" s="2149">
        <f>'Part VI-Revenues &amp; Expenses'!J25</f>
        <v>0</v>
      </c>
      <c r="K787" s="1822">
        <f t="shared" si="1"/>
        <v>1245</v>
      </c>
      <c r="L787" s="1822">
        <f t="shared" si="2"/>
        <v>4980</v>
      </c>
      <c r="M787" s="2133" t="str">
        <f>'Part VI-Revenues &amp; Expenses'!M25</f>
        <v>No</v>
      </c>
      <c r="N787" s="2133" t="str">
        <f>'Part VI-Revenues &amp; Expenses'!N25</f>
        <v>3+ Story</v>
      </c>
      <c r="O787" s="2133" t="str">
        <f>'Part VI-Revenues &amp; Expenses'!O25</f>
        <v>New Construction</v>
      </c>
      <c r="P787" s="1633" t="str">
        <f>'Part VI-Revenues &amp; Expenses'!P25</f>
        <v>No</v>
      </c>
      <c r="Q787" s="1823">
        <f>'Part VI-Revenues &amp; Expenses'!Q25</f>
        <v>54520</v>
      </c>
      <c r="R787" s="1824">
        <f>'Part VI-Revenues &amp; Expenses'!R25</f>
        <v>0.70084327437268612</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f t="shared" si="6"/>
        <v>4</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f t="shared" si="76"/>
        <v>4</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f t="shared" si="120"/>
        <v>4460</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f t="shared" si="160"/>
        <v>4</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f t="shared" si="205"/>
        <v>4</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f t="shared" si="280"/>
        <v>4</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4</v>
      </c>
      <c r="MN787" s="1637">
        <f t="shared" si="332"/>
        <v>0</v>
      </c>
      <c r="MO787" s="1637">
        <f t="shared" si="333"/>
        <v>0</v>
      </c>
      <c r="MP787" s="1637">
        <f t="shared" si="334"/>
        <v>0</v>
      </c>
      <c r="MQ787" s="1637">
        <f t="shared" si="335"/>
        <v>0</v>
      </c>
      <c r="MR787" s="1637">
        <f t="shared" si="336"/>
        <v>0</v>
      </c>
      <c r="MS787" s="1637">
        <f t="shared" si="337"/>
        <v>0</v>
      </c>
    </row>
    <row r="788" spans="1:357" ht="13.5">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ht="13.5">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ht="13.5">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ht="13.5">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ht="13.5">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ht="13.5">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ht="13.5">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ht="13.5">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ht="13.5">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ht="13.5">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ht="13.5">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ht="13.5">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ht="13.5">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ht="13.5">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ht="13.5">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ht="13.5">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ht="13.5">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ht="13.5">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ht="13.5">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ht="13.5">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ht="13.5">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ht="13.5">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4710</v>
      </c>
      <c r="C810" s="521"/>
      <c r="D810" s="1828" t="s">
        <v>1018</v>
      </c>
      <c r="E810" s="1827">
        <f>SUM(E772:E809)</f>
        <v>156</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135422</v>
      </c>
      <c r="G810" s="2759" t="s">
        <v>4707</v>
      </c>
      <c r="H810" s="1895" t="s">
        <v>4708</v>
      </c>
      <c r="I810" s="2760" t="str">
        <f>IF(O829=0,"",IF(SUM(O818:O824)/O829&gt;=0.4,"Pass","Fail"))</f>
        <v>Pass</v>
      </c>
      <c r="J810" s="522"/>
      <c r="K810" s="1828" t="s">
        <v>1302</v>
      </c>
      <c r="L810" s="1826">
        <f>SUM(L772:L809)</f>
        <v>138705</v>
      </c>
      <c r="M810" s="1631"/>
      <c r="N810" s="1631"/>
      <c r="O810" s="1631"/>
      <c r="P810" s="1631"/>
      <c r="Q810" s="1631"/>
      <c r="R810" s="1631"/>
      <c r="S810" s="1631"/>
      <c r="T810" s="1631"/>
      <c r="U810" s="1633"/>
      <c r="V810" s="1638"/>
      <c r="W810" s="1638">
        <f t="shared" ref="W810:EZ810" si="338">SUM(W772:W809)</f>
        <v>0</v>
      </c>
      <c r="X810" s="1638">
        <f t="shared" si="338"/>
        <v>9</v>
      </c>
      <c r="Y810" s="1638">
        <f t="shared" si="338"/>
        <v>10</v>
      </c>
      <c r="Z810" s="1638">
        <f t="shared" si="338"/>
        <v>4</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34</v>
      </c>
      <c r="AI810" s="1638">
        <f t="shared" si="338"/>
        <v>38</v>
      </c>
      <c r="AJ810" s="1638">
        <f t="shared" si="338"/>
        <v>15</v>
      </c>
      <c r="AK810" s="1638">
        <f t="shared" si="338"/>
        <v>0</v>
      </c>
      <c r="AL810" s="1638">
        <f>SUM(AL772:AL809)</f>
        <v>0</v>
      </c>
      <c r="AM810" s="1638">
        <f>SUM(AM772:AM809)</f>
        <v>18</v>
      </c>
      <c r="AN810" s="1638">
        <f>SUM(AN772:AN809)</f>
        <v>20</v>
      </c>
      <c r="AO810" s="1638">
        <f>SUM(AO772:AO809)</f>
        <v>8</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18</v>
      </c>
      <c r="CB810" s="1638">
        <f t="shared" si="338"/>
        <v>0</v>
      </c>
      <c r="CC810" s="1638">
        <f t="shared" si="338"/>
        <v>0</v>
      </c>
      <c r="CD810" s="1638">
        <f t="shared" si="338"/>
        <v>0</v>
      </c>
      <c r="CE810" s="1638">
        <f t="shared" si="338"/>
        <v>0</v>
      </c>
      <c r="CF810" s="1638">
        <f t="shared" si="338"/>
        <v>0</v>
      </c>
      <c r="CG810" s="1638">
        <f t="shared" si="338"/>
        <v>0</v>
      </c>
      <c r="CH810" s="1638">
        <f t="shared" si="338"/>
        <v>0</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9</v>
      </c>
      <c r="CQ810" s="1638">
        <f t="shared" si="339"/>
        <v>10</v>
      </c>
      <c r="CR810" s="1638">
        <f t="shared" si="339"/>
        <v>4</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5877</v>
      </c>
      <c r="EJ810" s="1638">
        <f t="shared" si="338"/>
        <v>9630</v>
      </c>
      <c r="EK810" s="1638">
        <f t="shared" si="338"/>
        <v>4460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22202</v>
      </c>
      <c r="ET810" s="1638">
        <f t="shared" si="338"/>
        <v>36594</v>
      </c>
      <c r="EU810" s="1638">
        <f t="shared" si="338"/>
        <v>16725</v>
      </c>
      <c r="EV810" s="1638">
        <f t="shared" si="338"/>
        <v>0</v>
      </c>
      <c r="EW810" s="1638">
        <f t="shared" si="338"/>
        <v>0</v>
      </c>
      <c r="EX810" s="1638">
        <f t="shared" si="338"/>
        <v>11754</v>
      </c>
      <c r="EY810" s="1638">
        <f t="shared" si="338"/>
        <v>19260</v>
      </c>
      <c r="EZ810" s="1638">
        <f t="shared" si="338"/>
        <v>8920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11754</v>
      </c>
      <c r="FX810" s="1638">
        <f t="shared" si="340"/>
        <v>0</v>
      </c>
      <c r="FY810" s="1638">
        <f t="shared" si="340"/>
        <v>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61</v>
      </c>
      <c r="GH810" s="1638">
        <f t="shared" si="340"/>
        <v>68</v>
      </c>
      <c r="GI810" s="1638">
        <f t="shared" si="340"/>
        <v>27</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0</v>
      </c>
      <c r="GW810" s="1638">
        <f t="shared" si="340"/>
        <v>0</v>
      </c>
      <c r="GX810" s="1638">
        <f t="shared" si="340"/>
        <v>0</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61</v>
      </c>
      <c r="IA810" s="1638">
        <f t="shared" si="341"/>
        <v>68</v>
      </c>
      <c r="IB810" s="1638">
        <f t="shared" si="341"/>
        <v>27</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61</v>
      </c>
      <c r="KX810" s="1638">
        <f t="shared" si="342"/>
        <v>68</v>
      </c>
      <c r="KY810" s="1638">
        <f t="shared" si="342"/>
        <v>27</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0</v>
      </c>
      <c r="MH810" s="1638">
        <f t="shared" si="342"/>
        <v>0</v>
      </c>
      <c r="MI810" s="1638">
        <f t="shared" si="342"/>
        <v>0</v>
      </c>
      <c r="MJ810" s="1638">
        <f t="shared" si="342"/>
        <v>0</v>
      </c>
      <c r="MK810" s="1638">
        <f t="shared" si="342"/>
        <v>61</v>
      </c>
      <c r="ML810" s="1638">
        <f t="shared" si="342"/>
        <v>68</v>
      </c>
      <c r="MM810" s="1638">
        <f t="shared" si="342"/>
        <v>27</v>
      </c>
      <c r="MN810" s="1638">
        <f t="shared" si="342"/>
        <v>0</v>
      </c>
      <c r="MO810" s="1638">
        <f t="shared" si="342"/>
        <v>0</v>
      </c>
      <c r="MP810" s="1638">
        <f t="shared" si="342"/>
        <v>0</v>
      </c>
      <c r="MQ810" s="1638">
        <f t="shared" si="342"/>
        <v>0</v>
      </c>
      <c r="MR810" s="1638">
        <f t="shared" si="342"/>
        <v>0</v>
      </c>
      <c r="MS810" s="1638">
        <f t="shared" si="342"/>
        <v>0</v>
      </c>
    </row>
    <row r="811" spans="1:357">
      <c r="B811" s="2761">
        <f>'Part VI-Revenues &amp; Expenses'!B49</f>
        <v>60</v>
      </c>
      <c r="C811" s="2761"/>
      <c r="D811" s="1630" t="s">
        <v>4617</v>
      </c>
      <c r="E811" s="1827">
        <f>SUM(E779:E809)</f>
        <v>156</v>
      </c>
      <c r="F811" s="2758">
        <f>(E779*F779+E780*F780+E781*F781+E782*F782+E783*F783+E784*F784+E785*F785+E786*F786+E787*F787+E788*F788+E789*F789+E790*F790+E791*F791+E792*F792+E793*F793+E794*F794+E795*F795+E796*F796+E797*F797+E798*F798+E799*F799+E800*F800+E801*F801+E802*F802+E803*F803+E804*F804+E805*F805+E806*F806+E807*F807+E808*F808+E809*F809)</f>
        <v>135422</v>
      </c>
      <c r="G811" s="2759"/>
      <c r="H811" s="1895" t="s">
        <v>4709</v>
      </c>
      <c r="I811" s="2760" t="str">
        <f>IF(O829=0,"",IF(SUM(O818:O824)/O829&gt;=0.2,"Pass","Fail"))</f>
        <v>Pass</v>
      </c>
      <c r="J811" s="522"/>
      <c r="K811" s="1828" t="s">
        <v>814</v>
      </c>
      <c r="L811" s="1826">
        <f>L810*12</f>
        <v>1664460</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5153</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Income Averaging</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25">
      <c r="B817" s="742" t="s">
        <v>1136</v>
      </c>
      <c r="H817" s="742" t="s">
        <v>1040</v>
      </c>
      <c r="J817" s="2763" t="s">
        <v>568</v>
      </c>
      <c r="K817" s="2763" t="s">
        <v>535</v>
      </c>
      <c r="L817" s="2763" t="s">
        <v>536</v>
      </c>
      <c r="M817" s="2763" t="s">
        <v>537</v>
      </c>
      <c r="N817" s="2763" t="s">
        <v>538</v>
      </c>
      <c r="O817" s="2763" t="s">
        <v>539</v>
      </c>
      <c r="R817" s="2111" t="s">
        <v>1844</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4618</v>
      </c>
      <c r="J818" s="1833">
        <f>W810</f>
        <v>0</v>
      </c>
      <c r="K818" s="1833">
        <f>X810</f>
        <v>9</v>
      </c>
      <c r="L818" s="1833">
        <f>Y810</f>
        <v>10</v>
      </c>
      <c r="M818" s="1833">
        <f>Z810</f>
        <v>4</v>
      </c>
      <c r="N818" s="1833">
        <f>AA810</f>
        <v>0</v>
      </c>
      <c r="O818" s="1833">
        <f t="shared" ref="O818:O829" si="343">SUM(J818:N818)</f>
        <v>23</v>
      </c>
      <c r="P818" s="1785" t="s">
        <v>3669</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4619</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34</v>
      </c>
      <c r="L820" s="1833">
        <f>AI810</f>
        <v>38</v>
      </c>
      <c r="M820" s="1833">
        <f>AJ810</f>
        <v>15</v>
      </c>
      <c r="N820" s="1833">
        <f>AK810</f>
        <v>0</v>
      </c>
      <c r="O820" s="1833">
        <f t="shared" si="343"/>
        <v>87</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18</v>
      </c>
      <c r="L821" s="1833">
        <f>AN810</f>
        <v>20</v>
      </c>
      <c r="M821" s="1833">
        <f>AO810</f>
        <v>8</v>
      </c>
      <c r="N821" s="1833">
        <f>AP810</f>
        <v>0</v>
      </c>
      <c r="O821" s="1833">
        <f t="shared" si="343"/>
        <v>46</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4620</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4621</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4622</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4704</v>
      </c>
      <c r="D825" s="1631"/>
      <c r="E825" s="1631"/>
      <c r="F825" s="1631"/>
      <c r="H825" s="1216"/>
      <c r="J825" s="1833">
        <f>SUM(J818:J824)</f>
        <v>0</v>
      </c>
      <c r="K825" s="1833">
        <f>SUM(K818:K824)</f>
        <v>61</v>
      </c>
      <c r="L825" s="1833">
        <f>SUM(L818:L824)</f>
        <v>68</v>
      </c>
      <c r="M825" s="1833">
        <f>SUM(M818:M824)</f>
        <v>27</v>
      </c>
      <c r="N825" s="1833">
        <f>SUM(N818:N824)</f>
        <v>0</v>
      </c>
      <c r="O825" s="1833">
        <f t="shared" si="343"/>
        <v>156</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1138</v>
      </c>
      <c r="D827" s="2764"/>
      <c r="E827" s="2764"/>
      <c r="F827" s="2764"/>
      <c r="G827" s="2765"/>
      <c r="H827" s="1866"/>
      <c r="I827" s="2765"/>
      <c r="J827" s="2766">
        <f>SUM(J825:J826)</f>
        <v>0</v>
      </c>
      <c r="K827" s="2766">
        <f>SUM(K825:K826)</f>
        <v>61</v>
      </c>
      <c r="L827" s="2766">
        <f>SUM(L825:L826)</f>
        <v>68</v>
      </c>
      <c r="M827" s="2766">
        <f>SUM(M825:M826)</f>
        <v>27</v>
      </c>
      <c r="N827" s="2766">
        <f>SUM(N825:N826)</f>
        <v>0</v>
      </c>
      <c r="O827" s="2766">
        <f t="shared" si="343"/>
        <v>156</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2510</v>
      </c>
      <c r="J828" s="1833">
        <f>EC810</f>
        <v>0</v>
      </c>
      <c r="K828" s="1833">
        <f>ED810</f>
        <v>0</v>
      </c>
      <c r="L828" s="1833">
        <f>EE810</f>
        <v>0</v>
      </c>
      <c r="M828" s="1833">
        <f>EF810</f>
        <v>0</v>
      </c>
      <c r="N828" s="1833">
        <f>EG810</f>
        <v>0</v>
      </c>
      <c r="O828" s="1833">
        <f t="shared" si="343"/>
        <v>0</v>
      </c>
      <c r="P828" s="1652" t="s">
        <v>3670</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61</v>
      </c>
      <c r="L829" s="1833">
        <f>SUM(L827:L828)</f>
        <v>68</v>
      </c>
      <c r="M829" s="1833">
        <f>SUM(M827:M828)</f>
        <v>27</v>
      </c>
      <c r="N829" s="1833">
        <f>SUM(N827:N828)</f>
        <v>0</v>
      </c>
      <c r="O829" s="1833">
        <f t="shared" si="343"/>
        <v>156</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4723</v>
      </c>
      <c r="D832" s="1838"/>
      <c r="E832" s="1838"/>
      <c r="F832" s="1838"/>
      <c r="G832" s="1634"/>
      <c r="H832" s="521"/>
      <c r="I832" s="2767" t="s">
        <v>4722</v>
      </c>
      <c r="J832" s="1836"/>
      <c r="O832" s="1836"/>
      <c r="P832" s="1216" t="s">
        <v>4721</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4618</v>
      </c>
      <c r="I833" s="2768" t="str">
        <f>'Part VI-Revenues &amp; Expenses'!I71</f>
        <v>Yes</v>
      </c>
      <c r="J833" s="2769">
        <f>'Part VI-Revenues &amp; Expenses'!J71</f>
        <v>0</v>
      </c>
      <c r="K833" s="2769">
        <f>'Part VI-Revenues &amp; Expenses'!K71</f>
        <v>0.14754098360655737</v>
      </c>
      <c r="L833" s="2769">
        <f>'Part VI-Revenues &amp; Expenses'!L71</f>
        <v>0.14705882352941177</v>
      </c>
      <c r="M833" s="2769">
        <f>'Part VI-Revenues &amp; Expenses'!M71</f>
        <v>0.14814814814814814</v>
      </c>
      <c r="N833" s="2769">
        <f>'Part VI-Revenues &amp; Expenses'!N71</f>
        <v>0</v>
      </c>
      <c r="O833" s="2769">
        <f>'Part VI-Revenues &amp; Expenses'!O71</f>
        <v>0.14743589743589744</v>
      </c>
      <c r="P833" s="2770">
        <f>IF(O833=0,"",AVERAGEIF(J833:N833,"&gt;0"))</f>
        <v>0.14758265176137242</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4619</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5154</v>
      </c>
      <c r="E835" s="1838"/>
      <c r="F835" s="1838"/>
      <c r="G835" s="1838"/>
      <c r="H835" s="521" t="s">
        <v>1149</v>
      </c>
      <c r="I835" s="2768" t="str">
        <f>'Part VI-Revenues &amp; Expenses'!I73</f>
        <v>Yes</v>
      </c>
      <c r="J835" s="2769">
        <f>'Part VI-Revenues &amp; Expenses'!J73</f>
        <v>0</v>
      </c>
      <c r="K835" s="2769">
        <f>'Part VI-Revenues &amp; Expenses'!K73</f>
        <v>0.55737704918032782</v>
      </c>
      <c r="L835" s="2769">
        <f>'Part VI-Revenues &amp; Expenses'!L73</f>
        <v>0.55882352941176472</v>
      </c>
      <c r="M835" s="2769">
        <f>'Part VI-Revenues &amp; Expenses'!M73</f>
        <v>0.55555555555555558</v>
      </c>
      <c r="N835" s="2769">
        <f>'Part VI-Revenues &amp; Expenses'!N73</f>
        <v>0</v>
      </c>
      <c r="O835" s="2769">
        <f>'Part VI-Revenues &amp; Expenses'!O73</f>
        <v>0.55769230769230771</v>
      </c>
      <c r="P835" s="2770">
        <f t="shared" si="344"/>
        <v>0.55725204471588274</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8" t="str">
        <f>'Part VI-Revenues &amp; Expenses'!I74</f>
        <v>Yes</v>
      </c>
      <c r="J836" s="2769">
        <f>'Part VI-Revenues &amp; Expenses'!J74</f>
        <v>0</v>
      </c>
      <c r="K836" s="2769">
        <f>'Part VI-Revenues &amp; Expenses'!K74</f>
        <v>0.29508196721311475</v>
      </c>
      <c r="L836" s="2769">
        <f>'Part VI-Revenues &amp; Expenses'!L74</f>
        <v>0.29411764705882354</v>
      </c>
      <c r="M836" s="2769">
        <f>'Part VI-Revenues &amp; Expenses'!M74</f>
        <v>0.29629629629629628</v>
      </c>
      <c r="N836" s="2769">
        <f>'Part VI-Revenues &amp; Expenses'!N74</f>
        <v>0</v>
      </c>
      <c r="O836" s="2769">
        <f>'Part VI-Revenues &amp; Expenses'!O74</f>
        <v>0.29487179487179488</v>
      </c>
      <c r="P836" s="2770">
        <f t="shared" si="344"/>
        <v>0.29516530352274484</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4620</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4621</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4622</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4618</v>
      </c>
      <c r="J843" s="1844">
        <f>CO810</f>
        <v>0</v>
      </c>
      <c r="K843" s="1844">
        <f>CP810</f>
        <v>9</v>
      </c>
      <c r="L843" s="1844">
        <f>CQ810</f>
        <v>10</v>
      </c>
      <c r="M843" s="1844">
        <f>CR810</f>
        <v>4</v>
      </c>
      <c r="N843" s="1844">
        <f>CS810</f>
        <v>0</v>
      </c>
      <c r="O843" s="1833">
        <f t="shared" ref="O843:O850" si="345">SUM(J843:N843)</f>
        <v>23</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2511</v>
      </c>
      <c r="D844" s="1631"/>
      <c r="E844" s="1634"/>
      <c r="F844" s="1631"/>
      <c r="H844" s="521" t="s">
        <v>4619</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0</v>
      </c>
      <c r="L845" s="1833">
        <f>CG810</f>
        <v>0</v>
      </c>
      <c r="M845" s="1833">
        <f>CH810</f>
        <v>0</v>
      </c>
      <c r="N845" s="1833">
        <f>CI810</f>
        <v>0</v>
      </c>
      <c r="O845" s="1833">
        <f t="shared" si="345"/>
        <v>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18</v>
      </c>
      <c r="L846" s="1833">
        <f>CB810</f>
        <v>0</v>
      </c>
      <c r="M846" s="1833">
        <f>CC810</f>
        <v>0</v>
      </c>
      <c r="N846" s="1833">
        <f>CD810</f>
        <v>0</v>
      </c>
      <c r="O846" s="1833">
        <f t="shared" si="345"/>
        <v>18</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4620</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4621</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4622</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27</v>
      </c>
      <c r="L850" s="1833">
        <f>SUM(L843:L849)</f>
        <v>10</v>
      </c>
      <c r="M850" s="1833">
        <f>SUM(M843:M849)</f>
        <v>4</v>
      </c>
      <c r="N850" s="1833">
        <f>SUM(N843:N849)</f>
        <v>0</v>
      </c>
      <c r="O850" s="1833">
        <f t="shared" si="345"/>
        <v>41</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5155</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4618</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2511</v>
      </c>
      <c r="D855" s="1913"/>
      <c r="E855" s="1913"/>
      <c r="F855" s="1631"/>
      <c r="H855" s="521" t="s">
        <v>4619</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4620</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4621</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4622</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2294</v>
      </c>
      <c r="F863" s="1631"/>
      <c r="H863" s="521" t="s">
        <v>1432</v>
      </c>
      <c r="J863" s="1833">
        <f>GF810</f>
        <v>0</v>
      </c>
      <c r="K863" s="1833">
        <f>GG810</f>
        <v>61</v>
      </c>
      <c r="L863" s="1833">
        <f>GH810</f>
        <v>68</v>
      </c>
      <c r="M863" s="1833">
        <f>GI810</f>
        <v>27</v>
      </c>
      <c r="N863" s="1833">
        <f>GJ810</f>
        <v>0</v>
      </c>
      <c r="O863" s="1833">
        <f t="shared" ref="O863:O873" si="347">SUM(J863:N863)</f>
        <v>156</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61</v>
      </c>
      <c r="L865" s="1833">
        <f>SUM(L863:L864)+GR810</f>
        <v>68</v>
      </c>
      <c r="M865" s="1833">
        <f>SUM(M863:M864)+GS810</f>
        <v>27</v>
      </c>
      <c r="N865" s="1833">
        <f>SUM(N863:N864)+GT810</f>
        <v>0</v>
      </c>
      <c r="O865" s="1833">
        <f t="shared" si="347"/>
        <v>156</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2136</v>
      </c>
      <c r="F866" s="1631"/>
      <c r="H866" s="521" t="s">
        <v>1432</v>
      </c>
      <c r="J866" s="1833">
        <f>GU810</f>
        <v>0</v>
      </c>
      <c r="K866" s="1833">
        <f>GV810</f>
        <v>0</v>
      </c>
      <c r="L866" s="1833">
        <f>GW810</f>
        <v>0</v>
      </c>
      <c r="M866" s="1833">
        <f>GX810</f>
        <v>0</v>
      </c>
      <c r="N866" s="1833">
        <f>GY810</f>
        <v>0</v>
      </c>
      <c r="O866" s="1833">
        <f t="shared" si="347"/>
        <v>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0</v>
      </c>
      <c r="M868" s="1833">
        <f>SUM(M866:M867)+HH810</f>
        <v>0</v>
      </c>
      <c r="N868" s="1833">
        <f>SUM(N866:N867)+HI810</f>
        <v>0</v>
      </c>
      <c r="O868" s="1833">
        <f t="shared" si="347"/>
        <v>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4527</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3356</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5156</v>
      </c>
      <c r="D877" s="1838"/>
      <c r="E877" s="1634" t="s">
        <v>39</v>
      </c>
      <c r="F877" s="1631"/>
      <c r="G877" s="1652"/>
      <c r="J877" s="1833">
        <f t="shared" ref="J877:O877" si="348">SUM(J878:J885)</f>
        <v>0</v>
      </c>
      <c r="K877" s="1833">
        <f t="shared" si="348"/>
        <v>61</v>
      </c>
      <c r="L877" s="1833">
        <f t="shared" si="348"/>
        <v>68</v>
      </c>
      <c r="M877" s="1833">
        <f t="shared" si="348"/>
        <v>27</v>
      </c>
      <c r="N877" s="1833">
        <f t="shared" si="348"/>
        <v>0</v>
      </c>
      <c r="O877" s="1833">
        <f t="shared" si="348"/>
        <v>156</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2603</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3356</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2604</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3356</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2606</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3356</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2605</v>
      </c>
      <c r="J884" s="1833">
        <f>KV810</f>
        <v>0</v>
      </c>
      <c r="K884" s="1833">
        <f>KW810</f>
        <v>61</v>
      </c>
      <c r="L884" s="1833">
        <f>KX810</f>
        <v>68</v>
      </c>
      <c r="M884" s="1833">
        <f>KY810</f>
        <v>27</v>
      </c>
      <c r="N884" s="1833">
        <f>KZ810</f>
        <v>0</v>
      </c>
      <c r="O884" s="1833">
        <f t="shared" si="349"/>
        <v>156</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3356</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3356</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3356</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3356</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3356</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5155</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5157</v>
      </c>
      <c r="D897" s="1838"/>
      <c r="E897" s="1634" t="s">
        <v>3351</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3356</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3352</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3356</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3353</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3356</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3354</v>
      </c>
      <c r="F903" s="1652"/>
      <c r="H903" s="1841"/>
      <c r="J903" s="1833">
        <f t="shared" ref="J903:N904" si="354">J880+J884</f>
        <v>0</v>
      </c>
      <c r="K903" s="1833">
        <f t="shared" si="354"/>
        <v>61</v>
      </c>
      <c r="L903" s="1833">
        <f t="shared" si="354"/>
        <v>68</v>
      </c>
      <c r="M903" s="1833">
        <f t="shared" si="354"/>
        <v>27</v>
      </c>
      <c r="N903" s="1833">
        <f t="shared" si="354"/>
        <v>0</v>
      </c>
      <c r="O903" s="1833">
        <f t="shared" si="351"/>
        <v>156</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3356</v>
      </c>
      <c r="J904" s="1833">
        <f t="shared" si="354"/>
        <v>0</v>
      </c>
      <c r="K904" s="1833">
        <f t="shared" si="354"/>
        <v>0</v>
      </c>
      <c r="L904" s="1833">
        <f t="shared" si="354"/>
        <v>0</v>
      </c>
      <c r="M904" s="1833">
        <f t="shared" si="354"/>
        <v>0</v>
      </c>
      <c r="N904" s="1833">
        <f t="shared" si="354"/>
        <v>0</v>
      </c>
      <c r="O904" s="1833">
        <f t="shared" si="351"/>
        <v>0</v>
      </c>
      <c r="P904" s="1636" t="s">
        <v>5105</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2164</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2135</v>
      </c>
      <c r="D907" s="1631"/>
      <c r="E907" s="1631"/>
      <c r="F907" s="1631"/>
      <c r="H907" s="1216" t="s">
        <v>4618</v>
      </c>
      <c r="J907" s="1844">
        <f>EH810</f>
        <v>0</v>
      </c>
      <c r="K907" s="1844">
        <f>EI810</f>
        <v>5877</v>
      </c>
      <c r="L907" s="1844">
        <f>EJ810</f>
        <v>9630</v>
      </c>
      <c r="M907" s="1844">
        <f>EK810</f>
        <v>4460</v>
      </c>
      <c r="N907" s="1844">
        <f>EL810</f>
        <v>0</v>
      </c>
      <c r="O907" s="1847">
        <f t="shared" ref="O907:O913" si="355">SUM(J907:N907)</f>
        <v>19967</v>
      </c>
      <c r="P907" s="1924">
        <f>'Part VI-Revenues &amp; Expenses'!P145</f>
        <v>868.13043478260875</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4619</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22202</v>
      </c>
      <c r="L909" s="1847">
        <f>ET810</f>
        <v>36594</v>
      </c>
      <c r="M909" s="1847">
        <f>EU810</f>
        <v>16725</v>
      </c>
      <c r="N909" s="1847">
        <f>EV810</f>
        <v>0</v>
      </c>
      <c r="O909" s="1847">
        <f t="shared" si="355"/>
        <v>75521</v>
      </c>
      <c r="P909" s="1924">
        <f>'Part VI-Revenues &amp; Expenses'!P147</f>
        <v>868.05747126436779</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11754</v>
      </c>
      <c r="L910" s="1847">
        <f>EY810</f>
        <v>19260</v>
      </c>
      <c r="M910" s="1847">
        <f>EZ810</f>
        <v>8920</v>
      </c>
      <c r="N910" s="1847">
        <f>FA810</f>
        <v>0</v>
      </c>
      <c r="O910" s="1847">
        <f t="shared" si="355"/>
        <v>39934</v>
      </c>
      <c r="P910" s="1924">
        <f>'Part VI-Revenues &amp; Expenses'!P148</f>
        <v>868.13043478260875</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4620</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4621</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4622</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4703</v>
      </c>
      <c r="J914" s="1847">
        <f>SUM(J907:J913)</f>
        <v>0</v>
      </c>
      <c r="K914" s="1847">
        <f>SUM(K907:K913)</f>
        <v>39833</v>
      </c>
      <c r="L914" s="1847">
        <f>SUM(L907:L913)</f>
        <v>65484</v>
      </c>
      <c r="M914" s="1847">
        <f>SUM(M907:M913)</f>
        <v>30105</v>
      </c>
      <c r="N914" s="1847">
        <f>SUM(N907:N913)</f>
        <v>0</v>
      </c>
      <c r="O914" s="1847">
        <f>SUM(J914:N914)</f>
        <v>135422</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39833</v>
      </c>
      <c r="L916" s="1847">
        <f>SUM(L914:L915)</f>
        <v>65484</v>
      </c>
      <c r="M916" s="1847">
        <f>SUM(M914:M915)</f>
        <v>30105</v>
      </c>
      <c r="N916" s="1847">
        <f>SUM(N914:N915)</f>
        <v>0</v>
      </c>
      <c r="O916" s="1847">
        <f>SUM(J916:N916)</f>
        <v>135422</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2510</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39833</v>
      </c>
      <c r="L918" s="1847">
        <f>SUM(L916:L917)</f>
        <v>65484</v>
      </c>
      <c r="M918" s="1847">
        <f>SUM(M916:M917)</f>
        <v>30105</v>
      </c>
      <c r="N918" s="1847">
        <f>SUM(N916:N917)</f>
        <v>0</v>
      </c>
      <c r="O918" s="1847">
        <f>SUM(J918:N918)</f>
        <v>135422</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5158</v>
      </c>
      <c r="D921" s="1631"/>
      <c r="E921" s="1631"/>
      <c r="F921" s="1631"/>
      <c r="G921" s="1631"/>
      <c r="H921" s="1631"/>
      <c r="I921" s="1631"/>
      <c r="J921" s="1862" t="str">
        <f>'Part VI-Revenues &amp; Expenses'!J159</f>
        <v/>
      </c>
      <c r="K921" s="1862">
        <f>'Part VI-Revenues &amp; Expenses'!K159</f>
        <v>653</v>
      </c>
      <c r="L921" s="1862">
        <f>'Part VI-Revenues &amp; Expenses'!L159</f>
        <v>963</v>
      </c>
      <c r="M921" s="1862">
        <f>'Part VI-Revenues &amp; Expenses'!M159</f>
        <v>1115</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4530</v>
      </c>
      <c r="R933" s="742" t="s">
        <v>1844</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33289.199999999997</v>
      </c>
      <c r="I935" s="2151"/>
      <c r="J935" s="1486"/>
      <c r="K935" s="1849" t="s">
        <v>5106</v>
      </c>
      <c r="L935" s="1486"/>
      <c r="M935" s="1486"/>
      <c r="N935" s="1486"/>
      <c r="O935" s="1850">
        <f>H935/L811</f>
        <v>1.9999999999999997E-2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25">
      <c r="B938" s="1806" t="s">
        <v>2285</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5107</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5108</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2285</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2621</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5107</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5108</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25">
      <c r="B956" s="1806" t="s">
        <v>2285</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2622</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5107</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5108</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2285</v>
      </c>
      <c r="C965" s="1486"/>
      <c r="D965" s="1486"/>
      <c r="E965" s="1486"/>
      <c r="F965" s="1486"/>
      <c r="G965" s="2772">
        <v>31</v>
      </c>
      <c r="H965" s="2772">
        <v>32</v>
      </c>
      <c r="I965" s="2772">
        <v>33</v>
      </c>
      <c r="J965" s="2772">
        <v>34</v>
      </c>
      <c r="K965" s="2772">
        <v>35</v>
      </c>
      <c r="L965" s="1486"/>
      <c r="M965" s="1486"/>
      <c r="N965" s="1486"/>
      <c r="O965" s="1486"/>
      <c r="P965" s="1486"/>
      <c r="R965" s="1828" t="s">
        <v>2622</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5107</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5108</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1844</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2195</v>
      </c>
      <c r="C977" s="1631"/>
      <c r="D977" s="1631"/>
      <c r="E977" s="1631"/>
      <c r="F977" s="1847">
        <f>'Part VI-Revenues &amp; Expenses'!F215</f>
        <v>77568</v>
      </c>
      <c r="G977" s="1847"/>
      <c r="H977" s="1631"/>
      <c r="I977" s="1631" t="s">
        <v>1378</v>
      </c>
      <c r="J977" s="1631"/>
      <c r="K977" s="1847">
        <f>'Part VI-Revenues &amp; Expenses'!K215</f>
        <v>0</v>
      </c>
      <c r="L977" s="1847"/>
      <c r="M977" s="1631"/>
      <c r="N977" s="1631" t="s">
        <v>929</v>
      </c>
      <c r="O977" s="1631"/>
      <c r="P977" s="1862">
        <f>'Part VI-Revenues &amp; Expenses'!P215</f>
        <v>179014</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80000</v>
      </c>
      <c r="G978" s="1847"/>
      <c r="H978" s="1631"/>
      <c r="I978" s="1631" t="s">
        <v>1379</v>
      </c>
      <c r="J978" s="1631"/>
      <c r="K978" s="1847">
        <f>'Part VI-Revenues &amp; Expenses'!K216</f>
        <v>0</v>
      </c>
      <c r="L978" s="1847"/>
      <c r="M978" s="1631"/>
      <c r="N978" s="1631" t="s">
        <v>147</v>
      </c>
      <c r="O978" s="1631"/>
      <c r="P978" s="1862">
        <f>'Part VI-Revenues &amp; Expenses'!P216</f>
        <v>41670</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0</v>
      </c>
      <c r="G979" s="1847"/>
      <c r="H979" s="1631"/>
      <c r="I979" s="1631"/>
      <c r="J979" s="2774" t="s">
        <v>191</v>
      </c>
      <c r="K979" s="1847">
        <f>SUM(K977:L978)</f>
        <v>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Benefits, Payroll Taxes, WC</v>
      </c>
      <c r="C980" s="521"/>
      <c r="D980" s="521"/>
      <c r="E980" s="521"/>
      <c r="F980" s="1847">
        <f>'Part VI-Revenues &amp; Expenses'!F218</f>
        <v>68252</v>
      </c>
      <c r="G980" s="1847"/>
      <c r="H980" s="1631"/>
      <c r="I980" s="1631"/>
      <c r="J980" s="1631"/>
      <c r="K980" s="1631"/>
      <c r="L980" s="1631"/>
      <c r="M980" s="1631"/>
      <c r="N980" s="2774" t="s">
        <v>191</v>
      </c>
      <c r="O980" s="1631"/>
      <c r="P980" s="1862">
        <f>SUM(P977:P979)</f>
        <v>220684</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191</v>
      </c>
      <c r="D981" s="1631"/>
      <c r="E981" s="1631"/>
      <c r="F981" s="1847">
        <f>SUM(F977:G980)</f>
        <v>225820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78945</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4800</v>
      </c>
      <c r="G984" s="1847"/>
      <c r="H984" s="1631"/>
      <c r="I984" s="1631" t="s">
        <v>1602</v>
      </c>
      <c r="J984" s="1631"/>
      <c r="K984" s="1847">
        <f>'Part VI-Revenues &amp; Expenses'!K222</f>
        <v>5000</v>
      </c>
      <c r="L984" s="1847"/>
      <c r="M984" s="1631"/>
      <c r="N984" s="1865">
        <f>+P983/(O829*0.93)</f>
        <v>544.1480562448304</v>
      </c>
      <c r="O984" s="1866" t="s">
        <v>2755</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9600</v>
      </c>
      <c r="G985" s="1847"/>
      <c r="H985" s="1631"/>
      <c r="I985" s="1631" t="s">
        <v>2048</v>
      </c>
      <c r="J985" s="1631"/>
      <c r="K985" s="1847">
        <f>'Part VI-Revenues &amp; Expenses'!K223</f>
        <v>10000</v>
      </c>
      <c r="L985" s="1847"/>
      <c r="M985" s="1631"/>
      <c r="N985" s="1865">
        <f>+P983/(O829*0.93)/12</f>
        <v>45.345671353735867</v>
      </c>
      <c r="O985" s="1866" t="s">
        <v>2756</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0</v>
      </c>
      <c r="G986" s="1847"/>
      <c r="H986" s="1631"/>
      <c r="I986" s="1631" t="s">
        <v>1603</v>
      </c>
      <c r="J986" s="1631"/>
      <c r="K986" s="1847">
        <f>'Part VI-Revenues &amp; Expenses'!K224</f>
        <v>5000</v>
      </c>
      <c r="L986" s="1847"/>
      <c r="M986" s="1631"/>
      <c r="N986" s="521" t="s">
        <v>3728</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2340</v>
      </c>
      <c r="C987" s="1631"/>
      <c r="D987" s="1863"/>
      <c r="E987" s="1631"/>
      <c r="F987" s="1847">
        <f>'Part VI-Revenues &amp; Expenses'!F225</f>
        <v>0</v>
      </c>
      <c r="G987" s="1847"/>
      <c r="H987" s="1631"/>
      <c r="I987" s="2154" t="str">
        <f>'Part VI-Revenues &amp; Expenses'!I225</f>
        <v>Credit Reports</v>
      </c>
      <c r="J987" s="2154"/>
      <c r="K987" s="1847">
        <f>'Part VI-Revenues &amp; Expenses'!K225</f>
        <v>2500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0</v>
      </c>
      <c r="G988" s="1847"/>
      <c r="H988" s="1631"/>
      <c r="I988" s="1631"/>
      <c r="J988" s="2774" t="s">
        <v>191</v>
      </c>
      <c r="K988" s="1862">
        <f>SUM(K984:K987)</f>
        <v>22500</v>
      </c>
      <c r="L988" s="1862"/>
      <c r="M988" s="2038" t="str">
        <f>IF(P990="","",IF(P988&lt;P990, "WARNING! OE below required minimum.",""))</f>
        <v/>
      </c>
      <c r="N988" s="1631" t="s">
        <v>2185</v>
      </c>
      <c r="O988" s="1631"/>
      <c r="P988" s="1862">
        <f>F981+F990+F1001+K979+K988+K998+P980+P983</f>
        <v>841179</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Other Admin, Software Cost, Compliance Fees</v>
      </c>
      <c r="C989" s="521"/>
      <c r="D989" s="521"/>
      <c r="E989" s="521"/>
      <c r="F989" s="1847">
        <f>'Part VI-Revenues &amp; Expenses'!F227</f>
        <v>15200</v>
      </c>
      <c r="G989" s="1847"/>
      <c r="H989" s="1631"/>
      <c r="I989" s="1631"/>
      <c r="J989" s="1833"/>
      <c r="K989" s="1631"/>
      <c r="L989" s="1631"/>
      <c r="M989" s="2038"/>
      <c r="N989" s="1866" t="s">
        <v>2757</v>
      </c>
      <c r="O989" s="1865">
        <f>+P988/O829</f>
        <v>5392.1730769230771</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191</v>
      </c>
      <c r="D990" s="1631"/>
      <c r="E990" s="1631"/>
      <c r="F990" s="1847">
        <f>SUM(F984:G989)</f>
        <v>29600</v>
      </c>
      <c r="G990" s="1847"/>
      <c r="H990" s="1631"/>
      <c r="I990" s="1631"/>
      <c r="J990" s="1833"/>
      <c r="K990" s="1631"/>
      <c r="L990" s="1631"/>
      <c r="M990" s="2038"/>
      <c r="N990" s="1631"/>
      <c r="O990" s="1866" t="s">
        <v>3729</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5013</v>
      </c>
      <c r="K992" s="1631"/>
      <c r="L992" s="1631"/>
      <c r="M992" s="1631"/>
      <c r="N992" s="1631" t="s">
        <v>3480</v>
      </c>
      <c r="O992" s="1631"/>
      <c r="P992" s="2155">
        <f>'Part VI-Revenues &amp; Expenses'!P230</f>
        <v>46800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12000</v>
      </c>
      <c r="G993" s="1847"/>
      <c r="H993" s="1631"/>
      <c r="I993" s="1631" t="s">
        <v>1368</v>
      </c>
      <c r="J993" s="1736">
        <f>K993/12/O829</f>
        <v>24.03846153846154</v>
      </c>
      <c r="K993" s="1847">
        <f>'Part VI-Revenues &amp; Expenses'!K231</f>
        <v>45000</v>
      </c>
      <c r="L993" s="1847"/>
      <c r="M993" s="2038" t="str">
        <f>IF(P992&lt;P1001, "WARNING! RR proposed is below the DCA required minimum.","")</f>
        <v/>
      </c>
      <c r="N993" s="521" t="s">
        <v>5012</v>
      </c>
      <c r="O993" s="1631"/>
      <c r="P993" s="1869">
        <f>P992/O1001</f>
        <v>300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10000</v>
      </c>
      <c r="G994" s="1847"/>
      <c r="H994" s="1631"/>
      <c r="I994" s="1631" t="s">
        <v>1369</v>
      </c>
      <c r="J994" s="1736">
        <f>K994/12/O829</f>
        <v>0</v>
      </c>
      <c r="K994" s="1847">
        <f>'Part VI-Revenues &amp; Expenses'!K232</f>
        <v>0</v>
      </c>
      <c r="L994" s="1847"/>
      <c r="M994" s="2038"/>
      <c r="N994" s="1870" t="s">
        <v>3736</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7500</v>
      </c>
      <c r="G995" s="1847"/>
      <c r="H995" s="1631"/>
      <c r="I995" s="1631" t="s">
        <v>2351</v>
      </c>
      <c r="J995" s="1736">
        <f>K995/12/O829</f>
        <v>82.799145299145295</v>
      </c>
      <c r="K995" s="1847">
        <f>'Part VI-Revenues &amp; Expenses'!K233</f>
        <v>155000</v>
      </c>
      <c r="L995" s="1847"/>
      <c r="M995" s="2038"/>
      <c r="N995" s="1871" t="s">
        <v>2713</v>
      </c>
      <c r="O995" s="1872" t="s">
        <v>3848</v>
      </c>
      <c r="P995" s="1872" t="s">
        <v>3437</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ht="13.5">
      <c r="A996" s="1631"/>
      <c r="B996" s="1631" t="s">
        <v>1003</v>
      </c>
      <c r="C996" s="1631"/>
      <c r="D996" s="1863"/>
      <c r="E996" s="1631"/>
      <c r="F996" s="1847">
        <f>'Part VI-Revenues &amp; Expenses'!F234</f>
        <v>4800</v>
      </c>
      <c r="G996" s="1847"/>
      <c r="H996" s="1631"/>
      <c r="I996" s="1631" t="s">
        <v>1371</v>
      </c>
      <c r="J996" s="1631"/>
      <c r="K996" s="1847">
        <f>'Part VI-Revenues &amp; Expenses'!K234</f>
        <v>16330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8000</v>
      </c>
      <c r="G997" s="1847"/>
      <c r="H997" s="1631"/>
      <c r="I997" s="2154" t="str">
        <f>'Part VI-Revenues &amp; Expenses'!I235</f>
        <v>Other (describe here)</v>
      </c>
      <c r="J997" s="2154"/>
      <c r="K997" s="1847">
        <f>'Part VI-Revenues &amp; Expenses'!K235</f>
        <v>0</v>
      </c>
      <c r="L997" s="1847"/>
      <c r="M997" s="2038"/>
      <c r="N997" s="1652" t="s">
        <v>3429</v>
      </c>
      <c r="O997" s="1874" t="str">
        <f>CONCATENATE(SUM(ME810:MI810)," units x $",'DCA Underwriting Assumptions'!$Q$64," =")</f>
        <v>0 units x $350 =</v>
      </c>
      <c r="P997" s="1874">
        <f>SUM(ME810:MI810)*'DCA Underwriting Assumptions'!$Q$64</f>
        <v>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0</v>
      </c>
      <c r="G998" s="1847"/>
      <c r="H998" s="1631"/>
      <c r="I998" s="1631"/>
      <c r="J998" s="2774" t="s">
        <v>191</v>
      </c>
      <c r="K998" s="1862">
        <f>SUM(K993:K997)</f>
        <v>216330</v>
      </c>
      <c r="L998" s="1862"/>
      <c r="M998" s="2038"/>
      <c r="N998" s="1652" t="s">
        <v>3428</v>
      </c>
      <c r="O998" s="1874" t="str">
        <f>CONCATENATE(SUM(MJ810:MN810)," units x $",'DCA Underwriting Assumptions'!$Q$65," =")</f>
        <v>156 units x $250 =</v>
      </c>
      <c r="P998" s="1874">
        <f>SUM(MJ810:MN810)*'DCA Underwriting Assumptions'!$Q$65</f>
        <v>39000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5000</v>
      </c>
      <c r="G999" s="1847"/>
      <c r="H999" s="1631"/>
      <c r="I999" s="1631"/>
      <c r="J999" s="1833"/>
      <c r="K999" s="1631"/>
      <c r="L999" s="1631"/>
      <c r="M999" s="2038"/>
      <c r="N999" s="1652" t="s">
        <v>3432</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Other (describe here)</v>
      </c>
      <c r="C1000" s="521"/>
      <c r="D1000" s="521"/>
      <c r="E1000" s="521"/>
      <c r="F1000" s="1847">
        <f>'Part VI-Revenues &amp; Expenses'!F238</f>
        <v>0</v>
      </c>
      <c r="G1000" s="1847"/>
      <c r="H1000" s="1631"/>
      <c r="I1000" s="1631"/>
      <c r="J1000" s="1833"/>
      <c r="K1000" s="1631"/>
      <c r="L1000" s="1631"/>
      <c r="M1000" s="1631"/>
      <c r="N1000" s="1652" t="s">
        <v>3427</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191</v>
      </c>
      <c r="D1001" s="1631"/>
      <c r="E1001" s="1631"/>
      <c r="F1001" s="1847">
        <f>SUM(F993:G1000)</f>
        <v>47300</v>
      </c>
      <c r="G1001" s="1847"/>
      <c r="H1001" s="1631"/>
      <c r="I1001" s="1631"/>
      <c r="J1001" s="1833"/>
      <c r="K1001" s="1631"/>
      <c r="L1001" s="1631"/>
      <c r="M1001" s="1631"/>
      <c r="N1001" s="1828" t="s">
        <v>2716</v>
      </c>
      <c r="O1001" s="1823">
        <f>SUM(ME810:MI810)+SUM(MJ810:MN810)+SUM(MO810:MS810)+O875</f>
        <v>156</v>
      </c>
      <c r="P1001" s="1823">
        <f>SUM(P997:P1000)</f>
        <v>39000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2186</v>
      </c>
      <c r="O1003" s="1631"/>
      <c r="P1003" s="1862">
        <f>P988+P992</f>
        <v>887979</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4998</v>
      </c>
      <c r="C1005" s="2774"/>
      <c r="D1005" s="1631"/>
      <c r="E1005" s="1631"/>
      <c r="F1005" s="2775" t="s">
        <v>4999</v>
      </c>
      <c r="G1005" s="1833"/>
      <c r="H1005" s="1862">
        <f>'Part VI-Revenues &amp; Expenses'!H243</f>
        <v>0</v>
      </c>
      <c r="I1005" s="1862"/>
      <c r="J1005" s="1833"/>
      <c r="K1005" s="1941" t="s">
        <v>5000</v>
      </c>
      <c r="L1005" s="1924">
        <f>'Part VI-Revenues &amp; Expenses'!K243</f>
        <v>0</v>
      </c>
      <c r="M1005" s="1631"/>
      <c r="N1005" s="1631" t="s">
        <v>5002</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5073</v>
      </c>
      <c r="C1007" s="2774"/>
      <c r="F1007" s="1833"/>
      <c r="G1007" s="1833"/>
      <c r="I1007" s="1630" t="str">
        <f>'Part VI-Revenues &amp; Expenses'!I245</f>
        <v>&lt;&lt;Select&gt;&gt;</v>
      </c>
      <c r="J1007" s="2775" t="s">
        <v>5075</v>
      </c>
      <c r="K1007" s="1630" t="str">
        <f>'Part VI-Revenues &amp; Expenses'!K245</f>
        <v>&lt;&lt;Select&gt;&gt;</v>
      </c>
      <c r="L1007" s="1630" t="s">
        <v>5076</v>
      </c>
      <c r="M1007" s="1924" t="str">
        <f>'Part VI-Revenues &amp; Expenses'!L245</f>
        <v>Yrs in period</v>
      </c>
      <c r="N1007" s="1631" t="s">
        <v>5074</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4105</v>
      </c>
      <c r="B1009" s="742" t="s">
        <v>572</v>
      </c>
      <c r="M1009" s="742" t="s">
        <v>4997</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See Tab 1 of the LIHTC application for a full explanation of insurance and real estate tax estimates.   As per discussion with the tax office, the income approach to value is to be used and an 7% cap rate was applied to the projected NOI to establish appraised value.  Insurance estimates were provided by our insurance company.
PBRA units are based on an Atlanta Housing contract. These units will receive 60% AMI rents, and will be 100% owner paid utilities.</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4104</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55 Milton, ,  County</v>
      </c>
      <c r="B1016" s="2111"/>
      <c r="C1016" s="2111"/>
      <c r="D1016" s="2111"/>
      <c r="E1016" s="2111"/>
      <c r="F1016" s="2111"/>
      <c r="G1016" s="2111"/>
      <c r="H1016" s="2111"/>
      <c r="I1016" s="2111"/>
      <c r="J1016" s="2111"/>
      <c r="K1016" s="2111"/>
      <c r="L1016" s="1631"/>
      <c r="M1016" s="1631"/>
      <c r="N1016" s="1631" t="str">
        <f>A1016</f>
        <v>PART SEVEN - OPERATING PRO FORMA  -  2019-5 55 Milton, ,  County</v>
      </c>
      <c r="O1016" s="1631"/>
    </row>
    <row r="1017" spans="1:318">
      <c r="A1017" s="2111"/>
      <c r="B1017" s="2111"/>
      <c r="C1017" s="2111"/>
      <c r="D1017" s="2111"/>
      <c r="E1017" s="2111"/>
      <c r="F1017" s="2111"/>
      <c r="G1017" s="2111"/>
      <c r="H1017" s="2111"/>
      <c r="I1017" s="2111"/>
      <c r="J1017" s="2111"/>
      <c r="K1017" s="2111"/>
      <c r="N1017" s="2111" t="s">
        <v>1844</v>
      </c>
      <c r="O1017" s="2111"/>
    </row>
    <row r="1018" spans="1:318" ht="13.5" customHeight="1">
      <c r="A1018" s="742" t="s">
        <v>90</v>
      </c>
      <c r="C1018" s="2776" t="str">
        <f>'Part I-Project Information'!$B$6</f>
        <v>May 2019 Final</v>
      </c>
      <c r="D1018" s="742" t="s">
        <v>80</v>
      </c>
      <c r="E1018" s="1630"/>
      <c r="F1018" s="1649" t="s">
        <v>5109</v>
      </c>
      <c r="N1018" s="742" t="str">
        <f>A1018</f>
        <v>I.  OPERATING ASSUMPTIONS</v>
      </c>
      <c r="O1018" s="2111"/>
    </row>
    <row r="1019" spans="1:318">
      <c r="C1019" s="2776"/>
    </row>
    <row r="1020" spans="1:318" ht="12.75" customHeight="1">
      <c r="A1020" s="742" t="s">
        <v>2187</v>
      </c>
      <c r="B1020" s="1876">
        <v>0.02</v>
      </c>
      <c r="C1020" s="2776"/>
      <c r="D1020" s="1838" t="s">
        <v>4535</v>
      </c>
      <c r="E1020" s="1838"/>
      <c r="F1020" s="1838"/>
      <c r="G1020" s="2156">
        <f>'Part VII-Pro Forma'!G5</f>
        <v>5000</v>
      </c>
      <c r="H1020" s="1843" t="s">
        <v>1906</v>
      </c>
      <c r="K1020" s="1877" t="str">
        <f>IF(($B$14+$B$15+$B$16+$B$17)=0,"",B1045/($B$14+$B$15+$B$16+$B$17))</f>
        <v/>
      </c>
      <c r="N1020" s="1838">
        <f>'Part VII-Pro Forma'!N5</f>
        <v>0</v>
      </c>
      <c r="O1020" s="1838"/>
    </row>
    <row r="1021" spans="1:318">
      <c r="A1021" s="742" t="s">
        <v>2188</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2190</v>
      </c>
      <c r="B1022" s="1876">
        <v>0.03</v>
      </c>
      <c r="C1022" s="2776"/>
      <c r="D1022" s="1631" t="s">
        <v>270</v>
      </c>
      <c r="G1022" s="1879"/>
      <c r="H1022" s="1843" t="s">
        <v>2373</v>
      </c>
      <c r="K1022" s="1877" t="str">
        <f>IF(($B$14+$B$15+$B$16+$B$17)=0,"",-B1036/($B$14+$B$15+$B$16+$B$17))</f>
        <v/>
      </c>
      <c r="N1022" s="1838">
        <f>'Part VII-Pro Forma'!N7</f>
        <v>0</v>
      </c>
      <c r="O1022" s="1838"/>
    </row>
    <row r="1023" spans="1:318">
      <c r="A1023" s="742" t="s">
        <v>2189</v>
      </c>
      <c r="B1023" s="1876">
        <f>'Part VII-Pro Forma'!B8</f>
        <v>7.0000000000000007E-2</v>
      </c>
      <c r="C1023" s="1651" t="str">
        <f>IF(B1023&lt;0.07, "Must be &gt;= 7%!","")</f>
        <v/>
      </c>
      <c r="D1023" s="1631" t="s">
        <v>2507</v>
      </c>
      <c r="G1023" s="2157" t="str">
        <f>'Part VII-Pro Forma'!G8</f>
        <v>Yes</v>
      </c>
      <c r="H1023" s="1880" t="s">
        <v>1444</v>
      </c>
      <c r="K1023" s="2158">
        <f>'Part VII-Pro Forma'!K8</f>
        <v>78945</v>
      </c>
      <c r="N1023" s="1838">
        <f>'Part VII-Pro Forma'!N8</f>
        <v>0</v>
      </c>
      <c r="O1023" s="1838"/>
    </row>
    <row r="1024" spans="1:318">
      <c r="A1024" s="742" t="s">
        <v>1418</v>
      </c>
      <c r="B1024" s="1876">
        <v>0.02</v>
      </c>
      <c r="D1024" s="1631" t="s">
        <v>1718</v>
      </c>
      <c r="G1024" s="2157">
        <f>'Part VII-Pro Forma'!G9</f>
        <v>0</v>
      </c>
      <c r="H1024" s="1880" t="s">
        <v>2355</v>
      </c>
      <c r="K1024" s="2159">
        <f>'Part VII-Pro Forma'!K9</f>
        <v>0</v>
      </c>
      <c r="N1024" s="1838">
        <f>'Part VII-Pro Forma'!N9</f>
        <v>0</v>
      </c>
      <c r="O1024" s="1838"/>
    </row>
    <row r="1026" spans="1:15">
      <c r="A1026" s="742" t="s">
        <v>91</v>
      </c>
      <c r="D1026" s="1947"/>
      <c r="N1026" s="742" t="str">
        <f>A1026</f>
        <v>II.  OPERATING PRO FORMA</v>
      </c>
    </row>
    <row r="1028" spans="1:15">
      <c r="A1028" s="742" t="s">
        <v>2479</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2623</v>
      </c>
      <c r="O1028" s="2111"/>
    </row>
    <row r="1029" spans="1:15">
      <c r="A1029" s="742" t="s">
        <v>2403</v>
      </c>
      <c r="B1029" s="1881">
        <f>'Part VII-Pro Forma'!B14</f>
        <v>1664460</v>
      </c>
      <c r="C1029" s="1881">
        <f>'Part VII-Pro Forma'!C14</f>
        <v>1697749.2</v>
      </c>
      <c r="D1029" s="1881">
        <f>'Part VII-Pro Forma'!D14</f>
        <v>1731704.1839999999</v>
      </c>
      <c r="E1029" s="1881">
        <f>'Part VII-Pro Forma'!E14</f>
        <v>1766338.2676799998</v>
      </c>
      <c r="F1029" s="1881">
        <f>'Part VII-Pro Forma'!F14</f>
        <v>1801665.0330336001</v>
      </c>
      <c r="G1029" s="1881">
        <f>'Part VII-Pro Forma'!G14</f>
        <v>1837698.333694272</v>
      </c>
      <c r="H1029" s="1881">
        <f>'Part VII-Pro Forma'!H14</f>
        <v>1874452.3003681574</v>
      </c>
      <c r="I1029" s="1881">
        <f>'Part VII-Pro Forma'!I14</f>
        <v>1911941.3463755203</v>
      </c>
      <c r="J1029" s="1881">
        <f>'Part VII-Pro Forma'!J14</f>
        <v>1950180.1733030309</v>
      </c>
      <c r="K1029" s="1881">
        <f>'Part VII-Pro Forma'!K14</f>
        <v>1989183.7767690916</v>
      </c>
      <c r="N1029" s="1838">
        <f>'Part VII-Pro Forma'!N14</f>
        <v>0</v>
      </c>
      <c r="O1029" s="1838"/>
    </row>
    <row r="1030" spans="1:15">
      <c r="A1030" s="742" t="s">
        <v>1016</v>
      </c>
      <c r="B1030" s="1881">
        <f>'Part VII-Pro Forma'!B15</f>
        <v>33289.199999999997</v>
      </c>
      <c r="C1030" s="1881">
        <f>'Part VII-Pro Forma'!C15</f>
        <v>33954.983999999997</v>
      </c>
      <c r="D1030" s="1881">
        <f>'Part VII-Pro Forma'!D15</f>
        <v>34634.083679999996</v>
      </c>
      <c r="E1030" s="1881">
        <f>'Part VII-Pro Forma'!E15</f>
        <v>35326.765353599993</v>
      </c>
      <c r="F1030" s="1881">
        <f>'Part VII-Pro Forma'!F15</f>
        <v>36033.300660671994</v>
      </c>
      <c r="G1030" s="1881">
        <f>'Part VII-Pro Forma'!G15</f>
        <v>36753.966673885436</v>
      </c>
      <c r="H1030" s="1881">
        <f>'Part VII-Pro Forma'!H15</f>
        <v>37489.046007363148</v>
      </c>
      <c r="I1030" s="1881">
        <f>'Part VII-Pro Forma'!I15</f>
        <v>38238.826927510403</v>
      </c>
      <c r="J1030" s="1881">
        <f>'Part VII-Pro Forma'!J15</f>
        <v>39003.603466060616</v>
      </c>
      <c r="K1030" s="1881">
        <f>'Part VII-Pro Forma'!K15</f>
        <v>39783.67553538183</v>
      </c>
      <c r="N1030" s="1838">
        <f>'Part VII-Pro Forma'!N15</f>
        <v>0</v>
      </c>
      <c r="O1030" s="1838"/>
    </row>
    <row r="1031" spans="1:15">
      <c r="A1031" s="742" t="s">
        <v>2404</v>
      </c>
      <c r="B1031" s="1881">
        <f>'Part VII-Pro Forma'!B16</f>
        <v>-118842.444</v>
      </c>
      <c r="C1031" s="1881">
        <f>'Part VII-Pro Forma'!C16</f>
        <v>-121219.29288000001</v>
      </c>
      <c r="D1031" s="1881">
        <f>'Part VII-Pro Forma'!D16</f>
        <v>-123643.6787376</v>
      </c>
      <c r="E1031" s="1881">
        <f>'Part VII-Pro Forma'!E16</f>
        <v>-126116.552312352</v>
      </c>
      <c r="F1031" s="1881">
        <f>'Part VII-Pro Forma'!F16</f>
        <v>-128638.88335859905</v>
      </c>
      <c r="G1031" s="1881">
        <f>'Part VII-Pro Forma'!G16</f>
        <v>-131211.66102577103</v>
      </c>
      <c r="H1031" s="1881">
        <f>'Part VII-Pro Forma'!H16</f>
        <v>-133835.89424628645</v>
      </c>
      <c r="I1031" s="1881">
        <f>'Part VII-Pro Forma'!I16</f>
        <v>-136512.61213121217</v>
      </c>
      <c r="J1031" s="1881">
        <f>'Part VII-Pro Forma'!J16</f>
        <v>-139242.86437383643</v>
      </c>
      <c r="K1031" s="1881">
        <f>'Part VII-Pro Forma'!K16</f>
        <v>-142027.72166131315</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4939</v>
      </c>
      <c r="B1034" s="1881">
        <f>'Part VII-Pro Forma'!B19</f>
        <v>1578906.7560000001</v>
      </c>
      <c r="C1034" s="1881">
        <f>'Part VII-Pro Forma'!C19</f>
        <v>1610484.8911199998</v>
      </c>
      <c r="D1034" s="1881">
        <f>'Part VII-Pro Forma'!D19</f>
        <v>1642694.5889423997</v>
      </c>
      <c r="E1034" s="1881">
        <f>'Part VII-Pro Forma'!E19</f>
        <v>1675548.4807212478</v>
      </c>
      <c r="F1034" s="1881">
        <f>'Part VII-Pro Forma'!F19</f>
        <v>1709059.4503356728</v>
      </c>
      <c r="G1034" s="1881">
        <f>'Part VII-Pro Forma'!G19</f>
        <v>1743240.6393423865</v>
      </c>
      <c r="H1034" s="1881">
        <f>'Part VII-Pro Forma'!H19</f>
        <v>1778105.4521292341</v>
      </c>
      <c r="I1034" s="1881">
        <f>'Part VII-Pro Forma'!I19</f>
        <v>1813667.5611718185</v>
      </c>
      <c r="J1034" s="1881">
        <f>'Part VII-Pro Forma'!J19</f>
        <v>1849940.9123952552</v>
      </c>
      <c r="K1034" s="1881">
        <f>'Part VII-Pro Forma'!K19</f>
        <v>1886939.7306431602</v>
      </c>
      <c r="N1034" s="1838">
        <f>'Part VII-Pro Forma'!N19</f>
        <v>0</v>
      </c>
      <c r="O1034" s="1838"/>
    </row>
    <row r="1035" spans="1:15">
      <c r="A1035" s="742" t="s">
        <v>614</v>
      </c>
      <c r="B1035" s="1881">
        <f>'Part VII-Pro Forma'!B20</f>
        <v>-762234</v>
      </c>
      <c r="C1035" s="1881">
        <f>'Part VII-Pro Forma'!C20</f>
        <v>-785101.02</v>
      </c>
      <c r="D1035" s="1881">
        <f>'Part VII-Pro Forma'!D20</f>
        <v>-808654.05059999996</v>
      </c>
      <c r="E1035" s="1881">
        <f>'Part VII-Pro Forma'!E20</f>
        <v>-832913.67211799999</v>
      </c>
      <c r="F1035" s="1881">
        <f>'Part VII-Pro Forma'!F20</f>
        <v>-857901.08228153992</v>
      </c>
      <c r="G1035" s="1881">
        <f>'Part VII-Pro Forma'!G20</f>
        <v>-883638.1147499861</v>
      </c>
      <c r="H1035" s="1881">
        <f>'Part VII-Pro Forma'!H20</f>
        <v>-910147.25819248566</v>
      </c>
      <c r="I1035" s="1881">
        <f>'Part VII-Pro Forma'!I20</f>
        <v>-937451.67593826039</v>
      </c>
      <c r="J1035" s="1881">
        <f>'Part VII-Pro Forma'!J20</f>
        <v>-965575.22621640807</v>
      </c>
      <c r="K1035" s="1881">
        <f>'Part VII-Pro Forma'!K20</f>
        <v>-994542.48300290026</v>
      </c>
      <c r="N1035" s="1838">
        <f>'Part VII-Pro Forma'!N20</f>
        <v>0</v>
      </c>
      <c r="O1035" s="1838"/>
    </row>
    <row r="1036" spans="1:15">
      <c r="A1036" s="742" t="s">
        <v>1115</v>
      </c>
      <c r="B1036" s="1881">
        <f>'Part VII-Pro Forma'!B21</f>
        <v>-78945</v>
      </c>
      <c r="C1036" s="1881">
        <f>'Part VII-Pro Forma'!C21</f>
        <v>-81313</v>
      </c>
      <c r="D1036" s="1881">
        <f>'Part VII-Pro Forma'!D21</f>
        <v>-83753</v>
      </c>
      <c r="E1036" s="1881">
        <f>'Part VII-Pro Forma'!E21</f>
        <v>-86265</v>
      </c>
      <c r="F1036" s="1881">
        <f>'Part VII-Pro Forma'!F21</f>
        <v>-88853</v>
      </c>
      <c r="G1036" s="1881">
        <f>'Part VII-Pro Forma'!G21</f>
        <v>-91519</v>
      </c>
      <c r="H1036" s="1881">
        <f>'Part VII-Pro Forma'!H21</f>
        <v>-94264</v>
      </c>
      <c r="I1036" s="1881">
        <f>'Part VII-Pro Forma'!I21</f>
        <v>-97092</v>
      </c>
      <c r="J1036" s="1881">
        <f>'Part VII-Pro Forma'!J21</f>
        <v>-100005</v>
      </c>
      <c r="K1036" s="1881">
        <f>'Part VII-Pro Forma'!K21</f>
        <v>-103005</v>
      </c>
      <c r="N1036" s="1838">
        <f>'Part VII-Pro Forma'!N21</f>
        <v>0</v>
      </c>
      <c r="O1036" s="1838"/>
    </row>
    <row r="1037" spans="1:15">
      <c r="A1037" s="742" t="s">
        <v>1202</v>
      </c>
      <c r="B1037" s="1881">
        <f>'Part VII-Pro Forma'!B22</f>
        <v>-46800</v>
      </c>
      <c r="C1037" s="1881">
        <f>'Part VII-Pro Forma'!C22</f>
        <v>-48204</v>
      </c>
      <c r="D1037" s="1881">
        <f>'Part VII-Pro Forma'!D22</f>
        <v>-49650.119999999995</v>
      </c>
      <c r="E1037" s="1881">
        <f>'Part VII-Pro Forma'!E22</f>
        <v>-51139.623599999999</v>
      </c>
      <c r="F1037" s="1881">
        <f>'Part VII-Pro Forma'!F22</f>
        <v>-52673.812307999993</v>
      </c>
      <c r="G1037" s="1881">
        <f>'Part VII-Pro Forma'!G22</f>
        <v>-54254.026677239992</v>
      </c>
      <c r="H1037" s="1881">
        <f>'Part VII-Pro Forma'!H22</f>
        <v>-55881.647477557199</v>
      </c>
      <c r="I1037" s="1881">
        <f>'Part VII-Pro Forma'!I22</f>
        <v>-57558.096901883917</v>
      </c>
      <c r="J1037" s="1881">
        <f>'Part VII-Pro Forma'!J22</f>
        <v>-59284.839808940429</v>
      </c>
      <c r="K1037" s="1881">
        <f>'Part VII-Pro Forma'!K22</f>
        <v>-61063.385003208641</v>
      </c>
      <c r="N1037" s="1838">
        <f>'Part VII-Pro Forma'!N22</f>
        <v>0</v>
      </c>
      <c r="O1037" s="1838"/>
    </row>
    <row r="1038" spans="1:15">
      <c r="A1038" s="742" t="s">
        <v>4938</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690927.75600000005</v>
      </c>
      <c r="C1039" s="1881">
        <f t="shared" ref="C1039:J1039" si="363">SUM(C1034:C1038)</f>
        <v>695866.87111999979</v>
      </c>
      <c r="D1039" s="1881">
        <f t="shared" si="363"/>
        <v>700637.41834239976</v>
      </c>
      <c r="E1039" s="1881">
        <f t="shared" si="363"/>
        <v>705230.18500324781</v>
      </c>
      <c r="F1039" s="1881">
        <f t="shared" si="363"/>
        <v>709631.55574613297</v>
      </c>
      <c r="G1039" s="1881">
        <f t="shared" si="363"/>
        <v>713829.49791516038</v>
      </c>
      <c r="H1039" s="1881">
        <f t="shared" si="363"/>
        <v>717812.54645919125</v>
      </c>
      <c r="I1039" s="1881">
        <f t="shared" si="363"/>
        <v>721565.78833167418</v>
      </c>
      <c r="J1039" s="1881">
        <f t="shared" si="363"/>
        <v>725075.84636990668</v>
      </c>
      <c r="K1039" s="1881">
        <f>SUM(K1034:K1038)</f>
        <v>728328.86263705126</v>
      </c>
      <c r="N1039" s="1838">
        <f>'Part VII-Pro Forma'!N24</f>
        <v>0</v>
      </c>
      <c r="O1039" s="1838"/>
    </row>
    <row r="1040" spans="1:15">
      <c r="A1040" s="742" t="s">
        <v>1591</v>
      </c>
      <c r="B1040" s="1881">
        <f>'Part VII-Pro Forma'!B25</f>
        <v>-548701.65721672866</v>
      </c>
      <c r="C1040" s="1881">
        <f>'Part VII-Pro Forma'!C25</f>
        <v>-548701.65721672866</v>
      </c>
      <c r="D1040" s="1881">
        <f>'Part VII-Pro Forma'!D25</f>
        <v>-548701.65721672866</v>
      </c>
      <c r="E1040" s="1881">
        <f>'Part VII-Pro Forma'!E25</f>
        <v>-548701.65721672866</v>
      </c>
      <c r="F1040" s="1881">
        <f>'Part VII-Pro Forma'!F25</f>
        <v>-548701.65721672866</v>
      </c>
      <c r="G1040" s="1881">
        <f>'Part VII-Pro Forma'!G25</f>
        <v>-548701.65721672866</v>
      </c>
      <c r="H1040" s="1881">
        <f>'Part VII-Pro Forma'!H25</f>
        <v>-548701.65721672866</v>
      </c>
      <c r="I1040" s="1881">
        <f>'Part VII-Pro Forma'!I25</f>
        <v>-548701.65721672866</v>
      </c>
      <c r="J1040" s="1881">
        <f>'Part VII-Pro Forma'!J25</f>
        <v>-548701.65721672866</v>
      </c>
      <c r="K1040" s="1881">
        <f>'Part VII-Pro Forma'!K25</f>
        <v>-548701.65721672866</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3851</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-5000</v>
      </c>
      <c r="C1045" s="1881">
        <f>'Part VII-Pro Forma'!C30</f>
        <v>-5150</v>
      </c>
      <c r="D1045" s="1881">
        <f>'Part VII-Pro Forma'!D30</f>
        <v>-5304.5</v>
      </c>
      <c r="E1045" s="1881">
        <f>'Part VII-Pro Forma'!E30</f>
        <v>-5463.6350000000002</v>
      </c>
      <c r="F1045" s="1881">
        <f>'Part VII-Pro Forma'!F30</f>
        <v>-5627.5440500000004</v>
      </c>
      <c r="G1045" s="1881">
        <f>'Part VII-Pro Forma'!G30</f>
        <v>-5796.3703715000001</v>
      </c>
      <c r="H1045" s="1881">
        <f>'Part VII-Pro Forma'!H30</f>
        <v>-5970.2614826449999</v>
      </c>
      <c r="I1045" s="1881">
        <f>'Part VII-Pro Forma'!I30</f>
        <v>-6149.3693271243501</v>
      </c>
      <c r="J1045" s="1881">
        <f>'Part VII-Pro Forma'!J30</f>
        <v>-6333.8504069380806</v>
      </c>
      <c r="K1045" s="1881">
        <f>'Part VII-Pro Forma'!K30</f>
        <v>-6523.865919146223</v>
      </c>
      <c r="N1045" s="1838">
        <f>'Part VII-Pro Forma'!N30</f>
        <v>0</v>
      </c>
      <c r="O1045" s="1838"/>
    </row>
    <row r="1046" spans="1:15">
      <c r="A1046" s="742" t="s">
        <v>4083</v>
      </c>
      <c r="B1046" s="1881">
        <f>'Part VII-Pro Forma'!B31</f>
        <v>-137226.09878327139</v>
      </c>
      <c r="C1046" s="1881">
        <f>'Part VII-Pro Forma'!C31</f>
        <v>-155251.90121672861</v>
      </c>
      <c r="D1046" s="1881">
        <f>'Part VII-Pro Forma'!D31</f>
        <v>0</v>
      </c>
      <c r="E1046" s="1881">
        <f>'Part VII-Pro Forma'!E31</f>
        <v>0</v>
      </c>
      <c r="F1046" s="1881">
        <f>'Part VII-Pro Forma'!F31</f>
        <v>0</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1164</v>
      </c>
      <c r="B1047" s="1881">
        <f>'Part VII-Pro Forma'!B32</f>
        <v>0</v>
      </c>
      <c r="C1047" s="1881">
        <f>'Part VII-Pro Forma'!C32</f>
        <v>-13236.687313457485</v>
      </c>
      <c r="D1047" s="1881">
        <f>'Part VII-Pro Forma'!D32</f>
        <v>146631.2611256711</v>
      </c>
      <c r="E1047" s="1881">
        <f>'Part VII-Pro Forma'!E32</f>
        <v>151064.89278651914</v>
      </c>
      <c r="F1047" s="1881">
        <f>'Part VII-Pro Forma'!F32</f>
        <v>155302.35447940431</v>
      </c>
      <c r="G1047" s="1881">
        <f>'Part VII-Pro Forma'!G32</f>
        <v>159331.47032693171</v>
      </c>
      <c r="H1047" s="1881">
        <f>'Part VII-Pro Forma'!H32</f>
        <v>163140.62775981758</v>
      </c>
      <c r="I1047" s="1881">
        <f>'Part VII-Pro Forma'!I32</f>
        <v>166714.76178782116</v>
      </c>
      <c r="J1047" s="1881">
        <f>'Part VII-Pro Forma'!J32</f>
        <v>170040.33874623993</v>
      </c>
      <c r="K1047" s="1881">
        <f>'Part VII-Pro Forma'!K32</f>
        <v>173103.33950117638</v>
      </c>
      <c r="N1047" s="1838">
        <f>'Part VII-Pro Forma'!N32</f>
        <v>0</v>
      </c>
      <c r="O1047" s="1838"/>
    </row>
    <row r="1048" spans="1:15">
      <c r="A1048" s="742" t="str">
        <f>IF('Part III-Sources of Funds'!$E$38 = "Neither", "", "DCR Mortgage A")</f>
        <v>DCR Mortgage A</v>
      </c>
      <c r="B1048" s="1882">
        <f>'Part VII-Pro Forma'!B33</f>
        <v>1.2592047917345623</v>
      </c>
      <c r="C1048" s="1882">
        <f>'Part VII-Pro Forma'!C33</f>
        <v>1.2682062500954743</v>
      </c>
      <c r="D1048" s="1882">
        <f>'Part VII-Pro Forma'!D33</f>
        <v>1.2769004961573478</v>
      </c>
      <c r="E1048" s="1882">
        <f>'Part VII-Pro Forma'!E33</f>
        <v>1.2852707399873822</v>
      </c>
      <c r="F1048" s="1882">
        <f>'Part VII-Pro Forma'!F33</f>
        <v>1.2932921678161426</v>
      </c>
      <c r="G1048" s="1882">
        <f>'Part VII-Pro Forma'!G33</f>
        <v>1.3009428503205864</v>
      </c>
      <c r="H1048" s="1882">
        <f>'Part VII-Pro Forma'!H33</f>
        <v>1.3082018926282675</v>
      </c>
      <c r="I1048" s="1882">
        <f>'Part VII-Pro Forma'!I33</f>
        <v>1.3150421159502108</v>
      </c>
      <c r="J1048" s="1882">
        <f>'Part VII-Pro Forma'!J33</f>
        <v>1.3214391406212083</v>
      </c>
      <c r="K1048" s="1882">
        <f>'Part VII-Pro Forma'!K33</f>
        <v>1.3273677107728739</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3712</v>
      </c>
      <c r="B1052" s="1882">
        <f>'Part VII-Pro Forma'!B37</f>
        <v>1.2592047917345623</v>
      </c>
      <c r="C1052" s="1882">
        <f>'Part VII-Pro Forma'!C37</f>
        <v>1.2682062500954743</v>
      </c>
      <c r="D1052" s="1882">
        <f>'Part VII-Pro Forma'!D37</f>
        <v>1.2769004961573478</v>
      </c>
      <c r="E1052" s="1882">
        <f>'Part VII-Pro Forma'!E37</f>
        <v>1.2852707399873822</v>
      </c>
      <c r="F1052" s="1882">
        <f>'Part VII-Pro Forma'!F37</f>
        <v>1.2932921678161426</v>
      </c>
      <c r="G1052" s="1882">
        <f>'Part VII-Pro Forma'!G37</f>
        <v>1.3009428503205864</v>
      </c>
      <c r="H1052" s="1882">
        <f>'Part VII-Pro Forma'!H37</f>
        <v>1.3082018926282675</v>
      </c>
      <c r="I1052" s="1882">
        <f>'Part VII-Pro Forma'!I37</f>
        <v>1.3150421159502108</v>
      </c>
      <c r="J1052" s="1882">
        <f>'Part VII-Pro Forma'!J37</f>
        <v>1.3214391406212083</v>
      </c>
      <c r="K1052" s="1882">
        <f>'Part VII-Pro Forma'!K37</f>
        <v>1.3273677107728739</v>
      </c>
      <c r="N1052" s="1838">
        <f>'Part VII-Pro Forma'!N37</f>
        <v>0</v>
      </c>
      <c r="O1052" s="1838"/>
    </row>
    <row r="1053" spans="1:15">
      <c r="A1053" s="742" t="s">
        <v>770</v>
      </c>
      <c r="B1053" s="1883">
        <f>'Part VII-Pro Forma'!B38</f>
        <v>1.7780901980790087</v>
      </c>
      <c r="C1053" s="1883">
        <f>'Part VII-Pro Forma'!C38</f>
        <v>1.7608278602689238</v>
      </c>
      <c r="D1053" s="1883">
        <f>'Part VII-Pro Forma'!D38</f>
        <v>1.743731315049766</v>
      </c>
      <c r="E1053" s="1883">
        <f>'Part VII-Pro Forma'!E38</f>
        <v>1.7268029347848206</v>
      </c>
      <c r="F1053" s="1883">
        <f>'Part VII-Pro Forma'!F38</f>
        <v>1.7100377721972382</v>
      </c>
      <c r="G1053" s="1883">
        <f>'Part VII-Pro Forma'!G38</f>
        <v>1.6934347892577422</v>
      </c>
      <c r="H1053" s="1883">
        <f>'Part VII-Pro Forma'!H38</f>
        <v>1.6769945763294303</v>
      </c>
      <c r="I1053" s="1883">
        <f>'Part VII-Pro Forma'!I38</f>
        <v>1.6607129539357435</v>
      </c>
      <c r="J1053" s="1883">
        <f>'Part VII-Pro Forma'!J38</f>
        <v>1.6445891763106524</v>
      </c>
      <c r="K1053" s="1883">
        <f>'Part VII-Pro Forma'!K38</f>
        <v>1.6286225019539617</v>
      </c>
      <c r="N1053" s="1838">
        <f>'Part VII-Pro Forma'!N38</f>
        <v>0</v>
      </c>
      <c r="O1053" s="1838"/>
    </row>
    <row r="1054" spans="1:15">
      <c r="A1054" s="742" t="s">
        <v>2616</v>
      </c>
      <c r="B1054" s="1881">
        <f>'Part VII-Pro Forma'!B39</f>
        <v>10294308.523943068</v>
      </c>
      <c r="C1054" s="1881">
        <f>'Part VII-Pro Forma'!C39</f>
        <v>10191373.10179431</v>
      </c>
      <c r="D1054" s="1881">
        <f>'Part VII-Pro Forma'!D39</f>
        <v>10083869.627243839</v>
      </c>
      <c r="E1054" s="1881">
        <f>'Part VII-Pro Forma'!E39</f>
        <v>9971595.379961675</v>
      </c>
      <c r="F1054" s="1881">
        <f>'Part VII-Pro Forma'!F39</f>
        <v>9854338.6433260757</v>
      </c>
      <c r="G1054" s="1881">
        <f>'Part VII-Pro Forma'!G39</f>
        <v>9731878.3051874768</v>
      </c>
      <c r="H1054" s="1881">
        <f>'Part VII-Pro Forma'!H39</f>
        <v>9603983.4409152009</v>
      </c>
      <c r="I1054" s="1881">
        <f>'Part VII-Pro Forma'!I39</f>
        <v>9470412.8779406734</v>
      </c>
      <c r="J1054" s="1881">
        <f>'Part VII-Pro Forma'!J39</f>
        <v>9330914.7409759983</v>
      </c>
      <c r="K1054" s="1881">
        <f>'Part VII-Pro Forma'!K39</f>
        <v>9185225.9770503249</v>
      </c>
      <c r="N1054" s="1838">
        <f>'Part VII-Pro Forma'!N39</f>
        <v>0</v>
      </c>
      <c r="O1054" s="1838"/>
    </row>
    <row r="1055" spans="1:15">
      <c r="A1055" s="742" t="s">
        <v>2617</v>
      </c>
      <c r="B1055" s="1881">
        <f>'Part VII-Pro Forma'!B40</f>
        <v>2020091.921774361</v>
      </c>
      <c r="C1055" s="1881">
        <f>'Part VII-Pro Forma'!C40</f>
        <v>2040385.6862090158</v>
      </c>
      <c r="D1055" s="1881">
        <f>'Part VII-Pro Forma'!D40</f>
        <v>2060883.3210074347</v>
      </c>
      <c r="E1055" s="1881">
        <f>'Part VII-Pro Forma'!E40</f>
        <v>2081586.8742433183</v>
      </c>
      <c r="F1055" s="1881">
        <f>'Part VII-Pro Forma'!F40</f>
        <v>2102498.4145652354</v>
      </c>
      <c r="G1055" s="1881">
        <f>'Part VII-Pro Forma'!G40</f>
        <v>2123620.0314033171</v>
      </c>
      <c r="H1055" s="1881">
        <f>'Part VII-Pro Forma'!H40</f>
        <v>2144953.8351780279</v>
      </c>
      <c r="I1055" s="1881">
        <f>'Part VII-Pro Forma'!I40</f>
        <v>2166501.9575110343</v>
      </c>
      <c r="J1055" s="1881">
        <f>'Part VII-Pro Forma'!J40</f>
        <v>2188266.5514381905</v>
      </c>
      <c r="K1055" s="1881">
        <f>'Part VII-Pro Forma'!K40</f>
        <v>2210249.7916246639</v>
      </c>
      <c r="N1055" s="1838">
        <f>'Part VII-Pro Forma'!N40</f>
        <v>0</v>
      </c>
      <c r="O1055" s="1838"/>
    </row>
    <row r="1056" spans="1:15">
      <c r="A1056" s="742" t="s">
        <v>2618</v>
      </c>
      <c r="B1056" s="1881">
        <f>'Part VII-Pro Forma'!B41</f>
        <v>720000</v>
      </c>
      <c r="C1056" s="1881">
        <f>'Part VII-Pro Forma'!C41</f>
        <v>720000</v>
      </c>
      <c r="D1056" s="1881">
        <f>'Part VII-Pro Forma'!D41</f>
        <v>720000</v>
      </c>
      <c r="E1056" s="1881">
        <f>'Part VII-Pro Forma'!E41</f>
        <v>720000</v>
      </c>
      <c r="F1056" s="1881">
        <f>'Part VII-Pro Forma'!F41</f>
        <v>720000</v>
      </c>
      <c r="G1056" s="1881">
        <f>'Part VII-Pro Forma'!G41</f>
        <v>720000</v>
      </c>
      <c r="H1056" s="1881">
        <f>'Part VII-Pro Forma'!H41</f>
        <v>720000</v>
      </c>
      <c r="I1056" s="1881">
        <f>'Part VII-Pro Forma'!I41</f>
        <v>720000</v>
      </c>
      <c r="J1056" s="1881">
        <f>'Part VII-Pro Forma'!J41</f>
        <v>720000</v>
      </c>
      <c r="K1056" s="1881">
        <f>'Part VII-Pro Forma'!K41</f>
        <v>720000</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4084</v>
      </c>
      <c r="B1058" s="1881">
        <f>'Part VII-Pro Forma'!B43</f>
        <v>155251.90121672861</v>
      </c>
      <c r="C1058" s="1881">
        <f>'Part VII-Pro Forma'!C43</f>
        <v>0</v>
      </c>
      <c r="D1058" s="1881">
        <f>'Part VII-Pro Forma'!D43</f>
        <v>0</v>
      </c>
      <c r="E1058" s="1881">
        <f>'Part VII-Pro Forma'!E43</f>
        <v>0</v>
      </c>
      <c r="F1058" s="1881">
        <f>'Part VII-Pro Forma'!F43</f>
        <v>0</v>
      </c>
      <c r="G1058" s="1881">
        <f>'Part VII-Pro Forma'!G43</f>
        <v>0</v>
      </c>
      <c r="H1058" s="1881">
        <f>'Part VII-Pro Forma'!H43</f>
        <v>0</v>
      </c>
      <c r="I1058" s="1881">
        <f>'Part VII-Pro Forma'!I43</f>
        <v>0</v>
      </c>
      <c r="J1058" s="1881">
        <f>'Part VII-Pro Forma'!J43</f>
        <v>0</v>
      </c>
      <c r="K1058" s="1881">
        <f>'Part VII-Pro Forma'!K43</f>
        <v>0</v>
      </c>
      <c r="N1058" s="1838">
        <f>'Part VII-Pro Forma'!N43</f>
        <v>0</v>
      </c>
      <c r="O1058" s="1838"/>
    </row>
    <row r="1059" spans="1:15">
      <c r="B1059" s="1881"/>
      <c r="C1059" s="1881"/>
      <c r="D1059" s="1881"/>
      <c r="E1059" s="1881"/>
      <c r="F1059" s="1881"/>
      <c r="G1059" s="1881"/>
      <c r="H1059" s="1881"/>
      <c r="I1059" s="1881"/>
      <c r="J1059" s="1881"/>
      <c r="K1059" s="1881"/>
    </row>
    <row r="1060" spans="1:15">
      <c r="A1060" s="742" t="s">
        <v>2479</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2621</v>
      </c>
      <c r="O1060" s="2111"/>
    </row>
    <row r="1061" spans="1:15">
      <c r="A1061" s="742" t="s">
        <v>2403</v>
      </c>
      <c r="B1061" s="1881">
        <f>'Part VII-Pro Forma'!B46</f>
        <v>2028967.4523044734</v>
      </c>
      <c r="C1061" s="1881">
        <f>'Part VII-Pro Forma'!C46</f>
        <v>2069546.8013505626</v>
      </c>
      <c r="D1061" s="1881">
        <f>'Part VII-Pro Forma'!D46</f>
        <v>2110937.7373775742</v>
      </c>
      <c r="E1061" s="1881">
        <f>'Part VII-Pro Forma'!E46</f>
        <v>2153156.4921251256</v>
      </c>
      <c r="F1061" s="1881">
        <f>'Part VII-Pro Forma'!F46</f>
        <v>2196219.6219676281</v>
      </c>
      <c r="G1061" s="1881">
        <f>'Part VII-Pro Forma'!G46</f>
        <v>2240144.01440698</v>
      </c>
      <c r="H1061" s="1881">
        <f>'Part VII-Pro Forma'!H46</f>
        <v>2284946.8946951199</v>
      </c>
      <c r="I1061" s="1881">
        <f>'Part VII-Pro Forma'!I46</f>
        <v>2330645.8325890228</v>
      </c>
      <c r="J1061" s="1881">
        <f>'Part VII-Pro Forma'!J46</f>
        <v>2377258.7492408031</v>
      </c>
      <c r="K1061" s="1881">
        <f>'Part VII-Pro Forma'!K46</f>
        <v>2424803.9242256191</v>
      </c>
      <c r="N1061" s="1838">
        <f>'Part VII-Pro Forma'!N46</f>
        <v>0</v>
      </c>
      <c r="O1061" s="1838"/>
    </row>
    <row r="1062" spans="1:15">
      <c r="A1062" s="742" t="s">
        <v>1016</v>
      </c>
      <c r="B1062" s="1881">
        <f>'Part VII-Pro Forma'!B47</f>
        <v>40579.349046089468</v>
      </c>
      <c r="C1062" s="1881">
        <f>'Part VII-Pro Forma'!C47</f>
        <v>41390.936027011245</v>
      </c>
      <c r="D1062" s="1881">
        <f>'Part VII-Pro Forma'!D47</f>
        <v>42218.75474755148</v>
      </c>
      <c r="E1062" s="1881">
        <f>'Part VII-Pro Forma'!E47</f>
        <v>43063.129842502502</v>
      </c>
      <c r="F1062" s="1881">
        <f>'Part VII-Pro Forma'!F47</f>
        <v>43924.392439352559</v>
      </c>
      <c r="G1062" s="1881">
        <f>'Part VII-Pro Forma'!G47</f>
        <v>44802.880288139597</v>
      </c>
      <c r="H1062" s="1881">
        <f>'Part VII-Pro Forma'!H47</f>
        <v>45698.937893902395</v>
      </c>
      <c r="I1062" s="1881">
        <f>'Part VII-Pro Forma'!I47</f>
        <v>46612.916651780448</v>
      </c>
      <c r="J1062" s="1881">
        <f>'Part VII-Pro Forma'!J47</f>
        <v>47545.174984816054</v>
      </c>
      <c r="K1062" s="1881">
        <f>'Part VII-Pro Forma'!K47</f>
        <v>48496.078484512371</v>
      </c>
      <c r="N1062" s="1838">
        <f>'Part VII-Pro Forma'!N47</f>
        <v>0</v>
      </c>
      <c r="O1062" s="1838"/>
    </row>
    <row r="1063" spans="1:15">
      <c r="A1063" s="742" t="s">
        <v>2404</v>
      </c>
      <c r="B1063" s="1881">
        <f>'Part VII-Pro Forma'!B48</f>
        <v>-144868.27609453941</v>
      </c>
      <c r="C1063" s="1881">
        <f>'Part VII-Pro Forma'!C48</f>
        <v>-147765.64161643016</v>
      </c>
      <c r="D1063" s="1881">
        <f>'Part VII-Pro Forma'!D48</f>
        <v>-150720.9544487588</v>
      </c>
      <c r="E1063" s="1881">
        <f>'Part VII-Pro Forma'!E48</f>
        <v>-153735.37353773398</v>
      </c>
      <c r="F1063" s="1881">
        <f>'Part VII-Pro Forma'!F48</f>
        <v>-156810.08100848866</v>
      </c>
      <c r="G1063" s="1881">
        <f>'Part VII-Pro Forma'!G48</f>
        <v>-159946.28262865837</v>
      </c>
      <c r="H1063" s="1881">
        <f>'Part VII-Pro Forma'!H48</f>
        <v>-163145.20828123158</v>
      </c>
      <c r="I1063" s="1881">
        <f>'Part VII-Pro Forma'!I48</f>
        <v>-166408.11244685622</v>
      </c>
      <c r="J1063" s="1881">
        <f>'Part VII-Pro Forma'!J48</f>
        <v>-169736.27469579334</v>
      </c>
      <c r="K1063" s="1881">
        <f>'Part VII-Pro Forma'!K48</f>
        <v>-173131.00018970922</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4939</v>
      </c>
      <c r="B1066" s="1881">
        <f>'Part VII-Pro Forma'!B51</f>
        <v>1924678.5252560235</v>
      </c>
      <c r="C1066" s="1881">
        <f>'Part VII-Pro Forma'!C51</f>
        <v>1963172.0957611436</v>
      </c>
      <c r="D1066" s="1881">
        <f>'Part VII-Pro Forma'!D51</f>
        <v>2002435.5376763667</v>
      </c>
      <c r="E1066" s="1881">
        <f>'Part VII-Pro Forma'!E51</f>
        <v>2042484.2484298942</v>
      </c>
      <c r="F1066" s="1881">
        <f>'Part VII-Pro Forma'!F51</f>
        <v>2083333.9333984917</v>
      </c>
      <c r="G1066" s="1881">
        <f>'Part VII-Pro Forma'!G51</f>
        <v>2125000.6120664612</v>
      </c>
      <c r="H1066" s="1881">
        <f>'Part VII-Pro Forma'!H51</f>
        <v>2167500.6243077908</v>
      </c>
      <c r="I1066" s="1881">
        <f>'Part VII-Pro Forma'!I51</f>
        <v>2210850.6367939468</v>
      </c>
      <c r="J1066" s="1881">
        <f>'Part VII-Pro Forma'!J51</f>
        <v>2255067.6495298259</v>
      </c>
      <c r="K1066" s="1881">
        <f>'Part VII-Pro Forma'!K51</f>
        <v>2300169.0025204225</v>
      </c>
      <c r="N1066" s="1838">
        <f>'Part VII-Pro Forma'!N51</f>
        <v>0</v>
      </c>
      <c r="O1066" s="1838"/>
    </row>
    <row r="1067" spans="1:15">
      <c r="A1067" s="742" t="s">
        <v>614</v>
      </c>
      <c r="B1067" s="1881">
        <f>'Part VII-Pro Forma'!B52</f>
        <v>-1024378.7574929873</v>
      </c>
      <c r="C1067" s="1881">
        <f>'Part VII-Pro Forma'!C52</f>
        <v>-1055110.1202177771</v>
      </c>
      <c r="D1067" s="1881">
        <f>'Part VII-Pro Forma'!D52</f>
        <v>-1086763.4238243101</v>
      </c>
      <c r="E1067" s="1881">
        <f>'Part VII-Pro Forma'!E52</f>
        <v>-1119366.3265390394</v>
      </c>
      <c r="F1067" s="1881">
        <f>'Part VII-Pro Forma'!F52</f>
        <v>-1152947.3163352106</v>
      </c>
      <c r="G1067" s="1881">
        <f>'Part VII-Pro Forma'!G52</f>
        <v>-1187535.7358252672</v>
      </c>
      <c r="H1067" s="1881">
        <f>'Part VII-Pro Forma'!H52</f>
        <v>-1223161.8079000248</v>
      </c>
      <c r="I1067" s="1881">
        <f>'Part VII-Pro Forma'!I52</f>
        <v>-1259856.6621370255</v>
      </c>
      <c r="J1067" s="1881">
        <f>'Part VII-Pro Forma'!J52</f>
        <v>-1297652.3620011364</v>
      </c>
      <c r="K1067" s="1881">
        <f>'Part VII-Pro Forma'!K52</f>
        <v>-1336581.9328611705</v>
      </c>
      <c r="N1067" s="1838">
        <f>'Part VII-Pro Forma'!N52</f>
        <v>0</v>
      </c>
      <c r="O1067" s="1838"/>
    </row>
    <row r="1068" spans="1:15">
      <c r="A1068" s="742" t="s">
        <v>1115</v>
      </c>
      <c r="B1068" s="1881">
        <f>'Part VII-Pro Forma'!B53</f>
        <v>-106095</v>
      </c>
      <c r="C1068" s="1881">
        <f>'Part VII-Pro Forma'!C53</f>
        <v>-109278</v>
      </c>
      <c r="D1068" s="1881">
        <f>'Part VII-Pro Forma'!D53</f>
        <v>-112557</v>
      </c>
      <c r="E1068" s="1881">
        <f>'Part VII-Pro Forma'!E53</f>
        <v>-115933</v>
      </c>
      <c r="F1068" s="1881">
        <f>'Part VII-Pro Forma'!F53</f>
        <v>-119411</v>
      </c>
      <c r="G1068" s="1881">
        <f>'Part VII-Pro Forma'!G53</f>
        <v>-122994</v>
      </c>
      <c r="H1068" s="1881">
        <f>'Part VII-Pro Forma'!H53</f>
        <v>-126684</v>
      </c>
      <c r="I1068" s="1881">
        <f>'Part VII-Pro Forma'!I53</f>
        <v>-130484</v>
      </c>
      <c r="J1068" s="1881">
        <f>'Part VII-Pro Forma'!J53</f>
        <v>-134399</v>
      </c>
      <c r="K1068" s="1881">
        <f>'Part VII-Pro Forma'!K53</f>
        <v>-138431</v>
      </c>
      <c r="N1068" s="1838">
        <f>'Part VII-Pro Forma'!N53</f>
        <v>0</v>
      </c>
      <c r="O1068" s="1838"/>
    </row>
    <row r="1069" spans="1:15">
      <c r="A1069" s="742" t="s">
        <v>1202</v>
      </c>
      <c r="B1069" s="1881">
        <f>'Part VII-Pro Forma'!B54</f>
        <v>-62895.286553304897</v>
      </c>
      <c r="C1069" s="1881">
        <f>'Part VII-Pro Forma'!C54</f>
        <v>-64782.145149904049</v>
      </c>
      <c r="D1069" s="1881">
        <f>'Part VII-Pro Forma'!D54</f>
        <v>-66725.60950440116</v>
      </c>
      <c r="E1069" s="1881">
        <f>'Part VII-Pro Forma'!E54</f>
        <v>-68727.377789533188</v>
      </c>
      <c r="F1069" s="1881">
        <f>'Part VII-Pro Forma'!F54</f>
        <v>-70789.199123219194</v>
      </c>
      <c r="G1069" s="1881">
        <f>'Part VII-Pro Forma'!G54</f>
        <v>-72912.87509691577</v>
      </c>
      <c r="H1069" s="1881">
        <f>'Part VII-Pro Forma'!H54</f>
        <v>-75100.261349823239</v>
      </c>
      <c r="I1069" s="1881">
        <f>'Part VII-Pro Forma'!I54</f>
        <v>-77353.269190317937</v>
      </c>
      <c r="J1069" s="1881">
        <f>'Part VII-Pro Forma'!J54</f>
        <v>-79673.867266027475</v>
      </c>
      <c r="K1069" s="1881">
        <f>'Part VII-Pro Forma'!K54</f>
        <v>-82064.083284008288</v>
      </c>
      <c r="N1069" s="1838">
        <f>'Part VII-Pro Forma'!N54</f>
        <v>0</v>
      </c>
      <c r="O1069" s="1838"/>
    </row>
    <row r="1070" spans="1:15">
      <c r="A1070" s="742" t="s">
        <v>4938</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731309.48120973131</v>
      </c>
      <c r="C1071" s="1881">
        <f t="shared" ref="C1071:J1071" si="365">SUM(C1066:C1070)</f>
        <v>734001.83039346244</v>
      </c>
      <c r="D1071" s="1881">
        <f t="shared" si="365"/>
        <v>736389.50434765546</v>
      </c>
      <c r="E1071" s="1881">
        <f t="shared" si="365"/>
        <v>738457.5441013216</v>
      </c>
      <c r="F1071" s="1881">
        <f t="shared" si="365"/>
        <v>740186.41794006189</v>
      </c>
      <c r="G1071" s="1881">
        <f t="shared" si="365"/>
        <v>741558.00114427833</v>
      </c>
      <c r="H1071" s="1881">
        <f t="shared" si="365"/>
        <v>742554.55505794275</v>
      </c>
      <c r="I1071" s="1881">
        <f t="shared" si="365"/>
        <v>743156.70546660339</v>
      </c>
      <c r="J1071" s="1881">
        <f t="shared" si="365"/>
        <v>743342.420262662</v>
      </c>
      <c r="K1071" s="1881">
        <f>SUM(K1066:K1070)</f>
        <v>743091.98637524364</v>
      </c>
      <c r="N1071" s="1838">
        <f>'Part VII-Pro Forma'!N56</f>
        <v>0</v>
      </c>
      <c r="O1071" s="1838"/>
    </row>
    <row r="1072" spans="1:15">
      <c r="A1072" s="742" t="str">
        <f>$A1040</f>
        <v>Mortgage A</v>
      </c>
      <c r="B1072" s="1881">
        <f>IF('Part III-Sources of Funds'!$P$38="", 0,-'Part III-Sources of Funds'!$P$38)</f>
        <v>-548701.65721672866</v>
      </c>
      <c r="C1072" s="1881">
        <f>IF('Part III-Sources of Funds'!$P$38="", 0,-'Part III-Sources of Funds'!$P$38)</f>
        <v>-548701.65721672866</v>
      </c>
      <c r="D1072" s="1881">
        <f>IF('Part III-Sources of Funds'!$P$38="", 0,-'Part III-Sources of Funds'!$P$38)</f>
        <v>-548701.65721672866</v>
      </c>
      <c r="E1072" s="1881">
        <f>IF('Part III-Sources of Funds'!$P$38="", 0,-'Part III-Sources of Funds'!$P$38)</f>
        <v>-548701.65721672866</v>
      </c>
      <c r="F1072" s="1881">
        <f>IF('Part III-Sources of Funds'!$P$38="", 0,-'Part III-Sources of Funds'!$P$38)</f>
        <v>-548701.65721672866</v>
      </c>
      <c r="G1072" s="1881">
        <f>IF('Part III-Sources of Funds'!$P$38="", 0,-'Part III-Sources of Funds'!$P$38)</f>
        <v>-548701.65721672866</v>
      </c>
      <c r="H1072" s="1881">
        <f>IF('Part III-Sources of Funds'!$P$38="", 0,-'Part III-Sources of Funds'!$P$38)</f>
        <v>-548701.65721672866</v>
      </c>
      <c r="I1072" s="1881">
        <f>IF('Part III-Sources of Funds'!$P$38="", 0,-'Part III-Sources of Funds'!$P$38)</f>
        <v>-548701.65721672866</v>
      </c>
      <c r="J1072" s="1881">
        <f>IF('Part III-Sources of Funds'!$P$38="", 0,-'Part III-Sources of Funds'!$P$38)</f>
        <v>-548701.65721672866</v>
      </c>
      <c r="K1072" s="1881">
        <f>IF('Part III-Sources of Funds'!$P$38="", 0,-'Part III-Sources of Funds'!$P$38)</f>
        <v>-548701.65721672866</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-6523.865919146223</v>
      </c>
      <c r="C1077" s="1881">
        <f t="shared" ref="C1077:K1077" si="366">+B1077</f>
        <v>-6523.865919146223</v>
      </c>
      <c r="D1077" s="1881">
        <f t="shared" si="366"/>
        <v>-6523.865919146223</v>
      </c>
      <c r="E1077" s="1881">
        <f t="shared" si="366"/>
        <v>-6523.865919146223</v>
      </c>
      <c r="F1077" s="1881">
        <f t="shared" si="366"/>
        <v>-6523.865919146223</v>
      </c>
      <c r="G1077" s="1881">
        <f t="shared" si="366"/>
        <v>-6523.865919146223</v>
      </c>
      <c r="H1077" s="1881">
        <f t="shared" si="366"/>
        <v>-6523.865919146223</v>
      </c>
      <c r="I1077" s="1881">
        <f t="shared" si="366"/>
        <v>-6523.865919146223</v>
      </c>
      <c r="J1077" s="1881">
        <f t="shared" si="366"/>
        <v>-6523.865919146223</v>
      </c>
      <c r="K1077" s="1881">
        <f t="shared" si="366"/>
        <v>-6523.865919146223</v>
      </c>
      <c r="N1077" s="1838">
        <f>'Part VII-Pro Forma'!N62</f>
        <v>0</v>
      </c>
      <c r="O1077" s="1838"/>
    </row>
    <row r="1078" spans="1:15">
      <c r="A1078" s="742" t="s">
        <v>4083</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175888.24209628205</v>
      </c>
      <c r="C1079" s="1881">
        <f>'Part VII-Pro Forma'!C64</f>
        <v>178379.00382311156</v>
      </c>
      <c r="D1079" s="1881">
        <f>'Part VII-Pro Forma'!D64</f>
        <v>180559.04269669589</v>
      </c>
      <c r="E1079" s="1881">
        <f>'Part VII-Pro Forma'!E64</f>
        <v>182413.21831733512</v>
      </c>
      <c r="F1079" s="1881">
        <f>'Part VII-Pro Forma'!F64</f>
        <v>183921.81209905766</v>
      </c>
      <c r="G1079" s="1881">
        <f>'Part VII-Pro Forma'!G64</f>
        <v>192856.34392754966</v>
      </c>
      <c r="H1079" s="1881">
        <f>'Part VII-Pro Forma'!H64</f>
        <v>193852.89784121409</v>
      </c>
      <c r="I1079" s="1881">
        <f>'Part VII-Pro Forma'!I64</f>
        <v>194455.04824987473</v>
      </c>
      <c r="J1079" s="1881">
        <f>'Part VII-Pro Forma'!J64</f>
        <v>194640.76304593333</v>
      </c>
      <c r="K1079" s="1881">
        <f>'Part VII-Pro Forma'!K64</f>
        <v>194390.32915851497</v>
      </c>
      <c r="N1079" s="1838">
        <f>'Part VII-Pro Forma'!N64</f>
        <v>0</v>
      </c>
      <c r="O1079" s="1838"/>
    </row>
    <row r="1080" spans="1:15">
      <c r="A1080" s="742" t="str">
        <f>$A1048</f>
        <v>DCR Mortgage A</v>
      </c>
      <c r="B1080" s="1882">
        <f>'Part VII-Pro Forma'!B65</f>
        <v>1.3327998404802983</v>
      </c>
      <c r="C1080" s="1882">
        <f>'Part VII-Pro Forma'!C65</f>
        <v>1.3377066038339722</v>
      </c>
      <c r="D1080" s="1882">
        <f>'Part VII-Pro Forma'!D65</f>
        <v>1.3420581014516473</v>
      </c>
      <c r="E1080" s="1882">
        <f>'Part VII-Pro Forma'!E65</f>
        <v>1.3458270708477964</v>
      </c>
      <c r="F1080" s="1882">
        <f>'Part VII-Pro Forma'!F65</f>
        <v>1.3489779157851163</v>
      </c>
      <c r="G1080" s="1882">
        <f>'Part VII-Pro Forma'!G65</f>
        <v>1.351477604251839</v>
      </c>
      <c r="H1080" s="1882">
        <f>'Part VII-Pro Forma'!H65</f>
        <v>1.3532938078308832</v>
      </c>
      <c r="I1080" s="1882">
        <f>'Part VII-Pro Forma'!I65</f>
        <v>1.3543912173260815</v>
      </c>
      <c r="J1080" s="1882">
        <f>'Part VII-Pro Forma'!J65</f>
        <v>1.3547296795734904</v>
      </c>
      <c r="K1080" s="1882">
        <f>'Part VII-Pro Forma'!K65</f>
        <v>1.3542732678165281</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3712</v>
      </c>
      <c r="B1084" s="1882">
        <f>'Part VII-Pro Forma'!B69</f>
        <v>1.3327998404802983</v>
      </c>
      <c r="C1084" s="1882">
        <f>'Part VII-Pro Forma'!C69</f>
        <v>1.3377066038339722</v>
      </c>
      <c r="D1084" s="1882">
        <f>'Part VII-Pro Forma'!D69</f>
        <v>1.3420581014516473</v>
      </c>
      <c r="E1084" s="1882">
        <f>'Part VII-Pro Forma'!E69</f>
        <v>1.3458270708477964</v>
      </c>
      <c r="F1084" s="1882">
        <f>'Part VII-Pro Forma'!F69</f>
        <v>1.3489779157851163</v>
      </c>
      <c r="G1084" s="1882">
        <f>'Part VII-Pro Forma'!G69</f>
        <v>1.351477604251839</v>
      </c>
      <c r="H1084" s="1882">
        <f>'Part VII-Pro Forma'!H69</f>
        <v>1.3532938078308832</v>
      </c>
      <c r="I1084" s="1882">
        <f>'Part VII-Pro Forma'!I69</f>
        <v>1.3543912173260815</v>
      </c>
      <c r="J1084" s="1882">
        <f>'Part VII-Pro Forma'!J69</f>
        <v>1.3547296795734904</v>
      </c>
      <c r="K1084" s="1882">
        <f>'Part VII-Pro Forma'!K69</f>
        <v>1.3542732678165281</v>
      </c>
      <c r="N1084" s="1838">
        <f>'Part VII-Pro Forma'!N69</f>
        <v>0</v>
      </c>
      <c r="O1084" s="1838"/>
    </row>
    <row r="1085" spans="1:15">
      <c r="A1085" s="742" t="s">
        <v>770</v>
      </c>
      <c r="B1085" s="1883">
        <f>'Part VII-Pro Forma'!B70</f>
        <v>1.6128108357244793</v>
      </c>
      <c r="C1085" s="1883">
        <f>'Part VII-Pro Forma'!C70</f>
        <v>1.5971522831899134</v>
      </c>
      <c r="D1085" s="1883">
        <f>'Part VII-Pro Forma'!D70</f>
        <v>1.5816451258186297</v>
      </c>
      <c r="E1085" s="1883">
        <f>'Part VII-Pro Forma'!E70</f>
        <v>1.5662902006915145</v>
      </c>
      <c r="F1085" s="1883">
        <f>'Part VII-Pro Forma'!F70</f>
        <v>1.551083488165802</v>
      </c>
      <c r="G1085" s="1883">
        <f>'Part VII-Pro Forma'!G70</f>
        <v>1.5360236812786665</v>
      </c>
      <c r="H1085" s="1883">
        <f>'Part VII-Pro Forma'!H70</f>
        <v>1.5211106378565293</v>
      </c>
      <c r="I1085" s="1883">
        <f>'Part VII-Pro Forma'!I70</f>
        <v>1.5063431071044302</v>
      </c>
      <c r="J1085" s="1883">
        <f>'Part VII-Pro Forma'!J70</f>
        <v>1.4917179430967165</v>
      </c>
      <c r="K1085" s="1883">
        <f>'Part VII-Pro Forma'!K70</f>
        <v>1.4772352161583504</v>
      </c>
      <c r="N1085" s="1838">
        <f>'Part VII-Pro Forma'!N70</f>
        <v>0</v>
      </c>
      <c r="O1085" s="1838"/>
    </row>
    <row r="1086" spans="1:15">
      <c r="A1086" s="742" t="s">
        <v>2616</v>
      </c>
      <c r="B1086" s="1881">
        <f>'Part VII-Pro Forma'!B71</f>
        <v>9033071.8594683446</v>
      </c>
      <c r="C1086" s="1881">
        <f>'Part VII-Pro Forma'!C71</f>
        <v>8874165.4697555304</v>
      </c>
      <c r="D1086" s="1881">
        <f>'Part VII-Pro Forma'!D71</f>
        <v>8708207.1566132288</v>
      </c>
      <c r="E1086" s="1881">
        <f>'Part VII-Pro Forma'!E71</f>
        <v>8534883.9708633404</v>
      </c>
      <c r="F1086" s="1881">
        <f>'Part VII-Pro Forma'!F71</f>
        <v>8353869.0753170615</v>
      </c>
      <c r="G1086" s="1881">
        <f>'Part VII-Pro Forma'!G71</f>
        <v>8164821.1284548743</v>
      </c>
      <c r="H1086" s="1881">
        <f>'Part VII-Pro Forma'!H71</f>
        <v>7967383.6407555742</v>
      </c>
      <c r="I1086" s="1881">
        <f>'Part VII-Pro Forma'!I71</f>
        <v>7761184.3024605745</v>
      </c>
      <c r="J1086" s="1881">
        <f>'Part VII-Pro Forma'!J71</f>
        <v>7545834.2815058324</v>
      </c>
      <c r="K1086" s="1881">
        <f>'Part VII-Pro Forma'!K71</f>
        <v>7320927.4902975103</v>
      </c>
      <c r="N1086" s="1838">
        <f>'Part VII-Pro Forma'!N71</f>
        <v>0</v>
      </c>
      <c r="O1086" s="1838"/>
    </row>
    <row r="1087" spans="1:15">
      <c r="A1087" s="742" t="s">
        <v>2617</v>
      </c>
      <c r="B1087" s="1881">
        <f>'Part VII-Pro Forma'!B72</f>
        <v>2232453.8745822241</v>
      </c>
      <c r="C1087" s="1881">
        <f>'Part VII-Pro Forma'!C72</f>
        <v>2254881.0188887119</v>
      </c>
      <c r="D1087" s="1881">
        <f>'Part VII-Pro Forma'!D72</f>
        <v>2277533.4654097138</v>
      </c>
      <c r="E1087" s="1881">
        <f>'Part VII-Pro Forma'!E72</f>
        <v>2300413.4775224645</v>
      </c>
      <c r="F1087" s="1881">
        <f>'Part VII-Pro Forma'!F72</f>
        <v>2323523.341341998</v>
      </c>
      <c r="G1087" s="1881">
        <f>'Part VII-Pro Forma'!G72</f>
        <v>2346865.3659495707</v>
      </c>
      <c r="H1087" s="1881">
        <f>'Part VII-Pro Forma'!H72</f>
        <v>2370441.8836233788</v>
      </c>
      <c r="I1087" s="1881">
        <f>'Part VII-Pro Forma'!I72</f>
        <v>2394255.250071594</v>
      </c>
      <c r="J1087" s="1881">
        <f>'Part VII-Pro Forma'!J72</f>
        <v>2418307.8446677402</v>
      </c>
      <c r="K1087" s="1881">
        <f>'Part VII-Pro Forma'!K72</f>
        <v>2442602.0706884344</v>
      </c>
      <c r="N1087" s="1838">
        <f>'Part VII-Pro Forma'!N72</f>
        <v>0</v>
      </c>
      <c r="O1087" s="1838"/>
    </row>
    <row r="1088" spans="1:15">
      <c r="A1088" s="742" t="s">
        <v>2618</v>
      </c>
      <c r="B1088" s="1881">
        <f>'Part VII-Pro Forma'!B73</f>
        <v>720000</v>
      </c>
      <c r="C1088" s="1881">
        <f>'Part VII-Pro Forma'!C73</f>
        <v>720000</v>
      </c>
      <c r="D1088" s="1881">
        <f>'Part VII-Pro Forma'!D73</f>
        <v>720000</v>
      </c>
      <c r="E1088" s="1881">
        <f>'Part VII-Pro Forma'!E73</f>
        <v>720000</v>
      </c>
      <c r="F1088" s="1881">
        <f>'Part VII-Pro Forma'!F73</f>
        <v>720000</v>
      </c>
      <c r="G1088" s="1881">
        <f>'Part VII-Pro Forma'!G73</f>
        <v>720000</v>
      </c>
      <c r="H1088" s="1881">
        <f>'Part VII-Pro Forma'!H73</f>
        <v>720000</v>
      </c>
      <c r="I1088" s="1881">
        <f>'Part VII-Pro Forma'!I73</f>
        <v>720000</v>
      </c>
      <c r="J1088" s="1881">
        <f>'Part VII-Pro Forma'!J73</f>
        <v>720000</v>
      </c>
      <c r="K1088" s="1881">
        <f>'Part VII-Pro Forma'!K73</f>
        <v>720000</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4084</v>
      </c>
      <c r="B1090" s="1881">
        <f>'Part VII-Pro Forma'!B75</f>
        <v>0</v>
      </c>
      <c r="C1090" s="1881">
        <f>'Part VII-Pro Forma'!C75</f>
        <v>0</v>
      </c>
      <c r="D1090" s="1881">
        <f>'Part VII-Pro Forma'!D75</f>
        <v>0</v>
      </c>
      <c r="E1090" s="1881">
        <f>'Part VII-Pro Forma'!E75</f>
        <v>0</v>
      </c>
      <c r="F1090" s="1881">
        <f>'Part VII-Pro Forma'!F75</f>
        <v>0</v>
      </c>
      <c r="G1090" s="1881">
        <f>'Part VII-Pro Forma'!G75</f>
        <v>0</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2479</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2622</v>
      </c>
      <c r="O1092" s="2111"/>
    </row>
    <row r="1093" spans="1:15">
      <c r="A1093" s="742" t="s">
        <v>2403</v>
      </c>
      <c r="B1093" s="1881">
        <f>'Part VII-Pro Forma'!B78</f>
        <v>2473300.0027101315</v>
      </c>
      <c r="C1093" s="1881">
        <f>'Part VII-Pro Forma'!C78</f>
        <v>2522766.002764334</v>
      </c>
      <c r="D1093" s="1881">
        <f>'Part VII-Pro Forma'!D78</f>
        <v>2573221.3228196208</v>
      </c>
      <c r="E1093" s="1881">
        <f>'Part VII-Pro Forma'!E78</f>
        <v>2624685.7492760126</v>
      </c>
      <c r="F1093" s="1881">
        <f>'Part VII-Pro Forma'!F78</f>
        <v>2677179.4642615332</v>
      </c>
      <c r="G1093" s="1881">
        <f>'Part VII-Pro Forma'!G78</f>
        <v>2730723.053546764</v>
      </c>
      <c r="H1093" s="1881">
        <f>'Part VII-Pro Forma'!H78</f>
        <v>2785337.5146176992</v>
      </c>
      <c r="I1093" s="1881">
        <f>'Part VII-Pro Forma'!I78</f>
        <v>2841044.264910053</v>
      </c>
      <c r="J1093" s="1881">
        <f>'Part VII-Pro Forma'!J78</f>
        <v>2897865.1502082543</v>
      </c>
      <c r="K1093" s="1881">
        <f>'Part VII-Pro Forma'!K78</f>
        <v>2955822.4532124191</v>
      </c>
      <c r="N1093" s="1838">
        <f>'Part VII-Pro Forma'!N78</f>
        <v>0</v>
      </c>
      <c r="O1093" s="1838"/>
    </row>
    <row r="1094" spans="1:15">
      <c r="A1094" s="742" t="s">
        <v>1016</v>
      </c>
      <c r="B1094" s="1881">
        <f>'Part VII-Pro Forma'!B79</f>
        <v>49466.000054202625</v>
      </c>
      <c r="C1094" s="1881">
        <f>'Part VII-Pro Forma'!C79</f>
        <v>50455.320055286677</v>
      </c>
      <c r="D1094" s="1881">
        <f>'Part VII-Pro Forma'!D79</f>
        <v>51464.426456392408</v>
      </c>
      <c r="E1094" s="1881">
        <f>'Part VII-Pro Forma'!E79</f>
        <v>52493.714985520252</v>
      </c>
      <c r="F1094" s="1881">
        <f>'Part VII-Pro Forma'!F79</f>
        <v>53543.589285230657</v>
      </c>
      <c r="G1094" s="1881">
        <f>'Part VII-Pro Forma'!G79</f>
        <v>54614.461070935271</v>
      </c>
      <c r="H1094" s="1881">
        <f>'Part VII-Pro Forma'!H79</f>
        <v>55706.75029235398</v>
      </c>
      <c r="I1094" s="1881">
        <f>'Part VII-Pro Forma'!I79</f>
        <v>56820.88529820105</v>
      </c>
      <c r="J1094" s="1881">
        <f>'Part VII-Pro Forma'!J79</f>
        <v>57957.303004165085</v>
      </c>
      <c r="K1094" s="1881">
        <f>'Part VII-Pro Forma'!K79</f>
        <v>59116.44906424838</v>
      </c>
      <c r="N1094" s="1838">
        <f>'Part VII-Pro Forma'!N79</f>
        <v>0</v>
      </c>
      <c r="O1094" s="1838"/>
    </row>
    <row r="1095" spans="1:15">
      <c r="A1095" s="742" t="s">
        <v>2404</v>
      </c>
      <c r="B1095" s="1881">
        <f>'Part VII-Pro Forma'!B80</f>
        <v>-176593.62019350339</v>
      </c>
      <c r="C1095" s="1881">
        <f>'Part VII-Pro Forma'!C80</f>
        <v>-180125.49259737346</v>
      </c>
      <c r="D1095" s="1881">
        <f>'Part VII-Pro Forma'!D80</f>
        <v>-183728.00244932095</v>
      </c>
      <c r="E1095" s="1881">
        <f>'Part VII-Pro Forma'!E80</f>
        <v>-187402.56249830732</v>
      </c>
      <c r="F1095" s="1881">
        <f>'Part VII-Pro Forma'!F80</f>
        <v>-191150.61374827349</v>
      </c>
      <c r="G1095" s="1881">
        <f>'Part VII-Pro Forma'!G80</f>
        <v>-194973.62602323896</v>
      </c>
      <c r="H1095" s="1881">
        <f>'Part VII-Pro Forma'!H80</f>
        <v>-198873.09854370373</v>
      </c>
      <c r="I1095" s="1881">
        <f>'Part VII-Pro Forma'!I80</f>
        <v>-202850.56051457778</v>
      </c>
      <c r="J1095" s="1881">
        <f>'Part VII-Pro Forma'!J80</f>
        <v>-206907.5717248694</v>
      </c>
      <c r="K1095" s="1881">
        <f>'Part VII-Pro Forma'!K80</f>
        <v>-211045.72315936672</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4939</v>
      </c>
      <c r="B1098" s="1881">
        <f>'Part VII-Pro Forma'!B83</f>
        <v>2346172.3825708306</v>
      </c>
      <c r="C1098" s="1881">
        <f>'Part VII-Pro Forma'!C83</f>
        <v>2393095.8302222472</v>
      </c>
      <c r="D1098" s="1881">
        <f>'Part VII-Pro Forma'!D83</f>
        <v>2440957.746826692</v>
      </c>
      <c r="E1098" s="1881">
        <f>'Part VII-Pro Forma'!E83</f>
        <v>2489776.9017632254</v>
      </c>
      <c r="F1098" s="1881">
        <f>'Part VII-Pro Forma'!F83</f>
        <v>2539572.4397984906</v>
      </c>
      <c r="G1098" s="1881">
        <f>'Part VII-Pro Forma'!G83</f>
        <v>2590363.8885944602</v>
      </c>
      <c r="H1098" s="1881">
        <f>'Part VII-Pro Forma'!H83</f>
        <v>2642171.1663663494</v>
      </c>
      <c r="I1098" s="1881">
        <f>'Part VII-Pro Forma'!I83</f>
        <v>2695014.5896936762</v>
      </c>
      <c r="J1098" s="1881">
        <f>'Part VII-Pro Forma'!J83</f>
        <v>2748914.8814875502</v>
      </c>
      <c r="K1098" s="1881">
        <f>'Part VII-Pro Forma'!K83</f>
        <v>2803893.1791173005</v>
      </c>
      <c r="N1098" s="1838">
        <f>'Part VII-Pro Forma'!N83</f>
        <v>0</v>
      </c>
      <c r="O1098" s="1838"/>
    </row>
    <row r="1099" spans="1:15">
      <c r="A1099" s="742" t="s">
        <v>614</v>
      </c>
      <c r="B1099" s="1881">
        <f>'Part VII-Pro Forma'!B84</f>
        <v>-1376679.3908470056</v>
      </c>
      <c r="C1099" s="1881">
        <f>'Part VII-Pro Forma'!C84</f>
        <v>-1417979.7725724154</v>
      </c>
      <c r="D1099" s="1881">
        <f>'Part VII-Pro Forma'!D84</f>
        <v>-1460519.165749588</v>
      </c>
      <c r="E1099" s="1881">
        <f>'Part VII-Pro Forma'!E84</f>
        <v>-1504334.7407220758</v>
      </c>
      <c r="F1099" s="1881">
        <f>'Part VII-Pro Forma'!F84</f>
        <v>-1549464.7829437379</v>
      </c>
      <c r="G1099" s="1881">
        <f>'Part VII-Pro Forma'!G84</f>
        <v>-1595948.7264320501</v>
      </c>
      <c r="H1099" s="1881">
        <f>'Part VII-Pro Forma'!H84</f>
        <v>-1643827.1882250118</v>
      </c>
      <c r="I1099" s="1881">
        <f>'Part VII-Pro Forma'!I84</f>
        <v>-1693142.003871762</v>
      </c>
      <c r="J1099" s="1881">
        <f>'Part VII-Pro Forma'!J84</f>
        <v>-1743936.2639879149</v>
      </c>
      <c r="K1099" s="1881">
        <f>'Part VII-Pro Forma'!K84</f>
        <v>-1796254.351907552</v>
      </c>
      <c r="N1099" s="1838">
        <f>'Part VII-Pro Forma'!N84</f>
        <v>0</v>
      </c>
      <c r="O1099" s="1838"/>
    </row>
    <row r="1100" spans="1:15">
      <c r="A1100" s="742" t="s">
        <v>1115</v>
      </c>
      <c r="B1100" s="1881">
        <f>'Part VII-Pro Forma'!B85</f>
        <v>-142583</v>
      </c>
      <c r="C1100" s="1881">
        <f>'Part VII-Pro Forma'!C85</f>
        <v>-146861</v>
      </c>
      <c r="D1100" s="1881">
        <f>'Part VII-Pro Forma'!D85</f>
        <v>-151267</v>
      </c>
      <c r="E1100" s="1881">
        <f>'Part VII-Pro Forma'!E85</f>
        <v>-155805</v>
      </c>
      <c r="F1100" s="1881">
        <f>'Part VII-Pro Forma'!F85</f>
        <v>-160479</v>
      </c>
      <c r="G1100" s="1881">
        <f>'Part VII-Pro Forma'!G85</f>
        <v>-165293</v>
      </c>
      <c r="H1100" s="1881">
        <f>'Part VII-Pro Forma'!H85</f>
        <v>-170252</v>
      </c>
      <c r="I1100" s="1881">
        <f>'Part VII-Pro Forma'!I85</f>
        <v>-175360</v>
      </c>
      <c r="J1100" s="1881">
        <f>'Part VII-Pro Forma'!J85</f>
        <v>-180620</v>
      </c>
      <c r="K1100" s="1881">
        <f>'Part VII-Pro Forma'!K85</f>
        <v>-186039</v>
      </c>
      <c r="N1100" s="1838">
        <f>'Part VII-Pro Forma'!N85</f>
        <v>0</v>
      </c>
      <c r="O1100" s="1838"/>
    </row>
    <row r="1101" spans="1:15">
      <c r="A1101" s="742" t="s">
        <v>1202</v>
      </c>
      <c r="B1101" s="1881">
        <f>'Part VII-Pro Forma'!B86</f>
        <v>-84526.005782528548</v>
      </c>
      <c r="C1101" s="1881">
        <f>'Part VII-Pro Forma'!C86</f>
        <v>-87061.785956004387</v>
      </c>
      <c r="D1101" s="1881">
        <f>'Part VII-Pro Forma'!D86</f>
        <v>-89673.639534684524</v>
      </c>
      <c r="E1101" s="1881">
        <f>'Part VII-Pro Forma'!E86</f>
        <v>-92363.848720725073</v>
      </c>
      <c r="F1101" s="1881">
        <f>'Part VII-Pro Forma'!F86</f>
        <v>-95134.7641823468</v>
      </c>
      <c r="G1101" s="1881">
        <f>'Part VII-Pro Forma'!G86</f>
        <v>-97988.807107817207</v>
      </c>
      <c r="H1101" s="1881">
        <f>'Part VII-Pro Forma'!H86</f>
        <v>-100928.47132105174</v>
      </c>
      <c r="I1101" s="1881">
        <f>'Part VII-Pro Forma'!I86</f>
        <v>-103956.32546068328</v>
      </c>
      <c r="J1101" s="1881">
        <f>'Part VII-Pro Forma'!J86</f>
        <v>-107075.01522450378</v>
      </c>
      <c r="K1101" s="1881">
        <f>'Part VII-Pro Forma'!K86</f>
        <v>-110287.26568123887</v>
      </c>
      <c r="N1101" s="1838">
        <f>'Part VII-Pro Forma'!N86</f>
        <v>0</v>
      </c>
      <c r="O1101" s="1838"/>
    </row>
    <row r="1102" spans="1:15">
      <c r="A1102" s="742" t="s">
        <v>4938</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742383.98594129644</v>
      </c>
      <c r="C1103" s="1881">
        <f t="shared" ref="C1103:J1103" si="368">SUM(C1098:C1102)</f>
        <v>741193.27169382735</v>
      </c>
      <c r="D1103" s="1881">
        <f t="shared" si="368"/>
        <v>739497.94154241949</v>
      </c>
      <c r="E1103" s="1881">
        <f t="shared" si="368"/>
        <v>737273.31232042459</v>
      </c>
      <c r="F1103" s="1881">
        <f t="shared" si="368"/>
        <v>734493.89267240593</v>
      </c>
      <c r="G1103" s="1881">
        <f t="shared" si="368"/>
        <v>731133.35505459295</v>
      </c>
      <c r="H1103" s="1881">
        <f t="shared" si="368"/>
        <v>727163.50682028593</v>
      </c>
      <c r="I1103" s="1881">
        <f t="shared" si="368"/>
        <v>722556.26036123093</v>
      </c>
      <c r="J1103" s="1881">
        <f t="shared" si="368"/>
        <v>717283.6022751315</v>
      </c>
      <c r="K1103" s="1881">
        <f>SUM(K1098:K1102)</f>
        <v>711312.56152850972</v>
      </c>
      <c r="N1103" s="1838">
        <f>'Part VII-Pro Forma'!N88</f>
        <v>0</v>
      </c>
      <c r="O1103" s="1838"/>
    </row>
    <row r="1104" spans="1:15">
      <c r="A1104" s="742" t="str">
        <f>$A1072</f>
        <v>Mortgage A</v>
      </c>
      <c r="B1104" s="1881">
        <f>IF('Part III-Sources of Funds'!$P$38="", 0,-'Part III-Sources of Funds'!$P$38)</f>
        <v>-548701.65721672866</v>
      </c>
      <c r="C1104" s="1881">
        <f>IF('Part III-Sources of Funds'!$P$38="", 0,-'Part III-Sources of Funds'!$P$38)</f>
        <v>-548701.65721672866</v>
      </c>
      <c r="D1104" s="1881">
        <f>IF('Part III-Sources of Funds'!$P$38="", 0,-'Part III-Sources of Funds'!$P$38)</f>
        <v>-548701.65721672866</v>
      </c>
      <c r="E1104" s="1881">
        <f>IF('Part III-Sources of Funds'!$P$38="", 0,-'Part III-Sources of Funds'!$P$38)</f>
        <v>-548701.65721672866</v>
      </c>
      <c r="F1104" s="1881">
        <f>IF('Part III-Sources of Funds'!$P$38="", 0,-'Part III-Sources of Funds'!$P$38)</f>
        <v>-548701.65721672866</v>
      </c>
      <c r="G1104" s="1881">
        <f>IF('Part III-Sources of Funds'!$P$38="", 0,-'Part III-Sources of Funds'!$P$38)</f>
        <v>-548701.65721672866</v>
      </c>
      <c r="H1104" s="1881">
        <f>IF('Part III-Sources of Funds'!$P$38="", 0,-'Part III-Sources of Funds'!$P$38)</f>
        <v>-548701.65721672866</v>
      </c>
      <c r="I1104" s="1881">
        <f>IF('Part III-Sources of Funds'!$P$38="", 0,-'Part III-Sources of Funds'!$P$38)</f>
        <v>-548701.65721672866</v>
      </c>
      <c r="J1104" s="1881">
        <f>IF('Part III-Sources of Funds'!$P$38="", 0,-'Part III-Sources of Funds'!$P$38)</f>
        <v>-548701.65721672866</v>
      </c>
      <c r="K1104" s="1881">
        <f>IF('Part III-Sources of Funds'!$P$38="", 0,-'Part III-Sources of Funds'!$P$38)</f>
        <v>-548701.65721672866</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-6523.865919146223</v>
      </c>
      <c r="C1109" s="1881">
        <f t="shared" ref="C1109:K1109" si="369">+B1109</f>
        <v>-6523.865919146223</v>
      </c>
      <c r="D1109" s="1881">
        <f t="shared" si="369"/>
        <v>-6523.865919146223</v>
      </c>
      <c r="E1109" s="1881">
        <f t="shared" si="369"/>
        <v>-6523.865919146223</v>
      </c>
      <c r="F1109" s="1881">
        <f t="shared" si="369"/>
        <v>-6523.865919146223</v>
      </c>
      <c r="G1109" s="1881">
        <f t="shared" si="369"/>
        <v>-6523.865919146223</v>
      </c>
      <c r="H1109" s="1881">
        <f t="shared" si="369"/>
        <v>-6523.865919146223</v>
      </c>
      <c r="I1109" s="1881">
        <f t="shared" si="369"/>
        <v>-6523.865919146223</v>
      </c>
      <c r="J1109" s="1881">
        <f t="shared" si="369"/>
        <v>-6523.865919146223</v>
      </c>
      <c r="K1109" s="1881">
        <f t="shared" si="369"/>
        <v>-6523.865919146223</v>
      </c>
      <c r="N1109" s="1838">
        <f>'Part VII-Pro Forma'!N94</f>
        <v>0</v>
      </c>
      <c r="O1109" s="1838"/>
    </row>
    <row r="1110" spans="1:15">
      <c r="A1110" s="742" t="s">
        <v>1164</v>
      </c>
      <c r="B1110" s="1881">
        <f>'Part VII-Pro Forma'!B95</f>
        <v>193682.32872456778</v>
      </c>
      <c r="C1110" s="1881">
        <f>'Part VII-Pro Forma'!C95</f>
        <v>192491.61447709869</v>
      </c>
      <c r="D1110" s="1881">
        <f>'Part VII-Pro Forma'!D95</f>
        <v>190796.28432569082</v>
      </c>
      <c r="E1110" s="1881">
        <f>'Part VII-Pro Forma'!E95</f>
        <v>188571.65510369593</v>
      </c>
      <c r="F1110" s="1881">
        <f>'Part VII-Pro Forma'!F95</f>
        <v>185792.23545567726</v>
      </c>
      <c r="G1110" s="1881">
        <f>'Part VII-Pro Forma'!G95</f>
        <v>182431.69783786428</v>
      </c>
      <c r="H1110" s="1881">
        <f>'Part VII-Pro Forma'!H95</f>
        <v>178461.84960355726</v>
      </c>
      <c r="I1110" s="1881">
        <f>'Part VII-Pro Forma'!I95</f>
        <v>173854.60314450227</v>
      </c>
      <c r="J1110" s="1881">
        <f>'Part VII-Pro Forma'!J95</f>
        <v>168581.94505840284</v>
      </c>
      <c r="K1110" s="1881">
        <f>'Part VII-Pro Forma'!K95</f>
        <v>162610.90431178105</v>
      </c>
      <c r="N1110" s="1838">
        <f>'Part VII-Pro Forma'!N95</f>
        <v>0</v>
      </c>
      <c r="O1110" s="1838"/>
    </row>
    <row r="1111" spans="1:15">
      <c r="A1111" s="742" t="str">
        <f>$A1080</f>
        <v>DCR Mortgage A</v>
      </c>
      <c r="B1111" s="1882">
        <f>'Part VII-Pro Forma'!B96</f>
        <v>1.3529829483421192</v>
      </c>
      <c r="C1111" s="1882">
        <f>'Part VII-Pro Forma'!C96</f>
        <v>1.3508128906581149</v>
      </c>
      <c r="D1111" s="1882">
        <f>'Part VII-Pro Forma'!D96</f>
        <v>1.3477231785548065</v>
      </c>
      <c r="E1111" s="1882">
        <f>'Part VII-Pro Forma'!E96</f>
        <v>1.343668827355506</v>
      </c>
      <c r="F1111" s="1882">
        <f>'Part VII-Pro Forma'!F96</f>
        <v>1.3386033794723755</v>
      </c>
      <c r="G1111" s="1882">
        <f>'Part VII-Pro Forma'!G96</f>
        <v>1.3324788533777046</v>
      </c>
      <c r="H1111" s="1882">
        <f>'Part VII-Pro Forma'!H96</f>
        <v>1.3252438684235057</v>
      </c>
      <c r="I1111" s="1882">
        <f>'Part VII-Pro Forma'!I96</f>
        <v>1.3168472353926797</v>
      </c>
      <c r="J1111" s="1882">
        <f>'Part VII-Pro Forma'!J96</f>
        <v>1.3072379003072987</v>
      </c>
      <c r="K1111" s="1882">
        <f>'Part VII-Pro Forma'!K96</f>
        <v>1.296355773985848</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3712</v>
      </c>
      <c r="B1115" s="1882">
        <f>'Part VII-Pro Forma'!B100</f>
        <v>1.3529829483421192</v>
      </c>
      <c r="C1115" s="1882">
        <f>'Part VII-Pro Forma'!C100</f>
        <v>1.3508128906581149</v>
      </c>
      <c r="D1115" s="1882">
        <f>'Part VII-Pro Forma'!D100</f>
        <v>1.3477231785548065</v>
      </c>
      <c r="E1115" s="1882">
        <f>'Part VII-Pro Forma'!E100</f>
        <v>1.343668827355506</v>
      </c>
      <c r="F1115" s="1882">
        <f>'Part VII-Pro Forma'!F100</f>
        <v>1.3386033794723755</v>
      </c>
      <c r="G1115" s="1882">
        <f>'Part VII-Pro Forma'!G100</f>
        <v>1.3324788533777046</v>
      </c>
      <c r="H1115" s="1882">
        <f>'Part VII-Pro Forma'!H100</f>
        <v>1.3252438684235057</v>
      </c>
      <c r="I1115" s="1882">
        <f>'Part VII-Pro Forma'!I100</f>
        <v>1.3168472353926797</v>
      </c>
      <c r="J1115" s="1882">
        <f>'Part VII-Pro Forma'!J100</f>
        <v>1.3072379003072987</v>
      </c>
      <c r="K1115" s="1882">
        <f>'Part VII-Pro Forma'!K100</f>
        <v>1.296355773985848</v>
      </c>
      <c r="N1115" s="1838">
        <f>'Part VII-Pro Forma'!N100</f>
        <v>0</v>
      </c>
      <c r="O1115" s="1838"/>
    </row>
    <row r="1116" spans="1:15">
      <c r="A1116" s="742" t="s">
        <v>770</v>
      </c>
      <c r="B1116" s="1883">
        <f>'Part VII-Pro Forma'!B101</f>
        <v>1.4628939749791585</v>
      </c>
      <c r="C1116" s="1883">
        <f>'Part VII-Pro Forma'!C101</f>
        <v>1.4486906735916141</v>
      </c>
      <c r="D1116" s="1883">
        <f>'Part VII-Pro Forma'!D101</f>
        <v>1.4346255722560941</v>
      </c>
      <c r="E1116" s="1883">
        <f>'Part VII-Pro Forma'!E101</f>
        <v>1.4206971767486287</v>
      </c>
      <c r="F1116" s="1883">
        <f>'Part VII-Pro Forma'!F101</f>
        <v>1.4069041171874841</v>
      </c>
      <c r="G1116" s="1883">
        <f>'Part VII-Pro Forma'!G101</f>
        <v>1.3932451311793796</v>
      </c>
      <c r="H1116" s="1883">
        <f>'Part VII-Pro Forma'!H101</f>
        <v>1.3797183281202405</v>
      </c>
      <c r="I1116" s="1883">
        <f>'Part VII-Pro Forma'!I101</f>
        <v>1.3663226997580078</v>
      </c>
      <c r="J1116" s="1883">
        <f>'Part VII-Pro Forma'!J101</f>
        <v>1.3530579636247742</v>
      </c>
      <c r="K1116" s="1883">
        <f>'Part VII-Pro Forma'!K101</f>
        <v>1.3399212224129893</v>
      </c>
      <c r="N1116" s="1838">
        <f>'Part VII-Pro Forma'!N101</f>
        <v>0</v>
      </c>
      <c r="O1116" s="1838"/>
    </row>
    <row r="1117" spans="1:15">
      <c r="A1117" s="742" t="s">
        <v>2616</v>
      </c>
      <c r="B1117" s="1881">
        <f>'Part VII-Pro Forma'!B102</f>
        <v>7086039.8199487142</v>
      </c>
      <c r="C1117" s="1881">
        <f>'Part VII-Pro Forma'!C102</f>
        <v>6840728.3405333115</v>
      </c>
      <c r="D1117" s="1881">
        <f>'Part VII-Pro Forma'!D102</f>
        <v>6584530.4658487318</v>
      </c>
      <c r="E1117" s="1881">
        <f>'Part VII-Pro Forma'!E102</f>
        <v>6316963.0811127434</v>
      </c>
      <c r="F1117" s="1881">
        <f>'Part VII-Pro Forma'!F102</f>
        <v>6037521.6319492869</v>
      </c>
      <c r="G1117" s="1881">
        <f>'Part VII-Pro Forma'!G102</f>
        <v>5745679.172945465</v>
      </c>
      <c r="H1117" s="1881">
        <f>'Part VII-Pro Forma'!H102</f>
        <v>5440885.3739855373</v>
      </c>
      <c r="I1117" s="1881">
        <f>'Part VII-Pro Forma'!I102</f>
        <v>5122565.4824881582</v>
      </c>
      <c r="J1117" s="1881">
        <f>'Part VII-Pro Forma'!J102</f>
        <v>4790119.2395899389</v>
      </c>
      <c r="K1117" s="1881">
        <f>'Part VII-Pro Forma'!K102</f>
        <v>4442919.7482315684</v>
      </c>
      <c r="N1117" s="1838">
        <f>'Part VII-Pro Forma'!N102</f>
        <v>0</v>
      </c>
      <c r="O1117" s="1838"/>
    </row>
    <row r="1118" spans="1:15">
      <c r="A1118" s="742" t="s">
        <v>2617</v>
      </c>
      <c r="B1118" s="1881">
        <f>'Part VII-Pro Forma'!B103</f>
        <v>2467140.3555535167</v>
      </c>
      <c r="C1118" s="1881">
        <f>'Part VII-Pro Forma'!C103</f>
        <v>2491925.151068592</v>
      </c>
      <c r="D1118" s="1881">
        <f>'Part VII-Pro Forma'!D103</f>
        <v>2516958.9336700086</v>
      </c>
      <c r="E1118" s="1881">
        <f>'Part VII-Pro Forma'!E103</f>
        <v>2542244.204672297</v>
      </c>
      <c r="F1118" s="1881">
        <f>'Part VII-Pro Forma'!F103</f>
        <v>2567783.4905180964</v>
      </c>
      <c r="G1118" s="1881">
        <f>'Part VII-Pro Forma'!G103</f>
        <v>2593579.3430305892</v>
      </c>
      <c r="H1118" s="1881">
        <f>'Part VII-Pro Forma'!H103</f>
        <v>2619634.3396684742</v>
      </c>
      <c r="I1118" s="1881">
        <f>'Part VII-Pro Forma'!I103</f>
        <v>2645951.083783499</v>
      </c>
      <c r="J1118" s="1881">
        <f>'Part VII-Pro Forma'!J103</f>
        <v>2672532.2048805812</v>
      </c>
      <c r="K1118" s="1881">
        <f>'Part VII-Pro Forma'!K103</f>
        <v>2699380.3588805422</v>
      </c>
      <c r="N1118" s="1838">
        <f>'Part VII-Pro Forma'!N103</f>
        <v>0</v>
      </c>
      <c r="O1118" s="1838"/>
    </row>
    <row r="1119" spans="1:15">
      <c r="A1119" s="742" t="s">
        <v>2618</v>
      </c>
      <c r="B1119" s="1881">
        <f>'Part VII-Pro Forma'!B104</f>
        <v>720000</v>
      </c>
      <c r="C1119" s="1881">
        <f>'Part VII-Pro Forma'!C104</f>
        <v>720000</v>
      </c>
      <c r="D1119" s="1881">
        <f>'Part VII-Pro Forma'!D104</f>
        <v>720000</v>
      </c>
      <c r="E1119" s="1881">
        <f>'Part VII-Pro Forma'!E104</f>
        <v>720000</v>
      </c>
      <c r="F1119" s="1881">
        <f>'Part VII-Pro Forma'!F104</f>
        <v>720000</v>
      </c>
      <c r="G1119" s="1881">
        <f>'Part VII-Pro Forma'!G104</f>
        <v>720000</v>
      </c>
      <c r="H1119" s="1881">
        <f>'Part VII-Pro Forma'!H104</f>
        <v>720000</v>
      </c>
      <c r="I1119" s="1881">
        <f>'Part VII-Pro Forma'!I104</f>
        <v>720000</v>
      </c>
      <c r="J1119" s="1881">
        <f>'Part VII-Pro Forma'!J104</f>
        <v>720000</v>
      </c>
      <c r="K1119" s="1881">
        <f>'Part VII-Pro Forma'!K104</f>
        <v>720000</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2479</v>
      </c>
      <c r="B1122" s="1881">
        <f>K1092+1</f>
        <v>31</v>
      </c>
      <c r="C1122" s="1881">
        <f>B1122+1</f>
        <v>32</v>
      </c>
      <c r="D1122" s="1881">
        <f>C1122+1</f>
        <v>33</v>
      </c>
      <c r="E1122" s="1881">
        <f>D1122+1</f>
        <v>34</v>
      </c>
      <c r="F1122" s="1881">
        <f>E1122+1</f>
        <v>35</v>
      </c>
      <c r="G1122" s="1881"/>
      <c r="H1122" s="1881"/>
      <c r="I1122" s="1881"/>
      <c r="J1122" s="1881"/>
      <c r="K1122" s="1881"/>
      <c r="N1122" s="2111" t="s">
        <v>3702</v>
      </c>
      <c r="O1122" s="2111"/>
    </row>
    <row r="1123" spans="1:15">
      <c r="A1123" s="742" t="s">
        <v>2403</v>
      </c>
      <c r="B1123" s="1881">
        <f>'Part VII-Pro Forma'!B108</f>
        <v>3014938.9022766678</v>
      </c>
      <c r="C1123" s="1881">
        <f>'Part VII-Pro Forma'!C108</f>
        <v>3075237.6803222005</v>
      </c>
      <c r="D1123" s="1881">
        <f>'Part VII-Pro Forma'!D108</f>
        <v>3136742.4339286452</v>
      </c>
      <c r="E1123" s="1881">
        <f>'Part VII-Pro Forma'!E108</f>
        <v>3199477.2826072183</v>
      </c>
      <c r="F1123" s="1881">
        <f>'Part VII-Pro Forma'!F108</f>
        <v>3263466.8282593624</v>
      </c>
      <c r="G1123" s="1881"/>
      <c r="H1123" s="1881"/>
      <c r="I1123" s="1881"/>
      <c r="J1123" s="1881"/>
      <c r="K1123" s="1881"/>
      <c r="N1123" s="1838">
        <f>'Part VII-Pro Forma'!N108</f>
        <v>0</v>
      </c>
      <c r="O1123" s="1838"/>
    </row>
    <row r="1124" spans="1:15">
      <c r="A1124" s="742" t="s">
        <v>1016</v>
      </c>
      <c r="B1124" s="1881">
        <f>'Part VII-Pro Forma'!B109</f>
        <v>60298.778045533349</v>
      </c>
      <c r="C1124" s="1881">
        <f>'Part VII-Pro Forma'!C109</f>
        <v>61504.753606443999</v>
      </c>
      <c r="D1124" s="1881">
        <f>'Part VII-Pro Forma'!D109</f>
        <v>62734.848678572896</v>
      </c>
      <c r="E1124" s="1881">
        <f>'Part VII-Pro Forma'!E109</f>
        <v>63989.545652144356</v>
      </c>
      <c r="F1124" s="1881">
        <f>'Part VII-Pro Forma'!F109</f>
        <v>65269.336565187237</v>
      </c>
      <c r="G1124" s="1881"/>
      <c r="H1124" s="1881"/>
      <c r="I1124" s="1881"/>
      <c r="J1124" s="1881"/>
      <c r="K1124" s="1881"/>
      <c r="N1124" s="1838">
        <f>'Part VII-Pro Forma'!N109</f>
        <v>0</v>
      </c>
      <c r="O1124" s="1838"/>
    </row>
    <row r="1125" spans="1:15">
      <c r="A1125" s="742" t="s">
        <v>2404</v>
      </c>
      <c r="B1125" s="1881">
        <f>'Part VII-Pro Forma'!B110</f>
        <v>-215266.63762255409</v>
      </c>
      <c r="C1125" s="1881">
        <f>'Part VII-Pro Forma'!C110</f>
        <v>-219571.97037500516</v>
      </c>
      <c r="D1125" s="1881">
        <f>'Part VII-Pro Forma'!D110</f>
        <v>-223963.4097825053</v>
      </c>
      <c r="E1125" s="1881">
        <f>'Part VII-Pro Forma'!E110</f>
        <v>-228442.67797815541</v>
      </c>
      <c r="F1125" s="1881">
        <f>'Part VII-Pro Forma'!F110</f>
        <v>-233011.53153771849</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4939</v>
      </c>
      <c r="B1128" s="1881">
        <f>'Part VII-Pro Forma'!B113</f>
        <v>2859971.0426996471</v>
      </c>
      <c r="C1128" s="1881">
        <f>'Part VII-Pro Forma'!C113</f>
        <v>2917170.4635536396</v>
      </c>
      <c r="D1128" s="1881">
        <f>'Part VII-Pro Forma'!D113</f>
        <v>2975513.8728247131</v>
      </c>
      <c r="E1128" s="1881">
        <f>'Part VII-Pro Forma'!E113</f>
        <v>3035024.1502812076</v>
      </c>
      <c r="F1128" s="1881">
        <f>'Part VII-Pro Forma'!F113</f>
        <v>3095724.633286831</v>
      </c>
      <c r="G1128" s="1881"/>
      <c r="H1128" s="1881"/>
      <c r="I1128" s="1881"/>
      <c r="J1128" s="1881"/>
      <c r="K1128" s="1881"/>
      <c r="N1128" s="1838">
        <f>'Part VII-Pro Forma'!N113</f>
        <v>0</v>
      </c>
      <c r="O1128" s="1838"/>
    </row>
    <row r="1129" spans="1:15">
      <c r="A1129" s="742" t="s">
        <v>614</v>
      </c>
      <c r="B1129" s="1881">
        <f>'Part VII-Pro Forma'!B114</f>
        <v>-1850141.9824647787</v>
      </c>
      <c r="C1129" s="1881">
        <f>'Part VII-Pro Forma'!C114</f>
        <v>-1905646.2419387223</v>
      </c>
      <c r="D1129" s="1881">
        <f>'Part VII-Pro Forma'!D114</f>
        <v>-1962815.6291968836</v>
      </c>
      <c r="E1129" s="1881">
        <f>'Part VII-Pro Forma'!E114</f>
        <v>-2021700.0980727901</v>
      </c>
      <c r="F1129" s="1881">
        <f>'Part VII-Pro Forma'!F114</f>
        <v>-2082351.1010149736</v>
      </c>
      <c r="G1129" s="1881"/>
      <c r="H1129" s="1881"/>
      <c r="I1129" s="1881"/>
      <c r="J1129" s="1881"/>
      <c r="K1129" s="1881"/>
      <c r="N1129" s="1838">
        <f>'Part VII-Pro Forma'!N114</f>
        <v>0</v>
      </c>
      <c r="O1129" s="1838"/>
    </row>
    <row r="1130" spans="1:15">
      <c r="A1130" s="742" t="s">
        <v>1115</v>
      </c>
      <c r="B1130" s="1881">
        <f>'Part VII-Pro Forma'!B115</f>
        <v>-191620</v>
      </c>
      <c r="C1130" s="1881">
        <f>'Part VII-Pro Forma'!C115</f>
        <v>-197369</v>
      </c>
      <c r="D1130" s="1881">
        <f>'Part VII-Pro Forma'!D115</f>
        <v>-203290</v>
      </c>
      <c r="E1130" s="1881">
        <f>'Part VII-Pro Forma'!E115</f>
        <v>-209389</v>
      </c>
      <c r="F1130" s="1881">
        <f>'Part VII-Pro Forma'!F115</f>
        <v>-215670</v>
      </c>
      <c r="G1130" s="1881"/>
      <c r="H1130" s="1881"/>
      <c r="I1130" s="1881"/>
      <c r="J1130" s="1881"/>
      <c r="K1130" s="1881"/>
      <c r="N1130" s="1838">
        <f>'Part VII-Pro Forma'!N115</f>
        <v>0</v>
      </c>
      <c r="O1130" s="1838"/>
    </row>
    <row r="1131" spans="1:15">
      <c r="A1131" s="742" t="s">
        <v>1202</v>
      </c>
      <c r="B1131" s="1881">
        <f>'Part VII-Pro Forma'!B116</f>
        <v>-113595.88365167605</v>
      </c>
      <c r="C1131" s="1881">
        <f>'Part VII-Pro Forma'!C116</f>
        <v>-117003.76016122635</v>
      </c>
      <c r="D1131" s="1881">
        <f>'Part VII-Pro Forma'!D116</f>
        <v>-120513.87296606311</v>
      </c>
      <c r="E1131" s="1881">
        <f>'Part VII-Pro Forma'!E116</f>
        <v>-124129.28915504501</v>
      </c>
      <c r="F1131" s="1881">
        <f>'Part VII-Pro Forma'!F116</f>
        <v>-127853.16782969634</v>
      </c>
      <c r="G1131" s="1881"/>
      <c r="H1131" s="1881"/>
      <c r="I1131" s="1881"/>
      <c r="J1131" s="1881"/>
      <c r="K1131" s="1881"/>
      <c r="N1131" s="1838">
        <f>'Part VII-Pro Forma'!N116</f>
        <v>0</v>
      </c>
      <c r="O1131" s="1838"/>
    </row>
    <row r="1132" spans="1:15">
      <c r="A1132" s="742" t="s">
        <v>4938</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 t="shared" ref="B1133:E1133" si="370">SUM(B1128:B1132)</f>
        <v>704613.17658319243</v>
      </c>
      <c r="C1133" s="1881">
        <f t="shared" si="370"/>
        <v>697151.46145369089</v>
      </c>
      <c r="D1133" s="1881">
        <f t="shared" si="370"/>
        <v>688894.37066176638</v>
      </c>
      <c r="E1133" s="1881">
        <f t="shared" si="370"/>
        <v>679805.7630533725</v>
      </c>
      <c r="F1133" s="1881">
        <f>SUM(F1128:F1132)</f>
        <v>669850.36444216105</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-548701.65721672866</v>
      </c>
      <c r="C1134" s="1881">
        <f>IF('Part III-Sources of Funds'!$P$38="", 0,-'Part III-Sources of Funds'!$P$38)</f>
        <v>-548701.65721672866</v>
      </c>
      <c r="D1134" s="1881">
        <f>IF('Part III-Sources of Funds'!$P$38="", 0,-'Part III-Sources of Funds'!$P$38)</f>
        <v>-548701.65721672866</v>
      </c>
      <c r="E1134" s="1881">
        <f>IF('Part III-Sources of Funds'!$P$38="", 0,-'Part III-Sources of Funds'!$P$38)</f>
        <v>-548701.65721672866</v>
      </c>
      <c r="F1134" s="1881">
        <f>IF('Part III-Sources of Funds'!$P$38="", 0,-'Part III-Sources of Funds'!$P$38)</f>
        <v>-548701.65721672866</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-6523.865919146223</v>
      </c>
      <c r="C1139" s="1881">
        <f>+B1139</f>
        <v>-6523.865919146223</v>
      </c>
      <c r="D1139" s="1881">
        <f>+C1139</f>
        <v>-6523.865919146223</v>
      </c>
      <c r="E1139" s="1881">
        <f>+D1139</f>
        <v>-6523.865919146223</v>
      </c>
      <c r="F1139" s="1881">
        <f>+E1139</f>
        <v>-6523.865919146223</v>
      </c>
      <c r="G1139" s="1881"/>
      <c r="H1139" s="1881"/>
      <c r="I1139" s="1881"/>
      <c r="J1139" s="1881"/>
      <c r="K1139" s="1881"/>
      <c r="N1139" s="1838">
        <f>'Part VII-Pro Forma'!N124</f>
        <v>0</v>
      </c>
      <c r="O1139" s="1838"/>
    </row>
    <row r="1140" spans="1:15">
      <c r="A1140" s="742" t="s">
        <v>1164</v>
      </c>
      <c r="B1140" s="1881">
        <f>'Part VII-Pro Forma'!B125</f>
        <v>155911.51936646376</v>
      </c>
      <c r="C1140" s="1881">
        <f>'Part VII-Pro Forma'!C125</f>
        <v>148449.80423696223</v>
      </c>
      <c r="D1140" s="1881">
        <f>'Part VII-Pro Forma'!D125</f>
        <v>140192.71344503772</v>
      </c>
      <c r="E1140" s="1881">
        <f>'Part VII-Pro Forma'!E125</f>
        <v>131104.10583664384</v>
      </c>
      <c r="F1140" s="1881">
        <f>'Part VII-Pro Forma'!F125</f>
        <v>121148.70722543239</v>
      </c>
      <c r="G1140" s="1881"/>
      <c r="H1140" s="1881"/>
      <c r="I1140" s="1881"/>
      <c r="J1140" s="1881"/>
      <c r="K1140" s="1881"/>
      <c r="N1140" s="1838">
        <f>'Part VII-Pro Forma'!N125</f>
        <v>0</v>
      </c>
      <c r="O1140" s="1838"/>
    </row>
    <row r="1141" spans="1:15">
      <c r="A1141" s="742" t="str">
        <f>$A1111</f>
        <v>DCR Mortgage A</v>
      </c>
      <c r="B1141" s="1882">
        <f>'Part VII-Pro Forma'!B126</f>
        <v>1.2841462520039029</v>
      </c>
      <c r="C1141" s="1882">
        <f>'Part VII-Pro Forma'!C126</f>
        <v>1.2705473954461319</v>
      </c>
      <c r="D1141" s="1882">
        <f>'Part VII-Pro Forma'!D126</f>
        <v>1.2554989794566336</v>
      </c>
      <c r="E1141" s="1882">
        <f>'Part VII-Pro Forma'!E126</f>
        <v>1.2389351373598272</v>
      </c>
      <c r="F1141" s="1882">
        <f>'Part VII-Pro Forma'!F126</f>
        <v>1.2207915825149049</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3712</v>
      </c>
      <c r="B1145" s="1882">
        <f>'Part VII-Pro Forma'!B130</f>
        <v>1.2841462520039029</v>
      </c>
      <c r="C1145" s="1882">
        <f>'Part VII-Pro Forma'!C130</f>
        <v>1.2705473954461319</v>
      </c>
      <c r="D1145" s="1882">
        <f>'Part VII-Pro Forma'!D130</f>
        <v>1.2554989794566336</v>
      </c>
      <c r="E1145" s="1882">
        <f>'Part VII-Pro Forma'!E130</f>
        <v>1.2389351373598272</v>
      </c>
      <c r="F1145" s="1882">
        <f>'Part VII-Pro Forma'!F130</f>
        <v>1.2207915825149049</v>
      </c>
      <c r="G1145" s="1881"/>
      <c r="H1145" s="1881"/>
      <c r="I1145" s="1881"/>
      <c r="J1145" s="1881"/>
      <c r="K1145" s="1881"/>
      <c r="N1145" s="1838">
        <f>'Part VII-Pro Forma'!N130</f>
        <v>0</v>
      </c>
      <c r="O1145" s="1838"/>
    </row>
    <row r="1146" spans="1:15">
      <c r="A1146" s="742" t="s">
        <v>770</v>
      </c>
      <c r="B1146" s="1883">
        <f>'Part VII-Pro Forma'!B131</f>
        <v>1.3269123831639018</v>
      </c>
      <c r="C1146" s="1883">
        <f>'Part VII-Pro Forma'!C131</f>
        <v>1.3140295019070762</v>
      </c>
      <c r="D1146" s="1883">
        <f>'Part VII-Pro Forma'!D131</f>
        <v>1.3012719737630729</v>
      </c>
      <c r="E1146" s="1883">
        <f>'Part VII-Pro Forma'!E131</f>
        <v>1.2886381011374173</v>
      </c>
      <c r="F1146" s="1883">
        <f>'Part VII-Pro Forma'!F131</f>
        <v>1.2761274040641764</v>
      </c>
      <c r="G1146" s="1881"/>
      <c r="H1146" s="1881"/>
      <c r="I1146" s="1881"/>
      <c r="J1146" s="1881"/>
      <c r="K1146" s="1881"/>
      <c r="N1146" s="1838">
        <f>'Part VII-Pro Forma'!N131</f>
        <v>0</v>
      </c>
      <c r="O1146" s="1838"/>
    </row>
    <row r="1147" spans="1:15">
      <c r="A1147" s="742" t="s">
        <v>2616</v>
      </c>
      <c r="B1147" s="1881">
        <f>'Part VII-Pro Forma'!B132</f>
        <v>4080312.2910120329</v>
      </c>
      <c r="C1147" s="1881">
        <f>'Part VII-Pro Forma'!C132</f>
        <v>3701613.0955817532</v>
      </c>
      <c r="D1147" s="1881">
        <f>'Part VII-Pro Forma'!D132</f>
        <v>3306108.0452465257</v>
      </c>
      <c r="E1147" s="1881">
        <f>'Part VII-Pro Forma'!E132</f>
        <v>2893051.3323508445</v>
      </c>
      <c r="F1147" s="1881">
        <f>'Part VII-Pro Forma'!F132</f>
        <v>2461664.0519012706</v>
      </c>
      <c r="G1147" s="1881"/>
      <c r="H1147" s="1881"/>
      <c r="I1147" s="1881"/>
      <c r="J1147" s="1881"/>
      <c r="K1147" s="1881"/>
      <c r="N1147" s="1838">
        <f>'Part VII-Pro Forma'!N132</f>
        <v>0</v>
      </c>
      <c r="O1147" s="1838"/>
    </row>
    <row r="1148" spans="1:15">
      <c r="A1148" s="742" t="s">
        <v>2617</v>
      </c>
      <c r="B1148" s="1881">
        <f>'Part VII-Pro Forma'!B133</f>
        <v>2726498.2283854797</v>
      </c>
      <c r="C1148" s="1881">
        <f>'Part VII-Pro Forma'!C133</f>
        <v>2753888.5229468071</v>
      </c>
      <c r="D1148" s="1881">
        <f>'Part VII-Pro Forma'!D133</f>
        <v>2781553.9793359861</v>
      </c>
      <c r="E1148" s="1881">
        <f>'Part VII-Pro Forma'!E133</f>
        <v>2809497.3618179769</v>
      </c>
      <c r="F1148" s="1881">
        <f>'Part VII-Pro Forma'!F133</f>
        <v>2837721.4624274373</v>
      </c>
      <c r="G1148" s="1881"/>
      <c r="H1148" s="1881"/>
      <c r="I1148" s="1881"/>
      <c r="J1148" s="1881"/>
      <c r="K1148" s="1881"/>
      <c r="N1148" s="1838">
        <f>'Part VII-Pro Forma'!N133</f>
        <v>0</v>
      </c>
      <c r="O1148" s="1838"/>
    </row>
    <row r="1149" spans="1:15">
      <c r="A1149" s="742" t="s">
        <v>2618</v>
      </c>
      <c r="B1149" s="1881">
        <f>'Part VII-Pro Forma'!B134</f>
        <v>720000</v>
      </c>
      <c r="C1149" s="1881">
        <f>'Part VII-Pro Forma'!C134</f>
        <v>720000</v>
      </c>
      <c r="D1149" s="1881">
        <f>'Part VII-Pro Forma'!D134</f>
        <v>720000</v>
      </c>
      <c r="E1149" s="1881">
        <f>'Part VII-Pro Forma'!E134</f>
        <v>720000</v>
      </c>
      <c r="F1149" s="1881">
        <f>'Part VII-Pro Forma'!F134</f>
        <v>720000</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7" t="s">
        <v>2692</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2019-5 55 Milton,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1842</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567</v>
      </c>
      <c r="J1164" s="1887" t="s">
        <v>4536</v>
      </c>
      <c r="K1164" s="1887"/>
      <c r="L1164" s="1887"/>
      <c r="M1164" s="1887"/>
      <c r="N1164" s="1887"/>
      <c r="O1164" s="1887"/>
      <c r="P1164" s="2781"/>
      <c r="Q1164" s="2781"/>
      <c r="R1164" s="2752"/>
      <c r="S1164" s="2752"/>
    </row>
    <row r="1165" spans="1:19">
      <c r="A1165" s="1889" t="s">
        <v>3450</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2030</v>
      </c>
      <c r="S1166" s="2727"/>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2017</v>
      </c>
      <c r="B1173" s="1890"/>
      <c r="C1173" s="1890"/>
      <c r="D1173" s="1890"/>
      <c r="E1173" s="1890"/>
      <c r="F1173" s="1890"/>
      <c r="G1173" s="1890"/>
      <c r="H1173" s="1890"/>
      <c r="I1173" s="1890"/>
      <c r="J1173" s="1890"/>
      <c r="K1173" s="1890"/>
      <c r="L1173" s="1890"/>
      <c r="M1173" s="1890"/>
      <c r="N1173" s="1890"/>
      <c r="O1173" s="1890"/>
      <c r="P1173" s="1890"/>
      <c r="Q1173" s="1890"/>
      <c r="R1173" s="2727" t="s">
        <v>2030</v>
      </c>
      <c r="S1173" s="2727"/>
    </row>
    <row r="1174" spans="1:19" ht="12.75" customHeight="1">
      <c r="A1174" s="1890" t="s">
        <v>2018</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2019</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2020</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2021</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2022</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2023</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2024</v>
      </c>
      <c r="B1180" s="1890"/>
      <c r="C1180" s="1890"/>
      <c r="D1180" s="1890"/>
      <c r="E1180" s="1890"/>
      <c r="F1180" s="1890"/>
      <c r="G1180" s="1890"/>
      <c r="H1180" s="1890"/>
      <c r="I1180" s="1890"/>
      <c r="J1180" s="1890"/>
      <c r="K1180" s="1890"/>
      <c r="L1180" s="1890"/>
      <c r="M1180" s="1890"/>
      <c r="N1180" s="1890"/>
      <c r="O1180" s="1890"/>
      <c r="P1180" s="1890"/>
      <c r="Q1180" s="1890"/>
      <c r="R1180" s="2727" t="s">
        <v>2030</v>
      </c>
      <c r="S1180" s="2727"/>
    </row>
    <row r="1181" spans="1:19" ht="12.75" customHeight="1">
      <c r="A1181" s="1890" t="s">
        <v>2025</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2026</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2027</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2028</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2029</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616</v>
      </c>
      <c r="B1187" s="1913" t="s">
        <v>2650</v>
      </c>
      <c r="C1187" s="1921"/>
      <c r="D1187" s="521"/>
      <c r="E1187" s="521"/>
      <c r="F1187" s="521"/>
      <c r="G1187" s="521"/>
      <c r="I1187" s="1895"/>
      <c r="J1187" s="1895"/>
      <c r="K1187" s="1895"/>
      <c r="L1187" s="1633"/>
      <c r="M1187" s="1633"/>
      <c r="O1187" s="2784" t="s">
        <v>1866</v>
      </c>
      <c r="P1187" s="1634"/>
      <c r="Q1187" s="1634"/>
    </row>
    <row r="1189" spans="1:22" ht="20.25">
      <c r="B1189" s="1866" t="s">
        <v>3753</v>
      </c>
      <c r="C1189" s="1866"/>
      <c r="D1189" s="1866"/>
      <c r="E1189" s="1866"/>
      <c r="F1189" s="1866"/>
      <c r="G1189" s="1895"/>
      <c r="H1189" s="1895"/>
      <c r="I1189" s="1895"/>
      <c r="J1189" s="1895"/>
      <c r="K1189" s="1633"/>
      <c r="L1189" s="1633"/>
      <c r="M1189" s="1633"/>
      <c r="N1189" s="1633"/>
      <c r="O1189" s="1633"/>
      <c r="P1189" s="1633"/>
      <c r="S1189" s="2785"/>
      <c r="T1189" s="2785"/>
    </row>
    <row r="1190" spans="1:22" ht="303.75">
      <c r="A1190" s="1900" t="str">
        <f>'Part VIII-Threshold Criteria'!A32</f>
        <v>Construction cost estimate is based off of our historical cost to deliver similar projects that are currently under construction.
Local government fees were confirmed by the local government and our construction management team.</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c r="B1191" s="1897" t="s">
        <v>1865</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2710</v>
      </c>
      <c r="C1194" s="1631"/>
      <c r="D1194" s="1631"/>
      <c r="E1194" s="1899"/>
      <c r="G1194" s="1634"/>
      <c r="H1194" s="1634"/>
      <c r="I1194" s="1634"/>
      <c r="J1194" s="1631"/>
      <c r="L1194" s="2776"/>
      <c r="M1194" s="2776"/>
      <c r="N1194" s="2776"/>
      <c r="O1194" s="2784" t="s">
        <v>1866</v>
      </c>
      <c r="P1194" s="1634"/>
      <c r="Q1194" s="1634"/>
    </row>
    <row r="1195" spans="1:22">
      <c r="A1195" s="1902"/>
      <c r="B1195" s="1902"/>
      <c r="C1195" s="1902"/>
      <c r="D1195" s="1902"/>
      <c r="E1195" s="1902"/>
      <c r="F1195" s="1902"/>
      <c r="G1195" s="1652" t="s">
        <v>2714</v>
      </c>
      <c r="H1195" s="1652"/>
      <c r="I1195" s="521"/>
      <c r="J1195" s="1631"/>
      <c r="K1195" s="521" t="s">
        <v>3634</v>
      </c>
      <c r="L1195" s="521"/>
      <c r="M1195" s="521"/>
      <c r="N1195" s="521"/>
    </row>
    <row r="1196" spans="1:22" ht="13.5">
      <c r="A1196" s="1902"/>
      <c r="B1196" s="1902"/>
      <c r="C1196" s="1902"/>
      <c r="D1196" s="1902"/>
      <c r="E1196" s="1902"/>
      <c r="F1196" s="1902"/>
      <c r="G1196" s="1652" t="s">
        <v>346</v>
      </c>
      <c r="H1196" s="1652"/>
      <c r="I1196" s="521"/>
      <c r="J1196" s="1631"/>
      <c r="K1196" s="521" t="s">
        <v>3635</v>
      </c>
      <c r="L1196" s="521"/>
      <c r="M1196" s="521"/>
      <c r="N1196" s="521"/>
      <c r="P1196" s="1753" t="s">
        <v>2734</v>
      </c>
      <c r="Q1196" s="1895">
        <f>'Part VIII-Threshold Criteria'!Q38</f>
        <v>0</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2713</v>
      </c>
      <c r="F1198" s="1904" t="s">
        <v>3452</v>
      </c>
      <c r="G1198" s="1904" t="s">
        <v>5040</v>
      </c>
      <c r="H1198" s="1904"/>
      <c r="I1198" s="1904"/>
      <c r="K1198" s="1904" t="s">
        <v>3452</v>
      </c>
      <c r="L1198" s="1904" t="s">
        <v>5039</v>
      </c>
      <c r="M1198" s="1904"/>
      <c r="N1198" s="1904"/>
      <c r="R1198" s="1632"/>
      <c r="V1198" s="1631"/>
    </row>
    <row r="1199" spans="1:22" ht="12.75" customHeight="1">
      <c r="A1199" s="1890" t="s">
        <v>3357</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3890</v>
      </c>
      <c r="Q1199" s="1810"/>
      <c r="R1199" s="1632"/>
      <c r="V1199" s="1631"/>
    </row>
    <row r="1200" spans="1:22" ht="12.75" customHeight="1">
      <c r="A1200" s="1890"/>
      <c r="B1200" s="1890"/>
      <c r="C1200" s="1890"/>
      <c r="D1200" s="1906" t="s">
        <v>2439</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Atlanta</v>
      </c>
      <c r="Q1200" s="2752"/>
      <c r="R1200" s="1632"/>
    </row>
    <row r="1201" spans="1:22">
      <c r="A1201" s="1890"/>
      <c r="B1201" s="1890"/>
      <c r="C1201" s="1890"/>
      <c r="D1201" s="1906" t="s">
        <v>2440</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c r="A1202" s="1890"/>
      <c r="B1202" s="1890"/>
      <c r="C1202" s="1890"/>
      <c r="D1202" s="1906" t="s">
        <v>2441</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5038</v>
      </c>
      <c r="Q1202" s="1867"/>
    </row>
    <row r="1203" spans="1:22">
      <c r="C1203" s="1631"/>
      <c r="D1203" s="1906" t="s">
        <v>2442</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32698126.5</v>
      </c>
      <c r="Q1203" s="2787"/>
    </row>
    <row r="1204" spans="1:22">
      <c r="C1204" s="1631"/>
      <c r="D1204" s="1912" t="s">
        <v>3367</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3352</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5159</v>
      </c>
      <c r="T1206" s="2019"/>
      <c r="U1206" s="2019"/>
      <c r="V1206" s="2019"/>
    </row>
    <row r="1207" spans="1:22" ht="12.75" customHeight="1">
      <c r="A1207" s="1890"/>
      <c r="B1207" s="1890"/>
      <c r="C1207" s="1890"/>
      <c r="D1207" s="1906" t="s">
        <v>2439</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4087</v>
      </c>
      <c r="Q1207" s="1785"/>
      <c r="S1207" s="2019"/>
      <c r="T1207" s="2019"/>
      <c r="U1207" s="2019"/>
      <c r="V1207" s="2019"/>
    </row>
    <row r="1208" spans="1:22" ht="12.75" customHeight="1">
      <c r="A1208" s="1890"/>
      <c r="B1208" s="1890"/>
      <c r="C1208" s="1890"/>
      <c r="D1208" s="1906" t="s">
        <v>2440</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c r="C1209" s="1631"/>
      <c r="D1209" s="1906" t="s">
        <v>2441</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c r="C1210" s="1631"/>
      <c r="D1210" s="1906" t="s">
        <v>2442</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3629</v>
      </c>
      <c r="Q1210" s="521"/>
      <c r="S1210" s="2019"/>
      <c r="T1210" s="2019"/>
      <c r="U1210" s="2019"/>
      <c r="V1210" s="2019"/>
    </row>
    <row r="1211" spans="1:22" ht="12.75" customHeight="1">
      <c r="C1211" s="1631"/>
      <c r="D1211" s="1912" t="s">
        <v>3367</v>
      </c>
      <c r="E1211" s="1913"/>
      <c r="F1211" s="1914">
        <f>SUM(F1206:F1210)</f>
        <v>0</v>
      </c>
      <c r="G1211" s="2788"/>
      <c r="H1211" s="1916"/>
      <c r="I1211" s="1917">
        <f>SUM(I1206:I1210)</f>
        <v>0</v>
      </c>
      <c r="J1211" s="1918"/>
      <c r="K1211" s="1914">
        <f>SUM(K1206:K1210)</f>
        <v>0</v>
      </c>
      <c r="L1211" s="1918"/>
      <c r="M1211" s="1916"/>
      <c r="N1211" s="1917">
        <f>SUM(N1206:N1210)</f>
        <v>0</v>
      </c>
      <c r="O1211" s="1923"/>
      <c r="P1211" s="1821" t="s">
        <v>3245</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3353</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2439</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3630</v>
      </c>
      <c r="Q1214" s="521"/>
      <c r="S1214" s="2019"/>
      <c r="T1214" s="2019"/>
      <c r="U1214" s="2019"/>
      <c r="V1214" s="2019"/>
    </row>
    <row r="1215" spans="1:22" ht="12.75" customHeight="1">
      <c r="C1215" s="1631"/>
      <c r="D1215" s="1906" t="s">
        <v>2440</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3245</v>
      </c>
      <c r="Q1215" s="1821" t="s">
        <v>256</v>
      </c>
      <c r="S1215" s="2019"/>
      <c r="T1215" s="2019"/>
      <c r="U1215" s="2019"/>
      <c r="V1215" s="2019"/>
    </row>
    <row r="1216" spans="1:22" ht="13.5" customHeight="1">
      <c r="C1216" s="1631"/>
      <c r="D1216" s="1906" t="s">
        <v>2441</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2442</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2769</v>
      </c>
      <c r="Q1217" s="2790"/>
      <c r="V1217" s="1631"/>
    </row>
    <row r="1218" spans="1:22" ht="12.75" customHeight="1">
      <c r="C1218" s="1631"/>
      <c r="D1218" s="1912" t="s">
        <v>3367</v>
      </c>
      <c r="E1218" s="1913"/>
      <c r="F1218" s="1914">
        <f>SUM(F1213:F1217)</f>
        <v>0</v>
      </c>
      <c r="G1218" s="2788"/>
      <c r="H1218" s="1916"/>
      <c r="I1218" s="1917">
        <f>SUM(I1213:I1217)</f>
        <v>0</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3354</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2439</v>
      </c>
      <c r="E1221" s="1895">
        <v>1</v>
      </c>
      <c r="F1221" s="1907">
        <f>IF('Part VI-Revenues &amp; Expenses'!$K$141 =0,"",'Part VI-Revenues &amp; Expenses'!$K$141)</f>
        <v>61</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61 units = </v>
      </c>
      <c r="I1221" s="1909" t="e">
        <f>IF(F1221="","",F1221*G1221)</f>
        <v>#N/A</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31486324</v>
      </c>
      <c r="Q1221" s="2791"/>
      <c r="R1221" s="1631"/>
      <c r="S1221" s="1631"/>
      <c r="V1221" s="1631"/>
    </row>
    <row r="1222" spans="1:22" ht="12.75" customHeight="1">
      <c r="C1222" s="1631"/>
      <c r="D1222" s="1906" t="s">
        <v>2440</v>
      </c>
      <c r="E1222" s="1895">
        <v>2</v>
      </c>
      <c r="F1222" s="1907">
        <f>IF('Part VI-Revenues &amp; Expenses'!$L$141 =0,"",'Part VI-Revenues &amp; Expenses'!$L$141)</f>
        <v>68</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68 units = </v>
      </c>
      <c r="I1222" s="1909" t="e">
        <f t="shared" ref="I1222:I1224" si="377">IF(F1222="","",F1222*G1222)</f>
        <v>#N/A</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c r="C1223" s="1631"/>
      <c r="D1223" s="1906" t="s">
        <v>2441</v>
      </c>
      <c r="E1223" s="1895">
        <v>3</v>
      </c>
      <c r="F1223" s="1907">
        <f>IF('Part VI-Revenues &amp; Expenses'!$M$141 =0,"",'Part VI-Revenues &amp; Expenses'!$M$141)</f>
        <v>27</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27 units = </v>
      </c>
      <c r="I1223" s="1909" t="e">
        <f t="shared" si="377"/>
        <v>#N/A</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4538</v>
      </c>
      <c r="Q1223" s="1902"/>
      <c r="R1223" s="1632"/>
      <c r="V1223" s="1631"/>
    </row>
    <row r="1224" spans="1:22">
      <c r="C1224" s="1631"/>
      <c r="D1224" s="1906" t="s">
        <v>2442</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3367</v>
      </c>
      <c r="E1225" s="1913"/>
      <c r="F1225" s="1914">
        <f>SUM(F1220:F1224)</f>
        <v>156</v>
      </c>
      <c r="G1225" s="2788"/>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ht="13.5">
      <c r="A1227" s="1841" t="s">
        <v>3368</v>
      </c>
      <c r="B1227" s="1631"/>
      <c r="C1227" s="1631"/>
      <c r="D1227" s="1631"/>
      <c r="E1227" s="1634"/>
      <c r="F1227" s="2792">
        <f>F1204+F1211+F1218+F1225</f>
        <v>156</v>
      </c>
      <c r="G1227" s="1710"/>
      <c r="H1227" s="1723" t="e">
        <f>I1204+I1211+I1218+I1225</f>
        <v>#N/A</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3753</v>
      </c>
      <c r="D1228" s="1842"/>
      <c r="E1228" s="1842"/>
      <c r="F1228" s="1842"/>
      <c r="G1228" s="1842"/>
      <c r="H1228" s="1841"/>
      <c r="I1228" s="1895"/>
      <c r="J1228" s="1895"/>
      <c r="K1228" s="1897" t="s">
        <v>1865</v>
      </c>
      <c r="L1228" s="1633"/>
      <c r="M1228" s="1633"/>
      <c r="N1228" s="1633"/>
      <c r="O1228" s="1633"/>
      <c r="P1228" s="1902"/>
      <c r="Q1228" s="1902"/>
    </row>
    <row r="1229" spans="1:22" ht="281.25">
      <c r="A1229" s="1900" t="str">
        <f>'Part VIII-Threshold Criteria'!A71</f>
        <v>The 2019 HUD Cost Limit for this development is $32,700,940. DCA has previously analyzed the cost limits for developments based on the most recent HUD published cost limit. The development cost of $32,698,126 is below the 2019 HUD Cost Limit.</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Family</v>
      </c>
      <c r="K1231" s="521"/>
      <c r="L1231" s="521"/>
      <c r="O1231" s="2784" t="s">
        <v>1866</v>
      </c>
      <c r="P1231" s="1634"/>
      <c r="Q1231" s="1634"/>
    </row>
    <row r="1232" spans="1:22">
      <c r="B1232" s="1842" t="s">
        <v>3753</v>
      </c>
      <c r="D1232" s="1842"/>
      <c r="E1232" s="1842"/>
      <c r="F1232" s="1842"/>
      <c r="G1232" s="1842"/>
      <c r="H1232" s="1841"/>
      <c r="I1232" s="1895"/>
      <c r="J1232" s="1895"/>
      <c r="K1232" s="1897" t="s">
        <v>1865</v>
      </c>
      <c r="L1232" s="1633"/>
      <c r="M1232" s="1633"/>
      <c r="N1232" s="1633"/>
      <c r="O1232" s="1633"/>
      <c r="P1232" s="1633"/>
      <c r="Q1232" s="1633"/>
    </row>
    <row r="1233" spans="1:22" ht="56.25">
      <c r="A1233" s="1900" t="str">
        <f>'Part VIII-Threshold Criteria'!A75</f>
        <v>This development is a family development.</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2651</v>
      </c>
      <c r="C1235" s="1841"/>
      <c r="D1235" s="1899"/>
      <c r="E1235" s="1899"/>
      <c r="F1235" s="1899"/>
      <c r="G1235" s="1899"/>
      <c r="H1235" s="1899"/>
      <c r="I1235" s="1899"/>
      <c r="J1235" s="1899"/>
      <c r="L1235" s="2794" t="s">
        <v>4751</v>
      </c>
      <c r="M1235" s="2795" t="s">
        <v>4752</v>
      </c>
      <c r="O1235" s="2784" t="s">
        <v>1866</v>
      </c>
      <c r="P1235" s="1634"/>
      <c r="Q1235" s="1634"/>
    </row>
    <row r="1237" spans="1:22" ht="12.75" customHeight="1">
      <c r="A1237" s="1944" t="s">
        <v>1982</v>
      </c>
      <c r="B1237" s="1900" t="s">
        <v>4743</v>
      </c>
      <c r="C1237" s="1900"/>
      <c r="D1237" s="1900"/>
      <c r="E1237" s="1900"/>
      <c r="F1237" s="1900"/>
      <c r="G1237" s="1900"/>
      <c r="H1237" s="1900"/>
      <c r="I1237" s="1900"/>
      <c r="J1237" s="1900"/>
      <c r="L1237" s="1948" t="s">
        <v>2910</v>
      </c>
      <c r="M1237" s="1943">
        <v>2</v>
      </c>
      <c r="N1237" s="1921" t="s">
        <v>3696</v>
      </c>
      <c r="P1237" s="521" t="str">
        <f>'Part VIII-Threshold Criteria'!P79</f>
        <v>Agree</v>
      </c>
      <c r="Q1237" s="521"/>
    </row>
    <row r="1238" spans="1:22">
      <c r="A1238" s="1944"/>
      <c r="B1238" s="1900"/>
      <c r="C1238" s="1900"/>
      <c r="D1238" s="1900"/>
      <c r="E1238" s="1900"/>
      <c r="F1238" s="1900"/>
      <c r="G1238" s="1900"/>
      <c r="H1238" s="1900"/>
      <c r="I1238" s="1900"/>
      <c r="J1238" s="1900"/>
      <c r="L1238" s="1948" t="s">
        <v>4750</v>
      </c>
      <c r="M1238" s="1948">
        <v>4</v>
      </c>
      <c r="O1238" s="1900"/>
      <c r="P1238" s="521"/>
      <c r="Q1238" s="521"/>
    </row>
    <row r="1239" spans="1:22">
      <c r="A1239" s="1937" t="s">
        <v>1984</v>
      </c>
      <c r="B1239" s="1921" t="s">
        <v>4753</v>
      </c>
      <c r="C1239" s="1921"/>
      <c r="D1239" s="1921"/>
      <c r="E1239" s="1921"/>
      <c r="F1239" s="1921"/>
      <c r="G1239" s="1921"/>
      <c r="H1239" s="1921"/>
      <c r="I1239" s="1921"/>
      <c r="J1239" s="1921"/>
      <c r="K1239" s="1900"/>
      <c r="L1239" s="1921"/>
      <c r="N1239" s="2796"/>
      <c r="O1239" s="2796"/>
      <c r="P1239" s="2796"/>
    </row>
    <row r="1240" spans="1:22">
      <c r="A1240" s="1937"/>
      <c r="B1240" s="1952" t="s">
        <v>1737</v>
      </c>
      <c r="C1240" s="1921" t="s">
        <v>4757</v>
      </c>
      <c r="D1240" s="1921"/>
      <c r="E1240" s="1921"/>
      <c r="F1240" s="1921"/>
      <c r="G1240" s="1921"/>
      <c r="H1240" s="1921"/>
      <c r="I1240" s="1921"/>
      <c r="J1240" s="1921"/>
      <c r="K1240" s="1900"/>
      <c r="L1240" s="1921"/>
      <c r="N1240" s="1921" t="s">
        <v>3696</v>
      </c>
      <c r="O1240" s="2796"/>
      <c r="P1240" s="1895" t="str">
        <f>'Part VIII-Threshold Criteria'!P82</f>
        <v>Agree</v>
      </c>
      <c r="Q1240" s="1895"/>
    </row>
    <row r="1241" spans="1:22">
      <c r="A1241" s="1937"/>
      <c r="B1241" s="1952" t="s">
        <v>1738</v>
      </c>
      <c r="C1241" s="1921" t="s">
        <v>4754</v>
      </c>
      <c r="D1241" s="1921"/>
      <c r="E1241" s="1921"/>
      <c r="F1241" s="1921"/>
      <c r="G1241" s="1921"/>
      <c r="H1241" s="1921"/>
      <c r="I1241" s="1921"/>
      <c r="J1241" s="1921"/>
      <c r="K1241" s="1900"/>
      <c r="L1241" s="1921"/>
      <c r="N1241" s="1921" t="s">
        <v>3696</v>
      </c>
      <c r="O1241" s="2796"/>
      <c r="P1241" s="1895" t="str">
        <f>'Part VIII-Threshold Criteria'!P83</f>
        <v>Agree</v>
      </c>
      <c r="Q1241" s="1895"/>
    </row>
    <row r="1242" spans="1:22">
      <c r="A1242" s="1944"/>
      <c r="B1242" s="1952" t="s">
        <v>1739</v>
      </c>
      <c r="C1242" s="1921" t="s">
        <v>4755</v>
      </c>
      <c r="E1242" s="1921"/>
      <c r="F1242" s="1921"/>
      <c r="G1242" s="1921"/>
      <c r="H1242" s="1921"/>
      <c r="I1242" s="1921"/>
      <c r="J1242" s="1921"/>
      <c r="K1242" s="1900"/>
      <c r="L1242" s="1921"/>
      <c r="M1242" s="2796"/>
      <c r="N1242" s="1921" t="s">
        <v>3696</v>
      </c>
      <c r="O1242" s="2796"/>
      <c r="P1242" s="1895" t="str">
        <f>'Part VIII-Threshold Criteria'!P84</f>
        <v>Agree</v>
      </c>
      <c r="Q1242" s="1895"/>
    </row>
    <row r="1243" spans="1:22">
      <c r="A1243" s="2079"/>
      <c r="B1243" s="1952" t="s">
        <v>2364</v>
      </c>
      <c r="C1243" s="1952" t="s">
        <v>4758</v>
      </c>
      <c r="D1243" s="1867"/>
      <c r="E1243" s="1867"/>
      <c r="F1243" s="1867"/>
      <c r="G1243" s="1867"/>
      <c r="H1243" s="1867"/>
      <c r="I1243" s="1631"/>
      <c r="J1243" s="1631"/>
      <c r="N1243" s="1921" t="s">
        <v>3696</v>
      </c>
      <c r="O1243" s="2796"/>
      <c r="P1243" s="1895">
        <f>'Part VIII-Threshold Criteria'!P85</f>
        <v>0</v>
      </c>
      <c r="Q1243" s="1895"/>
    </row>
    <row r="1244" spans="1:22">
      <c r="A1244" s="2079"/>
      <c r="B1244" s="1952"/>
      <c r="C1244" s="1921" t="s">
        <v>4759</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4756</v>
      </c>
      <c r="D1245" s="1900"/>
      <c r="E1245" s="1900"/>
      <c r="F1245" s="1900"/>
      <c r="G1245" s="1900"/>
      <c r="H1245" s="1900"/>
      <c r="I1245" s="1900"/>
      <c r="J1245" s="1900"/>
      <c r="K1245" s="1900"/>
      <c r="L1245" s="1900"/>
      <c r="M1245" s="1904"/>
      <c r="N1245" s="1921" t="s">
        <v>3696</v>
      </c>
      <c r="O1245" s="2796"/>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3753</v>
      </c>
      <c r="D1247" s="1842"/>
      <c r="E1247" s="1842"/>
      <c r="F1247" s="1842"/>
      <c r="G1247" s="1842"/>
      <c r="H1247" s="1841"/>
      <c r="I1247" s="1895"/>
      <c r="J1247" s="1895"/>
      <c r="K1247" s="1897" t="s">
        <v>1865</v>
      </c>
      <c r="L1247" s="1633"/>
      <c r="M1247" s="1633"/>
      <c r="N1247" s="1633"/>
      <c r="O1247" s="1633"/>
      <c r="P1247" s="1633"/>
      <c r="Q1247" s="1633"/>
    </row>
    <row r="1248" spans="1:22" ht="146.25">
      <c r="A1248" s="1900" t="str">
        <f>'Part VIII-Threshold Criteria'!A90</f>
        <v>Elmington Property Management will identify the needs of the community and provide social and recreational programming.</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2652</v>
      </c>
      <c r="C1250" s="1947"/>
      <c r="D1250" s="1899"/>
      <c r="E1250" s="1899"/>
      <c r="F1250" s="1899"/>
      <c r="G1250" s="1899"/>
      <c r="H1250" s="1899"/>
      <c r="I1250" s="1899"/>
      <c r="J1250" s="1899"/>
      <c r="K1250" s="1899"/>
      <c r="O1250" s="2784" t="s">
        <v>1866</v>
      </c>
      <c r="P1250" s="1634"/>
      <c r="Q1250" s="1634"/>
    </row>
    <row r="1252" spans="1:22">
      <c r="A1252" s="1937" t="s">
        <v>1982</v>
      </c>
      <c r="B1252" s="1216" t="s">
        <v>2459</v>
      </c>
      <c r="D1252" s="1867"/>
      <c r="E1252" s="1867"/>
      <c r="F1252" s="1867"/>
      <c r="G1252" s="1867"/>
      <c r="H1252" s="1867"/>
      <c r="I1252" s="1631"/>
      <c r="J1252" s="1631"/>
      <c r="K1252" s="1631"/>
      <c r="L1252" s="1937" t="s">
        <v>1982</v>
      </c>
      <c r="M1252" s="521" t="str">
        <f>'Part VIII-Threshold Criteria'!M94</f>
        <v>Real Property Research Group</v>
      </c>
      <c r="N1252" s="521">
        <f>'Part VIII-Threshold Criteria'!N94</f>
        <v>0</v>
      </c>
      <c r="O1252" s="521">
        <f>'Part VIII-Threshold Criteria'!O94</f>
        <v>0</v>
      </c>
      <c r="P1252" s="1631">
        <f>'Part VIII-Threshold Criteria'!P94</f>
        <v>0</v>
      </c>
      <c r="Q1252" s="1895"/>
    </row>
    <row r="1253" spans="1:22">
      <c r="A1253" s="1937" t="s">
        <v>1984</v>
      </c>
      <c r="B1253" s="521" t="s">
        <v>2035</v>
      </c>
      <c r="D1253" s="1867"/>
      <c r="E1253" s="1867"/>
      <c r="F1253" s="1867"/>
      <c r="L1253" s="1937" t="s">
        <v>1984</v>
      </c>
      <c r="M1253" s="521" t="str">
        <f>'Part VIII-Threshold Criteria'!M95</f>
        <v>7-8 months</v>
      </c>
      <c r="N1253" s="521">
        <f>'Part VIII-Threshold Criteria'!N95</f>
        <v>0</v>
      </c>
      <c r="O1253" s="521">
        <f>'Part VIII-Threshold Criteria'!O95</f>
        <v>0</v>
      </c>
      <c r="P1253" s="1631">
        <f>'Part VIII-Threshold Criteria'!P95</f>
        <v>0</v>
      </c>
      <c r="Q1253" s="1895"/>
    </row>
    <row r="1254" spans="1:22">
      <c r="A1254" s="1937" t="s">
        <v>749</v>
      </c>
      <c r="B1254" s="521" t="s">
        <v>2878</v>
      </c>
      <c r="D1254" s="1867"/>
      <c r="E1254" s="1867"/>
      <c r="F1254" s="1867"/>
      <c r="L1254" s="1937" t="s">
        <v>749</v>
      </c>
      <c r="M1254" s="2797">
        <f>'Part VIII-Threshold Criteria'!M96</f>
        <v>0.96</v>
      </c>
      <c r="N1254" s="2797">
        <f>'Part VIII-Threshold Criteria'!N96</f>
        <v>0</v>
      </c>
      <c r="O1254" s="2797">
        <f>'Part VIII-Threshold Criteria'!O96</f>
        <v>0</v>
      </c>
      <c r="P1254" s="2160">
        <f>'Part VIII-Threshold Criteria'!P96</f>
        <v>0</v>
      </c>
      <c r="Q1254" s="1895"/>
    </row>
    <row r="1255" spans="1:22">
      <c r="A1255" s="1937" t="s">
        <v>2114</v>
      </c>
      <c r="B1255" s="521" t="s">
        <v>3894</v>
      </c>
      <c r="D1255" s="1867"/>
      <c r="E1255" s="1867"/>
      <c r="F1255" s="1867"/>
      <c r="L1255" s="1937" t="s">
        <v>3895</v>
      </c>
      <c r="M1255" s="2798">
        <f>'Part VIII-Threshold Criteria'!M97</f>
        <v>0.97399999999999998</v>
      </c>
      <c r="N1255" s="2797"/>
      <c r="O1255" s="1940" t="s">
        <v>4126</v>
      </c>
      <c r="P1255" s="2083">
        <f>'Part VIII-Threshold Criteria'!P97</f>
        <v>0.94399999999999995</v>
      </c>
      <c r="Q1255" s="1895"/>
    </row>
    <row r="1256" spans="1:22">
      <c r="A1256" s="1944" t="s">
        <v>1735</v>
      </c>
      <c r="B1256" s="1921" t="s">
        <v>3893</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2377</v>
      </c>
      <c r="E1257" s="1841" t="s">
        <v>617</v>
      </c>
      <c r="F1257" s="1841"/>
      <c r="H1257" s="521"/>
      <c r="I1257" s="1895" t="s">
        <v>2377</v>
      </c>
      <c r="J1257" s="1841" t="s">
        <v>617</v>
      </c>
      <c r="K1257" s="1841"/>
      <c r="M1257" s="521"/>
      <c r="N1257" s="1895" t="s">
        <v>2377</v>
      </c>
      <c r="O1257" s="1841" t="s">
        <v>617</v>
      </c>
      <c r="P1257" s="1841"/>
      <c r="Q1257" s="1937"/>
    </row>
    <row r="1258" spans="1:22">
      <c r="C1258" s="1937" t="s">
        <v>1737</v>
      </c>
      <c r="D1258" s="1895" t="str">
        <f>'Part VIII-Threshold Criteria'!D100</f>
        <v>2006-504</v>
      </c>
      <c r="E1258" s="521" t="str">
        <f>'Part VIII-Threshold Criteria'!E100</f>
        <v>Columbia Sylvan Hills</v>
      </c>
      <c r="F1258" s="521">
        <f>'Part VIII-Threshold Criteria'!F100</f>
        <v>0</v>
      </c>
      <c r="G1258" s="521">
        <f>'Part VIII-Threshold Criteria'!G100</f>
        <v>0</v>
      </c>
      <c r="H1258" s="1937" t="s">
        <v>1739</v>
      </c>
      <c r="I1258" s="1895" t="str">
        <f>'Part VIII-Threshold Criteria'!I100</f>
        <v>2009-019</v>
      </c>
      <c r="J1258" s="521" t="str">
        <f>'Part VIII-Threshold Criteria'!J100</f>
        <v>Villas at Lakewood</v>
      </c>
      <c r="K1258" s="521">
        <f>'Part VIII-Threshold Criteria'!K100</f>
        <v>0</v>
      </c>
      <c r="L1258" s="521">
        <f>'Part VIII-Threshold Criteria'!L100</f>
        <v>0</v>
      </c>
      <c r="M1258" s="1937" t="s">
        <v>1549</v>
      </c>
      <c r="N1258" s="1895" t="str">
        <f>'Part VIII-Threshold Criteria'!N100</f>
        <v>2013-501</v>
      </c>
      <c r="O1258" s="521" t="str">
        <f>'Part VIII-Threshold Criteria'!O100</f>
        <v>Trestletree</v>
      </c>
      <c r="P1258" s="521">
        <f>'Part VIII-Threshold Criteria'!P100</f>
        <v>0</v>
      </c>
      <c r="Q1258" s="521">
        <f>'Part VIII-Threshold Criteria'!Q100</f>
        <v>0</v>
      </c>
    </row>
    <row r="1259" spans="1:22">
      <c r="C1259" s="1937" t="s">
        <v>1738</v>
      </c>
      <c r="D1259" s="1895" t="str">
        <f>'Part VIII-Threshold Criteria'!D101</f>
        <v>2005-026</v>
      </c>
      <c r="E1259" s="521" t="str">
        <f>'Part VIII-Threshold Criteria'!E101</f>
        <v>Columbia at Mechanicsville</v>
      </c>
      <c r="F1259" s="521">
        <f>'Part VIII-Threshold Criteria'!F101</f>
        <v>0</v>
      </c>
      <c r="G1259" s="521">
        <f>'Part VIII-Threshold Criteria'!G101</f>
        <v>0</v>
      </c>
      <c r="H1259" s="1937" t="s">
        <v>2364</v>
      </c>
      <c r="I1259" s="1895" t="str">
        <f>'Part VIII-Threshold Criteria'!I101</f>
        <v>2009-029</v>
      </c>
      <c r="J1259" s="521" t="str">
        <f>'Part VIII-Threshold Criteria'!J101</f>
        <v>Columbia Parkside at Mechanicsville</v>
      </c>
      <c r="K1259" s="521">
        <f>'Part VIII-Threshold Criteria'!K101</f>
        <v>0</v>
      </c>
      <c r="L1259" s="521">
        <f>'Part VIII-Threshold Criteria'!L101</f>
        <v>0</v>
      </c>
      <c r="M1259" s="1937" t="s">
        <v>1550</v>
      </c>
      <c r="N1259" s="1895" t="str">
        <f>'Part VIII-Threshold Criteria'!N101</f>
        <v>2013-051</v>
      </c>
      <c r="O1259" s="521" t="str">
        <f>'Part VIII-Threshold Criteria'!O101</f>
        <v>Stanton Oaks</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t="str">
        <f>'Part VIII-Threshold Criteria'!P102</f>
        <v>Yes</v>
      </c>
      <c r="Q1260" s="1895"/>
    </row>
    <row r="1261" spans="1:22">
      <c r="B1261" s="1842" t="s">
        <v>3753</v>
      </c>
      <c r="D1261" s="1842"/>
      <c r="E1261" s="1842"/>
      <c r="F1261" s="1842"/>
      <c r="G1261" s="1842"/>
      <c r="H1261" s="1841"/>
      <c r="I1261" s="1895"/>
      <c r="J1261" s="1895"/>
      <c r="K1261" s="1895"/>
      <c r="L1261" s="1633"/>
      <c r="M1261" s="1633"/>
      <c r="N1261" s="1633"/>
      <c r="O1261" s="1633"/>
      <c r="P1261" s="1633"/>
      <c r="Q1261" s="1633"/>
    </row>
    <row r="1262" spans="1:22" ht="303.75">
      <c r="A1262" s="1900" t="str">
        <f>'Part VIII-Threshold Criteria'!A104</f>
        <v>The subject property is located in the middle of a revitalizing area.  It should not have any issues leasing up as it is only a few feet away from the Beltline.  There is a high demand for tax credit units based on the market study and has a capture rate of 2.9%.</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1865</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2653</v>
      </c>
      <c r="C1265" s="1947"/>
      <c r="D1265" s="1899"/>
      <c r="E1265" s="1899"/>
      <c r="F1265" s="1899"/>
      <c r="G1265" s="1899"/>
      <c r="H1265" s="1899"/>
      <c r="I1265" s="1899"/>
      <c r="J1265" s="1899"/>
      <c r="K1265" s="1899"/>
      <c r="L1265" s="1899"/>
      <c r="M1265" s="1899"/>
      <c r="O1265" s="2784" t="s">
        <v>1866</v>
      </c>
      <c r="P1265" s="1634"/>
      <c r="Q1265" s="1634"/>
    </row>
    <row r="1267" spans="1:22">
      <c r="B1267" s="1216" t="s">
        <v>4937</v>
      </c>
      <c r="P1267" s="1895" t="str">
        <f>'Part VIII-Threshold Criteria'!P109</f>
        <v>Yes</v>
      </c>
      <c r="Q1267" s="1895"/>
    </row>
    <row r="1268" spans="1:22">
      <c r="A1268" s="1937" t="s">
        <v>1982</v>
      </c>
      <c r="B1268" s="521" t="s">
        <v>493</v>
      </c>
      <c r="C1268" s="521"/>
      <c r="E1268" s="521"/>
      <c r="F1268" s="521"/>
      <c r="G1268" s="521"/>
      <c r="H1268" s="521"/>
      <c r="I1268" s="521"/>
      <c r="J1268" s="521"/>
      <c r="K1268" s="521"/>
      <c r="L1268" s="521"/>
      <c r="M1268" s="521"/>
      <c r="O1268" s="1937" t="s">
        <v>1982</v>
      </c>
      <c r="P1268" s="1895" t="str">
        <f>'Part VIII-Threshold Criteria'!P110</f>
        <v>Yes</v>
      </c>
      <c r="Q1268" s="1895"/>
    </row>
    <row r="1269" spans="1:22">
      <c r="A1269" s="1937" t="s">
        <v>1984</v>
      </c>
      <c r="B1269" s="521" t="s">
        <v>1304</v>
      </c>
      <c r="C1269" s="521"/>
      <c r="E1269" s="521"/>
      <c r="F1269" s="521"/>
      <c r="G1269" s="521"/>
      <c r="H1269" s="521"/>
      <c r="I1269" s="521"/>
      <c r="J1269" s="521"/>
      <c r="K1269" s="521"/>
      <c r="L1269" s="1841"/>
      <c r="M1269" s="1841"/>
      <c r="O1269" s="1937" t="s">
        <v>1984</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Brian Neukam</v>
      </c>
      <c r="N1270" s="521">
        <f>'Part VIII-Threshold Criteria'!N112</f>
        <v>0</v>
      </c>
      <c r="O1270" s="521">
        <f>'Part VIII-Threshold Criteria'!O112</f>
        <v>0</v>
      </c>
      <c r="P1270" s="1631">
        <f>'Part VIII-Threshold Criteria'!P112</f>
        <v>0</v>
      </c>
      <c r="Q1270" s="1895"/>
    </row>
    <row r="1271" spans="1:22">
      <c r="A1271" s="1895"/>
      <c r="B1271" s="1952" t="s">
        <v>1737</v>
      </c>
      <c r="C1271" s="1841" t="s">
        <v>4760</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3470</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3471</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2364</v>
      </c>
      <c r="C1274" s="1841" t="s">
        <v>2879</v>
      </c>
      <c r="D1274" s="1841"/>
      <c r="E1274" s="1841"/>
      <c r="F1274" s="1841"/>
      <c r="G1274" s="1841"/>
      <c r="H1274" s="1841"/>
      <c r="I1274" s="1841"/>
      <c r="J1274" s="1841"/>
      <c r="K1274" s="1841"/>
      <c r="L1274" s="1841"/>
      <c r="M1274" s="1843"/>
      <c r="O1274" s="1944" t="s">
        <v>2364</v>
      </c>
      <c r="P1274" s="1895" t="str">
        <f>'Part VIII-Threshold Criteria'!P116</f>
        <v>Yes</v>
      </c>
      <c r="Q1274" s="1895"/>
    </row>
    <row r="1275" spans="1:22" ht="12.75" customHeight="1">
      <c r="A1275" s="1948"/>
      <c r="B1275" s="1952" t="s">
        <v>1549</v>
      </c>
      <c r="C1275" s="1900" t="s">
        <v>2688</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t="str">
        <f>'Part VIII-Threshold Criteria'!P118</f>
        <v>Yes</v>
      </c>
      <c r="Q1276" s="1895"/>
    </row>
    <row r="1277" spans="1:22">
      <c r="A1277" s="1937" t="s">
        <v>2114</v>
      </c>
      <c r="B1277" s="521" t="s">
        <v>1428</v>
      </c>
      <c r="D1277" s="521"/>
      <c r="E1277" s="521"/>
      <c r="G1277" s="521"/>
      <c r="I1277" s="521"/>
      <c r="K1277" s="521"/>
      <c r="L1277" s="1841"/>
      <c r="M1277" s="1841"/>
      <c r="N1277" s="1841"/>
      <c r="O1277" s="1937" t="s">
        <v>2114</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Yes</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3753</v>
      </c>
      <c r="D1281" s="1842"/>
      <c r="E1281" s="1842"/>
      <c r="F1281" s="1842"/>
      <c r="G1281" s="1842"/>
      <c r="H1281" s="1841"/>
      <c r="I1281" s="1895"/>
      <c r="J1281" s="1895"/>
      <c r="K1281" s="1895"/>
      <c r="L1281" s="1633"/>
      <c r="M1281" s="1633"/>
      <c r="N1281" s="1633"/>
      <c r="O1281" s="1633"/>
      <c r="P1281" s="1633"/>
      <c r="Q1281" s="1633"/>
    </row>
    <row r="1282" spans="1:22" ht="405">
      <c r="A1282" s="1900" t="str">
        <f>'Part VIII-Threshold Criteria'!A124</f>
        <v>The subject property for 55 Milton Avenue was rezoned by Prestwick Development Company on December 13, 2017 while under contract by Prestwick Land Holdings.  Prestwick Land Holdings, LLC an affiliated entity of Prestwick Development Company and Milton Family I, LP is under contract with Milton Family I, LP for the sale of the subject property.</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1865</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2654</v>
      </c>
      <c r="C1285" s="1841"/>
      <c r="D1285" s="1899"/>
      <c r="E1285" s="1899"/>
      <c r="F1285" s="1899"/>
      <c r="G1285" s="1899"/>
      <c r="H1285" s="1899"/>
      <c r="I1285" s="1899"/>
      <c r="J1285" s="1899"/>
      <c r="K1285" s="1899"/>
      <c r="L1285" s="1899"/>
      <c r="M1285" s="1899"/>
      <c r="O1285" s="2784" t="s">
        <v>1866</v>
      </c>
      <c r="P1285" s="1634"/>
      <c r="Q1285" s="1634"/>
    </row>
    <row r="1287" spans="1:22">
      <c r="A1287" s="1937" t="s">
        <v>1982</v>
      </c>
      <c r="B1287" s="521" t="s">
        <v>3636</v>
      </c>
      <c r="D1287" s="1867"/>
      <c r="E1287" s="1867"/>
      <c r="F1287" s="1867"/>
      <c r="G1287" s="1867"/>
      <c r="H1287" s="1867"/>
      <c r="I1287" s="1631"/>
      <c r="J1287" s="1631"/>
      <c r="K1287" s="1937" t="s">
        <v>1982</v>
      </c>
      <c r="L1287" s="1634" t="str">
        <f>'Part VIII-Threshold Criteria'!L129</f>
        <v>Geotechnical &amp; Environmental Consulting, Inc.</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1984</v>
      </c>
      <c r="B1288" s="521" t="s">
        <v>1538</v>
      </c>
      <c r="D1288" s="1867"/>
      <c r="E1288" s="1867"/>
      <c r="F1288" s="1867"/>
      <c r="G1288" s="1867"/>
      <c r="H1288" s="1867"/>
      <c r="I1288" s="1631"/>
      <c r="J1288" s="1631"/>
      <c r="K1288" s="1867"/>
      <c r="L1288" s="1834"/>
      <c r="O1288" s="1937" t="s">
        <v>1984</v>
      </c>
      <c r="P1288" s="1895" t="str">
        <f>'Part VIII-Threshold Criteria'!P130</f>
        <v>Yes</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2687</v>
      </c>
      <c r="E1290" s="1867"/>
      <c r="F1290" s="1867"/>
      <c r="G1290" s="1867"/>
      <c r="H1290" s="1867"/>
      <c r="I1290" s="1631"/>
      <c r="J1290" s="1631"/>
      <c r="K1290" s="1937" t="s">
        <v>1737</v>
      </c>
      <c r="L1290" s="1634" t="str">
        <f>'Part VIII-Threshold Criteria'!L132</f>
        <v>Geotechnical &amp; Environmental Consulting, Inc.</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3472</v>
      </c>
      <c r="E1291" s="1631"/>
      <c r="F1291" s="1631"/>
      <c r="G1291" s="1631"/>
      <c r="H1291" s="521"/>
      <c r="I1291" s="1631"/>
      <c r="J1291" s="1631"/>
      <c r="K1291" s="1867"/>
      <c r="L1291" s="1834"/>
      <c r="M1291" s="1834"/>
      <c r="O1291" s="1937" t="s">
        <v>1738</v>
      </c>
      <c r="P1291" s="1895">
        <f>'Part VIII-Threshold Criteria'!P133</f>
        <v>61.7</v>
      </c>
      <c r="Q1291" s="1895"/>
    </row>
    <row r="1292" spans="1:22">
      <c r="A1292" s="1828"/>
      <c r="B1292" s="1841" t="s">
        <v>1739</v>
      </c>
      <c r="C1292" s="521" t="s">
        <v>4744</v>
      </c>
      <c r="E1292" s="1631"/>
      <c r="F1292" s="1631"/>
      <c r="G1292" s="1631"/>
      <c r="H1292" s="521"/>
      <c r="I1292" s="1631"/>
      <c r="J1292" s="1631"/>
      <c r="K1292" s="1867"/>
      <c r="L1292" s="1834"/>
      <c r="M1292" s="1834"/>
      <c r="O1292" s="1937" t="s">
        <v>1739</v>
      </c>
      <c r="P1292" s="1895">
        <f>'Part VIII-Threshold Criteria'!P134</f>
        <v>0</v>
      </c>
      <c r="Q1292" s="1895"/>
    </row>
    <row r="1293" spans="1:22">
      <c r="A1293" s="1937" t="s">
        <v>2114</v>
      </c>
      <c r="B1293" s="521" t="s">
        <v>1260</v>
      </c>
      <c r="D1293" s="1867"/>
      <c r="E1293" s="1867"/>
      <c r="F1293" s="1867"/>
      <c r="G1293" s="1867"/>
      <c r="H1293" s="1867"/>
      <c r="I1293" s="1631"/>
      <c r="J1293" s="1631"/>
      <c r="K1293" s="1867"/>
      <c r="L1293" s="1834"/>
      <c r="M1293" s="1834"/>
      <c r="N1293" s="1834"/>
      <c r="O1293" s="1937" t="s">
        <v>2114</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Yes</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2631</v>
      </c>
      <c r="E1296" s="1937" t="s">
        <v>2434</v>
      </c>
      <c r="F1296" s="521" t="s">
        <v>2632</v>
      </c>
      <c r="G1296" s="1631"/>
      <c r="H1296" s="521"/>
      <c r="I1296" s="1631"/>
      <c r="J1296" s="1631"/>
      <c r="K1296" s="1867"/>
      <c r="L1296" s="1834"/>
      <c r="M1296" s="1834"/>
      <c r="O1296" s="1937" t="s">
        <v>2434</v>
      </c>
      <c r="P1296" s="2799">
        <f>'Part VIII-Threshold Criteria'!P138</f>
        <v>0</v>
      </c>
      <c r="Q1296" s="2799"/>
    </row>
    <row r="1297" spans="1:17">
      <c r="A1297" s="1937"/>
      <c r="B1297" s="1841"/>
      <c r="E1297" s="1937" t="s">
        <v>2435</v>
      </c>
      <c r="F1297" s="521" t="s">
        <v>2633</v>
      </c>
      <c r="G1297" s="1631"/>
      <c r="H1297" s="521"/>
      <c r="I1297" s="1631"/>
      <c r="J1297" s="1631"/>
      <c r="K1297" s="1867"/>
      <c r="L1297" s="1834"/>
      <c r="M1297" s="1834"/>
      <c r="O1297" s="1937" t="s">
        <v>2435</v>
      </c>
      <c r="P1297" s="1895">
        <f>'Part VIII-Threshold Criteria'!P139</f>
        <v>0</v>
      </c>
      <c r="Q1297" s="1895"/>
    </row>
    <row r="1298" spans="1:17">
      <c r="A1298" s="1937"/>
      <c r="B1298" s="1841"/>
      <c r="E1298" s="1937" t="s">
        <v>2436</v>
      </c>
      <c r="F1298" s="521" t="s">
        <v>2634</v>
      </c>
      <c r="G1298" s="1631"/>
      <c r="H1298" s="521"/>
      <c r="I1298" s="1631"/>
      <c r="J1298" s="1631"/>
      <c r="K1298" s="1867"/>
      <c r="L1298" s="1834"/>
      <c r="M1298" s="1834"/>
      <c r="O1298" s="1937" t="s">
        <v>2436</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c r="A1300" s="1937"/>
      <c r="B1300" s="1937"/>
      <c r="C1300" s="521" t="s">
        <v>2631</v>
      </c>
      <c r="E1300" s="1937" t="s">
        <v>2434</v>
      </c>
      <c r="F1300" s="521" t="s">
        <v>2635</v>
      </c>
      <c r="G1300" s="1631"/>
      <c r="H1300" s="521"/>
      <c r="I1300" s="1631"/>
      <c r="J1300" s="1631"/>
      <c r="K1300" s="1867"/>
      <c r="L1300" s="1834"/>
      <c r="O1300" s="1937" t="s">
        <v>2434</v>
      </c>
      <c r="P1300" s="2799">
        <f>'Part VIII-Threshold Criteria'!P142</f>
        <v>0</v>
      </c>
      <c r="Q1300" s="2799"/>
    </row>
    <row r="1301" spans="1:17">
      <c r="A1301" s="1937"/>
      <c r="B1301" s="1937"/>
      <c r="E1301" s="1937" t="s">
        <v>2435</v>
      </c>
      <c r="F1301" s="521" t="s">
        <v>2636</v>
      </c>
      <c r="G1301" s="1631"/>
      <c r="H1301" s="521"/>
      <c r="I1301" s="1631"/>
      <c r="J1301" s="1631"/>
      <c r="O1301" s="1937" t="s">
        <v>2435</v>
      </c>
      <c r="P1301" s="1895">
        <f>'Part VIII-Threshold Criteria'!P143</f>
        <v>0</v>
      </c>
      <c r="Q1301" s="1895"/>
    </row>
    <row r="1302" spans="1:17">
      <c r="A1302" s="1937"/>
      <c r="B1302" s="1937"/>
      <c r="E1302" s="1937" t="s">
        <v>2436</v>
      </c>
      <c r="F1302" s="521" t="s">
        <v>2634</v>
      </c>
      <c r="G1302" s="1631"/>
      <c r="H1302" s="521"/>
      <c r="I1302" s="1631"/>
      <c r="J1302" s="1631"/>
      <c r="O1302" s="1937" t="s">
        <v>2436</v>
      </c>
      <c r="P1302" s="1895">
        <f>'Part VIII-Threshold Criteria'!P144</f>
        <v>0</v>
      </c>
      <c r="Q1302" s="1895"/>
    </row>
    <row r="1303" spans="1:17">
      <c r="A1303" s="1937" t="s">
        <v>1735</v>
      </c>
      <c r="B1303" s="1841" t="s">
        <v>2413</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2494</v>
      </c>
      <c r="E1304" s="1867"/>
      <c r="F1304" s="1895" t="str">
        <f>'Part VIII-Threshold Criteria'!F146</f>
        <v>Yes</v>
      </c>
      <c r="G1304" s="1895"/>
      <c r="H1304" s="1937" t="s">
        <v>4981</v>
      </c>
      <c r="I1304" s="1216" t="s">
        <v>2639</v>
      </c>
      <c r="L1304" s="1895" t="str">
        <f>'Part VIII-Threshold Criteria'!L146</f>
        <v>No</v>
      </c>
      <c r="M1304" s="1895"/>
      <c r="N1304" s="1937" t="s">
        <v>4985</v>
      </c>
      <c r="O1304" s="521" t="s">
        <v>1552</v>
      </c>
      <c r="P1304" s="1895" t="str">
        <f>'Part VIII-Threshold Criteria'!P146</f>
        <v>No</v>
      </c>
      <c r="Q1304" s="1895"/>
    </row>
    <row r="1305" spans="1:17">
      <c r="A1305" s="521"/>
      <c r="B1305" s="1841" t="s">
        <v>1738</v>
      </c>
      <c r="C1305" s="521" t="s">
        <v>2802</v>
      </c>
      <c r="E1305" s="1867"/>
      <c r="F1305" s="1895" t="str">
        <f>'Part VIII-Threshold Criteria'!F147</f>
        <v>Yes</v>
      </c>
      <c r="G1305" s="1895"/>
      <c r="H1305" s="1937" t="s">
        <v>4982</v>
      </c>
      <c r="I1305" s="1216" t="s">
        <v>2640</v>
      </c>
      <c r="L1305" s="1895" t="str">
        <f>'Part VIII-Threshold Criteria'!L147</f>
        <v>No</v>
      </c>
      <c r="M1305" s="1895"/>
      <c r="N1305" s="1937" t="s">
        <v>4986</v>
      </c>
      <c r="O1305" s="521" t="s">
        <v>1551</v>
      </c>
      <c r="P1305" s="1895" t="str">
        <f>'Part VIII-Threshold Criteria'!P147</f>
        <v>No</v>
      </c>
      <c r="Q1305" s="1895"/>
    </row>
    <row r="1306" spans="1:17">
      <c r="A1306" s="521"/>
      <c r="B1306" s="1841" t="s">
        <v>1739</v>
      </c>
      <c r="C1306" s="521" t="s">
        <v>2638</v>
      </c>
      <c r="E1306" s="1867"/>
      <c r="F1306" s="1895" t="str">
        <f>'Part VIII-Threshold Criteria'!F148</f>
        <v>No</v>
      </c>
      <c r="G1306" s="1895"/>
      <c r="H1306" s="1937" t="s">
        <v>4983</v>
      </c>
      <c r="I1306" s="1216" t="s">
        <v>3845</v>
      </c>
      <c r="L1306" s="1895" t="str">
        <f>'Part VIII-Threshold Criteria'!L148</f>
        <v>Yes</v>
      </c>
      <c r="M1306" s="1895"/>
      <c r="N1306" s="1937" t="s">
        <v>4987</v>
      </c>
      <c r="O1306" s="521" t="s">
        <v>1553</v>
      </c>
      <c r="P1306" s="1895" t="str">
        <f>'Part VIII-Threshold Criteria'!P148</f>
        <v>Yes</v>
      </c>
      <c r="Q1306" s="1895"/>
    </row>
    <row r="1307" spans="1:17">
      <c r="A1307" s="521"/>
      <c r="B1307" s="1841" t="s">
        <v>2364</v>
      </c>
      <c r="C1307" s="521" t="s">
        <v>2805</v>
      </c>
      <c r="E1307" s="1867"/>
      <c r="F1307" s="1895" t="str">
        <f>'Part VIII-Threshold Criteria'!F149</f>
        <v>No</v>
      </c>
      <c r="G1307" s="1895"/>
      <c r="H1307" s="1937" t="s">
        <v>4984</v>
      </c>
      <c r="I1307" s="521" t="s">
        <v>2801</v>
      </c>
      <c r="L1307" s="1895" t="str">
        <f>'Part VIII-Threshold Criteria'!L149</f>
        <v>Yes</v>
      </c>
      <c r="M1307" s="1895"/>
      <c r="O1307" s="1937"/>
    </row>
    <row r="1308" spans="1:17">
      <c r="A1308" s="521"/>
      <c r="B1308" s="1841" t="s">
        <v>2893</v>
      </c>
      <c r="C1308" s="521" t="s">
        <v>2803</v>
      </c>
      <c r="E1308" s="1867"/>
      <c r="F1308" s="1867"/>
      <c r="G1308" s="1867"/>
      <c r="H1308" s="1867"/>
      <c r="I1308" s="1867"/>
      <c r="J1308" s="1867"/>
      <c r="K1308" s="1867"/>
      <c r="L1308" s="1867"/>
      <c r="M1308" s="521"/>
      <c r="O1308" s="1937"/>
      <c r="P1308" s="1937"/>
    </row>
    <row r="1309" spans="1:17">
      <c r="A1309" s="521"/>
      <c r="C1309" s="1867">
        <f>'Part VIII-Threshold Criteria'!C151</f>
        <v>0</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3570</v>
      </c>
      <c r="D1310" s="1867"/>
      <c r="E1310" s="1867"/>
      <c r="F1310" s="1867"/>
      <c r="G1310" s="1867"/>
      <c r="H1310" s="1867"/>
      <c r="I1310" s="1631"/>
      <c r="J1310" s="1631"/>
      <c r="K1310" s="1867"/>
      <c r="L1310" s="1867"/>
      <c r="M1310" s="1834"/>
    </row>
    <row r="1311" spans="1:17">
      <c r="A1311" s="1631"/>
      <c r="B1311" s="1841" t="s">
        <v>1737</v>
      </c>
      <c r="C1311" s="521" t="s">
        <v>2806</v>
      </c>
      <c r="E1311" s="1867"/>
      <c r="F1311" s="1867"/>
      <c r="G1311" s="1867"/>
      <c r="H1311" s="1867"/>
      <c r="O1311" s="1937" t="s">
        <v>1737</v>
      </c>
      <c r="P1311" s="1895">
        <f>'Part VIII-Threshold Criteria'!P153</f>
        <v>0</v>
      </c>
      <c r="Q1311" s="1895"/>
    </row>
    <row r="1312" spans="1:17">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c r="A1314" s="1895"/>
      <c r="B1314" s="1841" t="s">
        <v>2364</v>
      </c>
      <c r="C1314" s="521" t="s">
        <v>4963</v>
      </c>
      <c r="E1314" s="521"/>
      <c r="F1314" s="521"/>
      <c r="G1314" s="521"/>
      <c r="H1314" s="521"/>
      <c r="I1314" s="1631"/>
      <c r="J1314" s="1631"/>
      <c r="K1314" s="521"/>
      <c r="L1314" s="521"/>
      <c r="M1314" s="521"/>
      <c r="O1314" s="1937" t="s">
        <v>1739</v>
      </c>
      <c r="P1314" s="1895">
        <f>'Part VIII-Threshold Criteria'!P156</f>
        <v>0</v>
      </c>
      <c r="Q1314" s="1895"/>
    </row>
    <row r="1315" spans="1:22">
      <c r="A1315" s="1216" t="s">
        <v>3462</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1946</v>
      </c>
      <c r="B1316" s="1900" t="s">
        <v>4539</v>
      </c>
      <c r="C1316" s="1900"/>
      <c r="D1316" s="1900"/>
      <c r="E1316" s="1900"/>
      <c r="F1316" s="1900"/>
      <c r="G1316" s="1900"/>
      <c r="H1316" s="1900"/>
      <c r="I1316" s="1900"/>
      <c r="J1316" s="1900"/>
      <c r="K1316" s="1900"/>
      <c r="L1316" s="1900"/>
      <c r="M1316" s="1937" t="s">
        <v>1946</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3753</v>
      </c>
      <c r="D1317" s="1842"/>
      <c r="E1317" s="1842"/>
      <c r="F1317" s="1842"/>
      <c r="G1317" s="1842"/>
      <c r="H1317" s="1841"/>
      <c r="I1317" s="1895"/>
      <c r="J1317" s="1895"/>
      <c r="K1317" s="1895"/>
      <c r="L1317" s="1633"/>
      <c r="M1317" s="1633"/>
      <c r="N1317" s="1633"/>
      <c r="O1317" s="1633"/>
      <c r="P1317" s="1633"/>
      <c r="Q1317" s="1633"/>
    </row>
    <row r="1318" spans="1:22" ht="247.5">
      <c r="A1318" s="1900" t="str">
        <f>'Part VIII-Threshold Criteria'!A160</f>
        <v>The phase I recommended a phase II.  The prospective purchaser corrective action plan (CAP) has been received from the Georgia Environmental Protection Division.  The Noise levels are below the maximum threshold.</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c r="R1319" s="2786"/>
      <c r="S1319" s="2786"/>
    </row>
    <row r="1320" spans="1:22">
      <c r="B1320" s="1897" t="s">
        <v>1865</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2655</v>
      </c>
      <c r="C1323" s="1947"/>
      <c r="D1323" s="1899"/>
      <c r="E1323" s="1899"/>
      <c r="F1323" s="1899"/>
      <c r="G1323" s="1899"/>
      <c r="H1323" s="1899"/>
      <c r="I1323" s="1899"/>
      <c r="J1323" s="1899"/>
      <c r="K1323" s="1899"/>
      <c r="O1323" s="2784" t="s">
        <v>1866</v>
      </c>
      <c r="P1323" s="1634"/>
      <c r="Q1323" s="1634"/>
    </row>
    <row r="1324" spans="1:22">
      <c r="A1324" s="1937" t="s">
        <v>1982</v>
      </c>
      <c r="B1324" s="521" t="s">
        <v>5086</v>
      </c>
      <c r="D1324" s="521"/>
      <c r="E1324" s="521"/>
      <c r="F1324" s="521"/>
      <c r="G1324" s="521"/>
      <c r="H1324" s="521" t="s">
        <v>2706</v>
      </c>
      <c r="K1324" s="2800">
        <f>'Part VIII-Threshold Criteria'!K166</f>
        <v>44150</v>
      </c>
      <c r="L1324" s="2800">
        <f>'Part VIII-Threshold Criteria'!L166</f>
        <v>0</v>
      </c>
      <c r="N1324" s="521"/>
      <c r="O1324" s="1937" t="s">
        <v>1982</v>
      </c>
      <c r="P1324" s="1895" t="str">
        <f>'Part VIII-Threshold Criteria'!P166</f>
        <v>Yes</v>
      </c>
      <c r="Q1324" s="1895"/>
    </row>
    <row r="1325" spans="1:22">
      <c r="A1325" s="1937" t="s">
        <v>1984</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1984</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Milton Family I, 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3753</v>
      </c>
      <c r="D1327" s="1842"/>
      <c r="E1327" s="1842"/>
      <c r="F1327" s="1842"/>
      <c r="G1327" s="1842"/>
      <c r="H1327" s="1841"/>
      <c r="I1327" s="1895"/>
      <c r="J1327" s="1895"/>
      <c r="K1327" s="1895"/>
      <c r="L1327" s="1633"/>
      <c r="M1327" s="1633"/>
      <c r="N1327" s="1633"/>
      <c r="O1327" s="1633"/>
      <c r="P1327" s="1633"/>
      <c r="Q1327" s="1633"/>
    </row>
    <row r="1328" spans="1:22" ht="213.75">
      <c r="A1328" s="1900" t="str">
        <f>'Part VIII-Threshold Criteria'!A170</f>
        <v>The entity with site control and the applicant are the same. There is also an identity of interest between the owner of the land, Prestwick Land Holdings, and the applicant.</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1865</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2656</v>
      </c>
      <c r="C1332" s="1947"/>
      <c r="D1332" s="1899"/>
      <c r="E1332" s="1899"/>
      <c r="F1332" s="1899"/>
      <c r="G1332" s="1899"/>
      <c r="H1332" s="1899"/>
      <c r="I1332" s="1899"/>
      <c r="J1332" s="1899"/>
      <c r="K1332" s="1899"/>
      <c r="L1332" s="1899"/>
      <c r="M1332" s="1899"/>
      <c r="O1332" s="2784" t="s">
        <v>1866</v>
      </c>
      <c r="P1332" s="1634"/>
      <c r="Q1332" s="1634"/>
    </row>
    <row r="1333" spans="1:22" ht="12.75" customHeight="1">
      <c r="A1333" s="1944" t="s">
        <v>1982</v>
      </c>
      <c r="B1333" s="1900" t="s">
        <v>3742</v>
      </c>
      <c r="C1333" s="1900"/>
      <c r="D1333" s="1900"/>
      <c r="E1333" s="1900"/>
      <c r="F1333" s="1900"/>
      <c r="G1333" s="1900"/>
      <c r="H1333" s="1900"/>
      <c r="I1333" s="1900"/>
      <c r="J1333" s="1900"/>
      <c r="K1333" s="1900"/>
      <c r="L1333" s="1900"/>
      <c r="M1333" s="1900"/>
      <c r="N1333" s="1900"/>
      <c r="O1333" s="1944" t="s">
        <v>1982</v>
      </c>
      <c r="P1333" s="1948" t="str">
        <f>'Part VIII-Threshold Criteria'!P175</f>
        <v>Yes</v>
      </c>
      <c r="Q1333" s="1948"/>
    </row>
    <row r="1334" spans="1:22" ht="12.75" customHeight="1">
      <c r="A1334" s="1944" t="s">
        <v>1984</v>
      </c>
      <c r="B1334" s="1900" t="s">
        <v>4761</v>
      </c>
      <c r="C1334" s="1900"/>
      <c r="D1334" s="1900"/>
      <c r="E1334" s="1900"/>
      <c r="F1334" s="1900"/>
      <c r="G1334" s="1900"/>
      <c r="H1334" s="1900"/>
      <c r="I1334" s="1900"/>
      <c r="J1334" s="1900"/>
      <c r="K1334" s="1900"/>
      <c r="L1334" s="1900"/>
      <c r="M1334" s="1900"/>
      <c r="N1334" s="1900"/>
      <c r="O1334" s="1944" t="s">
        <v>1984</v>
      </c>
      <c r="P1334" s="1948" t="str">
        <f>'Part VIII-Threshold Criteria'!P176</f>
        <v>N/Ap</v>
      </c>
      <c r="Q1334" s="1948"/>
    </row>
    <row r="1335" spans="1:22" ht="12.75" customHeight="1">
      <c r="A1335" s="1944" t="s">
        <v>749</v>
      </c>
      <c r="B1335" s="1900" t="s">
        <v>3743</v>
      </c>
      <c r="C1335" s="1900"/>
      <c r="D1335" s="1900"/>
      <c r="E1335" s="1900"/>
      <c r="F1335" s="1900"/>
      <c r="G1335" s="1900"/>
      <c r="H1335" s="1900"/>
      <c r="I1335" s="1900"/>
      <c r="J1335" s="1900"/>
      <c r="K1335" s="1900"/>
      <c r="L1335" s="1900"/>
      <c r="M1335" s="1900"/>
      <c r="N1335" s="1900"/>
      <c r="O1335" s="1944" t="s">
        <v>749</v>
      </c>
      <c r="P1335" s="1948" t="str">
        <f>'Part VIII-Threshold Criteria'!P177</f>
        <v>N/Ap</v>
      </c>
      <c r="Q1335" s="1948"/>
    </row>
    <row r="1336" spans="1:22" ht="12.75" customHeight="1">
      <c r="A1336" s="1944" t="s">
        <v>2114</v>
      </c>
      <c r="B1336" s="1900" t="s">
        <v>4907</v>
      </c>
      <c r="C1336" s="1900"/>
      <c r="D1336" s="1900"/>
      <c r="E1336" s="1900"/>
      <c r="F1336" s="1900"/>
      <c r="G1336" s="1900"/>
      <c r="H1336" s="1900"/>
      <c r="I1336" s="1900"/>
      <c r="J1336" s="1900"/>
      <c r="K1336" s="1900"/>
      <c r="L1336" s="1900"/>
      <c r="M1336" s="1900"/>
      <c r="N1336" s="1900"/>
      <c r="O1336" s="1944" t="s">
        <v>2114</v>
      </c>
      <c r="P1336" s="1948" t="str">
        <f>'Part VIII-Threshold Criteria'!P178</f>
        <v>N/Ap</v>
      </c>
      <c r="Q1336" s="1948"/>
    </row>
    <row r="1337" spans="1:22">
      <c r="B1337" s="1842" t="s">
        <v>3753</v>
      </c>
      <c r="D1337" s="1842"/>
      <c r="E1337" s="1842"/>
      <c r="F1337" s="1842"/>
      <c r="G1337" s="1842"/>
      <c r="H1337" s="1841"/>
      <c r="I1337" s="1895"/>
      <c r="J1337" s="1895"/>
      <c r="K1337" s="1895"/>
      <c r="L1337" s="1633"/>
      <c r="M1337" s="1633"/>
      <c r="N1337" s="1633"/>
      <c r="O1337" s="1633"/>
      <c r="P1337" s="1633"/>
      <c r="Q1337" s="1633"/>
    </row>
    <row r="1338" spans="1:22" ht="78.75">
      <c r="A1338" s="1900" t="str">
        <f>'Part VIII-Threshold Criteria'!A180</f>
        <v>The site is accessed off of a public street, Milton Avenue.</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1865</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2657</v>
      </c>
      <c r="C1342" s="1631"/>
      <c r="D1342" s="1631"/>
      <c r="O1342" s="2784" t="s">
        <v>1866</v>
      </c>
      <c r="P1342" s="1634"/>
      <c r="Q1342" s="1634"/>
    </row>
    <row r="1343" spans="1:22">
      <c r="A1343" s="1944" t="s">
        <v>1982</v>
      </c>
      <c r="B1343" s="1952" t="s">
        <v>468</v>
      </c>
      <c r="D1343" s="1952"/>
      <c r="E1343" s="1952"/>
      <c r="F1343" s="1952"/>
      <c r="G1343" s="1952"/>
      <c r="H1343" s="1952"/>
      <c r="I1343" s="1952"/>
      <c r="J1343" s="1952"/>
      <c r="K1343" s="1952"/>
      <c r="L1343" s="1952"/>
      <c r="M1343" s="1952"/>
      <c r="O1343" s="1944" t="s">
        <v>1982</v>
      </c>
      <c r="P1343" s="1895" t="str">
        <f>'Part VIII-Threshold Criteria'!P185</f>
        <v>Yes</v>
      </c>
      <c r="Q1343" s="1895"/>
    </row>
    <row r="1344" spans="1:22">
      <c r="A1344" s="1944" t="s">
        <v>1984</v>
      </c>
      <c r="B1344" s="1952" t="s">
        <v>2642</v>
      </c>
      <c r="D1344" s="1952"/>
      <c r="E1344" s="1952"/>
      <c r="F1344" s="1952"/>
      <c r="G1344" s="1952"/>
      <c r="H1344" s="1952"/>
      <c r="I1344" s="1952"/>
      <c r="J1344" s="1952"/>
      <c r="K1344" s="1952"/>
      <c r="L1344" s="1952"/>
      <c r="M1344" s="1952"/>
      <c r="O1344" s="1944" t="s">
        <v>1984</v>
      </c>
      <c r="P1344" s="1895" t="str">
        <f>'Part VIII-Threshold Criteria'!P186</f>
        <v>Yes</v>
      </c>
      <c r="Q1344" s="1895"/>
    </row>
    <row r="1345" spans="1:22">
      <c r="A1345" s="1944" t="s">
        <v>749</v>
      </c>
      <c r="B1345" s="1952" t="s">
        <v>2643</v>
      </c>
      <c r="D1345" s="1952"/>
      <c r="E1345" s="1952"/>
      <c r="F1345" s="1952"/>
      <c r="G1345" s="1952"/>
      <c r="H1345" s="1952"/>
      <c r="I1345" s="1952"/>
      <c r="J1345" s="1921" t="s">
        <v>4924</v>
      </c>
      <c r="L1345" s="1952"/>
      <c r="M1345" s="1952"/>
      <c r="O1345" s="1944" t="s">
        <v>749</v>
      </c>
      <c r="P1345" s="1895" t="str">
        <f>'Part VIII-Threshold Criteria'!P187</f>
        <v>Yes</v>
      </c>
      <c r="Q1345" s="1895"/>
    </row>
    <row r="1346" spans="1:22">
      <c r="B1346" s="1841" t="s">
        <v>1737</v>
      </c>
      <c r="C1346" s="1841" t="s">
        <v>2644</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4541</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3744</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2364</v>
      </c>
      <c r="C1349" s="1841" t="s">
        <v>2646</v>
      </c>
      <c r="G1349" s="1952"/>
      <c r="H1349" s="1952"/>
      <c r="I1349" s="1952"/>
      <c r="J1349" s="1952"/>
      <c r="K1349" s="1952"/>
      <c r="L1349" s="1952"/>
      <c r="M1349" s="1952"/>
      <c r="O1349" s="1953" t="s">
        <v>2364</v>
      </c>
      <c r="P1349" s="1895" t="str">
        <f>'Part VIII-Threshold Criteria'!P191</f>
        <v>Yes</v>
      </c>
      <c r="Q1349" s="1895"/>
    </row>
    <row r="1350" spans="1:22" ht="12.75" customHeight="1">
      <c r="A1350" s="1944"/>
      <c r="B1350" s="1952" t="s">
        <v>1549</v>
      </c>
      <c r="C1350" s="1900" t="s">
        <v>2647</v>
      </c>
      <c r="D1350" s="1900"/>
      <c r="E1350" s="1900"/>
      <c r="F1350" s="1900"/>
      <c r="G1350" s="1900"/>
      <c r="H1350" s="1900"/>
      <c r="I1350" s="1900"/>
      <c r="J1350" s="1900"/>
      <c r="K1350" s="1900"/>
      <c r="L1350" s="1900"/>
      <c r="M1350" s="1900"/>
      <c r="N1350" s="1900"/>
      <c r="O1350" s="1944" t="s">
        <v>1549</v>
      </c>
      <c r="P1350" s="1948" t="str">
        <f>'Part VIII-Threshold Criteria'!P192</f>
        <v>N/Ap</v>
      </c>
      <c r="Q1350" s="1948"/>
      <c r="R1350" s="1913"/>
      <c r="S1350" s="1913"/>
      <c r="T1350" s="1913"/>
      <c r="U1350" s="1913"/>
      <c r="V1350" s="1913"/>
    </row>
    <row r="1351" spans="1:22" ht="12.75" customHeight="1">
      <c r="A1351" s="1944"/>
      <c r="B1351" s="1952" t="s">
        <v>1550</v>
      </c>
      <c r="C1351" s="1900" t="s">
        <v>3896</v>
      </c>
      <c r="D1351" s="1900"/>
      <c r="E1351" s="1900"/>
      <c r="F1351" s="1900"/>
      <c r="G1351" s="1900"/>
      <c r="H1351" s="1900"/>
      <c r="I1351" s="1900"/>
      <c r="J1351" s="1900"/>
      <c r="K1351" s="1900"/>
      <c r="L1351" s="1900"/>
      <c r="M1351" s="1900"/>
      <c r="N1351" s="1900"/>
      <c r="O1351" s="1944" t="s">
        <v>1550</v>
      </c>
      <c r="P1351" s="1948" t="str">
        <f>'Part VIII-Threshold Criteria'!P193</f>
        <v>N/Ap</v>
      </c>
      <c r="Q1351" s="1948"/>
      <c r="R1351" s="1913"/>
      <c r="S1351" s="1913"/>
      <c r="T1351" s="1913"/>
      <c r="U1351" s="1913"/>
      <c r="V1351" s="1913"/>
    </row>
    <row r="1352" spans="1:22" ht="12.75" customHeight="1">
      <c r="A1352" s="1944" t="s">
        <v>2114</v>
      </c>
      <c r="B1352" s="1900" t="s">
        <v>2648</v>
      </c>
      <c r="C1352" s="1900"/>
      <c r="D1352" s="1900"/>
      <c r="E1352" s="1900"/>
      <c r="F1352" s="1900"/>
      <c r="G1352" s="1900"/>
      <c r="H1352" s="1900"/>
      <c r="I1352" s="1900"/>
      <c r="J1352" s="1900"/>
      <c r="K1352" s="1900"/>
      <c r="L1352" s="1900"/>
      <c r="M1352" s="1900"/>
      <c r="N1352" s="1900"/>
      <c r="O1352" s="1944" t="s">
        <v>2114</v>
      </c>
      <c r="P1352" s="1948" t="str">
        <f>'Part VIII-Threshold Criteria'!P194</f>
        <v>Yes</v>
      </c>
      <c r="Q1352" s="1948"/>
    </row>
    <row r="1353" spans="1:22">
      <c r="A1353" s="1944" t="s">
        <v>1735</v>
      </c>
      <c r="B1353" s="1952" t="s">
        <v>2378</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3753</v>
      </c>
      <c r="D1354" s="1842"/>
      <c r="E1354" s="1842"/>
      <c r="F1354" s="1842"/>
      <c r="G1354" s="1842"/>
      <c r="H1354" s="1841"/>
      <c r="I1354" s="1895"/>
      <c r="J1354" s="1895"/>
      <c r="K1354" s="1895"/>
      <c r="L1354" s="1633"/>
      <c r="M1354" s="1633"/>
      <c r="N1354" s="1633"/>
      <c r="O1354" s="1633"/>
      <c r="P1354" s="1633"/>
      <c r="Q1354" s="1633"/>
    </row>
    <row r="1355" spans="1:22" ht="202.5">
      <c r="A1355" s="1900" t="str">
        <f>'Part VIII-Threshold Criteria'!A197</f>
        <v>The site is zoned for the intended use.  The developer, Prestwick Development Company rezoned the property on December 13, 2017 for the proposed affordable multifamily community.</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1865</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2658</v>
      </c>
      <c r="C1359" s="1947"/>
      <c r="D1359" s="1899"/>
      <c r="E1359" s="1954"/>
      <c r="F1359" s="1954"/>
      <c r="G1359" s="1899"/>
      <c r="J1359" s="1900"/>
      <c r="K1359" s="1900"/>
      <c r="L1359" s="1900"/>
      <c r="M1359" s="1900"/>
      <c r="N1359" s="1900"/>
      <c r="O1359" s="2784" t="s">
        <v>1866</v>
      </c>
      <c r="P1359" s="1634"/>
      <c r="Q1359" s="1634"/>
    </row>
    <row r="1360" spans="1:22" ht="12.75" customHeight="1">
      <c r="A1360" s="1867" t="s">
        <v>5077</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N/A</v>
      </c>
      <c r="K1361" s="521">
        <f>'Part VIII-Threshold Criteria'!K203</f>
        <v>0</v>
      </c>
      <c r="L1361" s="521">
        <f>'Part VIII-Threshold Criteria'!L203</f>
        <v>0</v>
      </c>
      <c r="M1361" s="521">
        <f>'Part VIII-Threshold Criteria'!M203</f>
        <v>0</v>
      </c>
      <c r="N1361" s="521">
        <f>'Part VIII-Threshold Criteria'!N203</f>
        <v>0</v>
      </c>
      <c r="O1361" s="1937" t="s">
        <v>1737</v>
      </c>
      <c r="P1361" s="1895" t="str">
        <f>'Part VIII-Threshold Criteria'!P203</f>
        <v>No</v>
      </c>
      <c r="Q1361" s="1895"/>
    </row>
    <row r="1362" spans="1:22">
      <c r="A1362" s="1828"/>
      <c r="B1362" s="1842" t="s">
        <v>3753</v>
      </c>
      <c r="C1362" s="1838"/>
      <c r="D1362" s="1838"/>
      <c r="E1362" s="1838"/>
      <c r="F1362" s="1838"/>
      <c r="H1362" s="1937"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c r="A1363" s="1900">
        <f>'Part VIII-Threshold Criteria'!A205</f>
        <v>0</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1865</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2659</v>
      </c>
      <c r="C1367" s="1631"/>
      <c r="D1367" s="521"/>
      <c r="E1367" s="521"/>
      <c r="F1367" s="521"/>
      <c r="G1367" s="1899"/>
      <c r="H1367" s="1899"/>
      <c r="I1367" s="1899"/>
      <c r="J1367" s="1899"/>
      <c r="K1367" s="1899"/>
      <c r="L1367" s="1899"/>
      <c r="M1367" s="1899"/>
      <c r="O1367" s="2784" t="s">
        <v>1866</v>
      </c>
      <c r="P1367" s="1634"/>
      <c r="Q1367" s="1634"/>
    </row>
    <row r="1368" spans="1:22" ht="12.75" customHeight="1">
      <c r="A1368" s="1944" t="s">
        <v>1982</v>
      </c>
      <c r="B1368" s="1900" t="s">
        <v>1848</v>
      </c>
      <c r="C1368" s="1900"/>
      <c r="D1368" s="1900"/>
      <c r="E1368" s="1900"/>
      <c r="F1368" s="1900"/>
      <c r="G1368" s="1900"/>
      <c r="H1368" s="1937" t="s">
        <v>1737</v>
      </c>
      <c r="I1368" s="521" t="s">
        <v>635</v>
      </c>
      <c r="J1368" s="521" t="str">
        <f>'Part VIII-Threshold Criteria'!J210</f>
        <v>City of Atlanta</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City of Atlanta</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1984</v>
      </c>
      <c r="B1370" s="521" t="s">
        <v>3902</v>
      </c>
      <c r="C1370" s="2111"/>
      <c r="D1370" s="521"/>
      <c r="E1370" s="521"/>
      <c r="F1370" s="521"/>
      <c r="G1370" s="521"/>
      <c r="H1370" s="521"/>
      <c r="I1370" s="521"/>
      <c r="J1370" s="521"/>
      <c r="K1370" s="1631"/>
      <c r="L1370" s="521"/>
      <c r="M1370" s="521"/>
      <c r="N1370" s="2111"/>
      <c r="O1370" s="1937" t="s">
        <v>1984</v>
      </c>
      <c r="P1370" s="1895">
        <f>'Part VIII-Threshold Criteria'!P212</f>
        <v>0</v>
      </c>
      <c r="Q1370" s="1895"/>
    </row>
    <row r="1371" spans="1:22">
      <c r="A1371" s="1937" t="s">
        <v>749</v>
      </c>
      <c r="B1371" s="521" t="s">
        <v>3903</v>
      </c>
      <c r="D1371" s="521"/>
      <c r="E1371" s="521"/>
      <c r="F1371" s="521"/>
      <c r="G1371" s="521"/>
      <c r="H1371" s="521"/>
      <c r="I1371" s="521"/>
      <c r="J1371" s="521"/>
      <c r="K1371" s="1631"/>
      <c r="L1371" s="521"/>
      <c r="M1371" s="521"/>
      <c r="O1371" s="1937" t="s">
        <v>749</v>
      </c>
      <c r="P1371" s="1895">
        <f>'Part VIII-Threshold Criteria'!P213</f>
        <v>0</v>
      </c>
      <c r="Q1371" s="1895"/>
    </row>
    <row r="1372" spans="1:22">
      <c r="B1372" s="1842" t="s">
        <v>3753</v>
      </c>
      <c r="D1372" s="1842"/>
      <c r="E1372" s="1842"/>
      <c r="F1372" s="1842"/>
      <c r="G1372" s="1842"/>
      <c r="H1372" s="1841"/>
      <c r="I1372" s="1895"/>
      <c r="J1372" s="1895"/>
      <c r="K1372" s="1895"/>
      <c r="L1372" s="1633"/>
      <c r="M1372" s="1633"/>
      <c r="N1372" s="1633"/>
      <c r="O1372" s="1633"/>
      <c r="P1372" s="1633"/>
      <c r="Q1372" s="1633"/>
    </row>
    <row r="1373" spans="1:22" ht="123.75">
      <c r="A1373" s="1900" t="str">
        <f>'Part VIII-Threshold Criteria'!A215</f>
        <v>Water and sewer is provided by the City of Atlanta and is located in the public right of way adjacent to the site.</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1865</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2660</v>
      </c>
      <c r="C1377" s="1841"/>
      <c r="D1377" s="1899"/>
      <c r="E1377" s="1899"/>
      <c r="F1377" s="1899"/>
      <c r="G1377" s="1899"/>
      <c r="H1377" s="1899"/>
      <c r="I1377" s="1899"/>
      <c r="J1377" s="1899"/>
      <c r="K1377" s="1899"/>
      <c r="L1377" s="1899"/>
      <c r="M1377" s="1899"/>
      <c r="O1377" s="2784" t="s">
        <v>1866</v>
      </c>
      <c r="P1377" s="1634"/>
      <c r="Q1377" s="1634"/>
    </row>
    <row r="1378" spans="1:22">
      <c r="B1378" s="1216" t="s">
        <v>1192</v>
      </c>
      <c r="N1378" s="1637"/>
      <c r="P1378" s="521" t="str">
        <f>'Part VIII-Threshold Criteria'!P220</f>
        <v>No</v>
      </c>
      <c r="Q1378" s="521"/>
    </row>
    <row r="1379" spans="1:22">
      <c r="A1379" s="1937" t="s">
        <v>1982</v>
      </c>
      <c r="B1379" s="521" t="s">
        <v>4542</v>
      </c>
      <c r="D1379" s="1631"/>
      <c r="E1379" s="1631"/>
      <c r="F1379" s="1631"/>
      <c r="G1379" s="1631"/>
      <c r="H1379" s="1631"/>
      <c r="I1379" s="1631"/>
      <c r="J1379" s="1631"/>
      <c r="K1379" s="1631"/>
      <c r="L1379" s="1631"/>
      <c r="M1379" s="1631"/>
      <c r="O1379" s="1937" t="s">
        <v>1982</v>
      </c>
      <c r="P1379" s="1895" t="str">
        <f>'Part VIII-Threshold Criteria'!P221</f>
        <v>Agree</v>
      </c>
      <c r="Q1379" s="1895"/>
    </row>
    <row r="1380" spans="1:22">
      <c r="A1380" s="1937"/>
      <c r="B1380" s="1841" t="s">
        <v>1737</v>
      </c>
      <c r="C1380" s="521" t="s">
        <v>1930</v>
      </c>
      <c r="E1380" s="521"/>
      <c r="F1380" s="521"/>
      <c r="G1380" s="521"/>
      <c r="H1380" s="521"/>
      <c r="I1380" s="1631"/>
      <c r="J1380" s="1937" t="s">
        <v>1486</v>
      </c>
      <c r="K1380" s="521" t="str">
        <f>'Part VIII-Threshold Criteria'!K222</f>
        <v>Room</v>
      </c>
      <c r="L1380" s="521">
        <f>'Part VIII-Threshold Criteria'!L222</f>
        <v>0</v>
      </c>
      <c r="Q1380" s="1895"/>
    </row>
    <row r="1381" spans="1:22" ht="13.5">
      <c r="A1381" s="1937"/>
      <c r="B1381" s="1841" t="s">
        <v>1738</v>
      </c>
      <c r="C1381" s="1841" t="s">
        <v>4746</v>
      </c>
      <c r="E1381" s="1841"/>
      <c r="F1381" s="1841"/>
      <c r="G1381" s="1841"/>
      <c r="H1381" s="1841"/>
      <c r="I1381" s="1631"/>
      <c r="J1381" s="1937" t="s">
        <v>1487</v>
      </c>
      <c r="K1381" s="521" t="str">
        <f>'Part VIII-Threshold Criteria'!K223</f>
        <v>Covered Porch</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4749</v>
      </c>
      <c r="E1382" s="1841"/>
      <c r="F1382" s="1841"/>
      <c r="G1382" s="1841"/>
      <c r="H1382" s="1841"/>
      <c r="I1382" s="1631"/>
      <c r="J1382" s="1937"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2364</v>
      </c>
      <c r="C1383" s="1841" t="s">
        <v>4748</v>
      </c>
      <c r="E1383" s="1841"/>
      <c r="F1383" s="1841"/>
      <c r="G1383" s="1841"/>
      <c r="H1383" s="1841"/>
      <c r="I1383" s="1631"/>
      <c r="J1383" s="1937" t="s">
        <v>4747</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1984</v>
      </c>
      <c r="B1384" s="521" t="s">
        <v>2508</v>
      </c>
      <c r="D1384" s="521"/>
      <c r="E1384" s="521"/>
      <c r="F1384" s="521"/>
      <c r="G1384" s="521"/>
      <c r="H1384" s="521"/>
      <c r="I1384" s="521"/>
      <c r="J1384" s="521"/>
      <c r="K1384" s="1631"/>
      <c r="L1384" s="1631"/>
      <c r="M1384" s="1631"/>
      <c r="N1384" s="1631"/>
      <c r="O1384" s="1937" t="s">
        <v>1984</v>
      </c>
      <c r="P1384" s="1895" t="str">
        <f>'Part VIII-Threshold Criteria'!P226</f>
        <v>Agree</v>
      </c>
      <c r="Q1384" s="1895"/>
    </row>
    <row r="1385" spans="1:22">
      <c r="A1385" s="1937"/>
      <c r="B1385" s="521" t="s">
        <v>5110</v>
      </c>
      <c r="D1385" s="521"/>
      <c r="E1385" s="521"/>
      <c r="F1385" s="521"/>
      <c r="G1385" s="521"/>
      <c r="H1385" s="521"/>
      <c r="I1385" s="521"/>
      <c r="J1385" s="521"/>
      <c r="K1385" s="1631"/>
      <c r="L1385" s="1631"/>
      <c r="M1385" s="1631"/>
      <c r="N1385" s="1937" t="s">
        <v>3605</v>
      </c>
      <c r="O1385" s="2801">
        <f>'Part VI-Revenues &amp; Expenses'!$O$67</f>
        <v>156</v>
      </c>
      <c r="P1385" s="1955" t="s">
        <v>4978</v>
      </c>
      <c r="Q1385" s="1955"/>
    </row>
    <row r="1386" spans="1:22">
      <c r="A1386" s="1937"/>
      <c r="B1386" s="1841" t="s">
        <v>1737</v>
      </c>
      <c r="C1386" s="521" t="s">
        <v>4979</v>
      </c>
      <c r="D1386" s="521"/>
      <c r="E1386" s="521"/>
      <c r="F1386" s="521"/>
      <c r="H1386" s="1937" t="s">
        <v>4980</v>
      </c>
      <c r="I1386" s="521" t="s">
        <v>5160</v>
      </c>
      <c r="M1386" s="1631"/>
      <c r="N1386" s="1631"/>
      <c r="O1386" s="1956"/>
      <c r="P1386" s="2098" t="s">
        <v>773</v>
      </c>
      <c r="Q1386" s="2098" t="s">
        <v>4977</v>
      </c>
    </row>
    <row r="1387" spans="1:22" ht="15" customHeight="1">
      <c r="A1387" s="1895"/>
      <c r="B1387" s="1937" t="s">
        <v>2115</v>
      </c>
      <c r="C1387" s="1900" t="str">
        <f>'Part VIII-Threshold Criteria'!C229</f>
        <v xml:space="preserve">Equipped Computer Center and WiFi </v>
      </c>
      <c r="D1387" s="1900">
        <f>'Part VIII-Threshold Criteria'!D229</f>
        <v>0</v>
      </c>
      <c r="E1387" s="1900">
        <f>'Part VIII-Threshold Criteria'!E229</f>
        <v>0</v>
      </c>
      <c r="F1387" s="1900">
        <f>'Part VIII-Threshold Criteria'!F229</f>
        <v>0</v>
      </c>
      <c r="G1387" s="1900">
        <f>'Part VIII-Threshold Criteria'!G229</f>
        <v>0</v>
      </c>
      <c r="H1387" s="1937" t="s">
        <v>2115</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2116</v>
      </c>
      <c r="C1388" s="1900" t="str">
        <f>'Part VIII-Threshold Criteria'!C230</f>
        <v>Furnished Exercise /Fitness Center</v>
      </c>
      <c r="D1388" s="1900">
        <f>'Part VIII-Threshold Criteria'!D230</f>
        <v>0</v>
      </c>
      <c r="E1388" s="1900">
        <f>'Part VIII-Threshold Criteria'!E230</f>
        <v>0</v>
      </c>
      <c r="F1388" s="1900">
        <f>'Part VIII-Threshold Criteria'!F230</f>
        <v>0</v>
      </c>
      <c r="G1388" s="1900">
        <f>'Part VIII-Threshold Criteria'!G230</f>
        <v>0</v>
      </c>
      <c r="H1388" s="1937" t="s">
        <v>2116</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Wellness Center</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4988</v>
      </c>
      <c r="C1390" s="1900" t="str">
        <f>'Part VIII-Threshold Criteria'!C232</f>
        <v>Fenced community gardens</v>
      </c>
      <c r="D1390" s="1900">
        <f>'Part VIII-Threshold Criteria'!D232</f>
        <v>0</v>
      </c>
      <c r="E1390" s="1900">
        <f>'Part VIII-Threshold Criteria'!E232</f>
        <v>0</v>
      </c>
      <c r="F1390" s="1900">
        <f>'Part VIII-Threshold Criteria'!F232</f>
        <v>0</v>
      </c>
      <c r="G1390" s="1900">
        <f>'Part VIII-Threshold Criteria'!G232</f>
        <v>0</v>
      </c>
      <c r="H1390" s="1937" t="s">
        <v>4988</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3464</v>
      </c>
      <c r="E1392" s="521"/>
      <c r="F1392" s="521"/>
      <c r="L1392" s="1631"/>
      <c r="M1392" s="1631"/>
      <c r="O1392" s="1937" t="s">
        <v>1737</v>
      </c>
      <c r="P1392" s="1895" t="str">
        <f>'Part VIII-Threshold Criteria'!P234</f>
        <v>Yes</v>
      </c>
      <c r="Q1392" s="1895"/>
    </row>
    <row r="1393" spans="1:22">
      <c r="B1393" s="1841" t="s">
        <v>1738</v>
      </c>
      <c r="C1393" s="1841" t="s">
        <v>2807</v>
      </c>
      <c r="E1393" s="1841"/>
      <c r="F1393" s="1841"/>
      <c r="L1393" s="1631"/>
      <c r="M1393" s="1631"/>
      <c r="O1393" s="1937" t="s">
        <v>1738</v>
      </c>
      <c r="P1393" s="1895" t="str">
        <f>'Part VIII-Threshold Criteria'!P235</f>
        <v>Yes</v>
      </c>
      <c r="Q1393" s="1895"/>
    </row>
    <row r="1394" spans="1:22">
      <c r="B1394" s="1841" t="s">
        <v>1739</v>
      </c>
      <c r="C1394" s="1841" t="s">
        <v>2808</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2364</v>
      </c>
      <c r="C1395" s="1841" t="s">
        <v>2809</v>
      </c>
      <c r="E1395" s="1841"/>
      <c r="F1395" s="1841"/>
      <c r="G1395" s="1841"/>
      <c r="H1395" s="1841"/>
      <c r="I1395" s="1631"/>
      <c r="J1395" s="1631"/>
      <c r="K1395" s="1631"/>
      <c r="L1395" s="1631"/>
      <c r="M1395" s="1631"/>
      <c r="O1395" s="1937" t="s">
        <v>2364</v>
      </c>
      <c r="P1395" s="1895" t="str">
        <f>'Part VIII-Threshold Criteria'!P237</f>
        <v>Yes</v>
      </c>
      <c r="Q1395" s="1895"/>
    </row>
    <row r="1396" spans="1:22">
      <c r="A1396" s="1937"/>
      <c r="B1396" s="1841" t="s">
        <v>1549</v>
      </c>
      <c r="C1396" s="1841" t="s">
        <v>2810</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2798</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2799</v>
      </c>
      <c r="P1398" s="1895" t="str">
        <f>'Part VIII-Threshold Criteria'!P240</f>
        <v>No</v>
      </c>
      <c r="Q1398" s="1895"/>
    </row>
    <row r="1399" spans="1:22">
      <c r="A1399" s="1937" t="s">
        <v>2114</v>
      </c>
      <c r="B1399" s="521" t="s">
        <v>3662</v>
      </c>
      <c r="C1399" s="521"/>
      <c r="E1399" s="521"/>
      <c r="F1399" s="521"/>
      <c r="G1399" s="521"/>
      <c r="H1399" s="521"/>
      <c r="I1399" s="521"/>
      <c r="J1399" s="521"/>
      <c r="K1399" s="1631"/>
      <c r="M1399" s="1937" t="s">
        <v>4832</v>
      </c>
      <c r="N1399" s="1841" t="str">
        <f>'Part I-Project Information'!$H$82</f>
        <v>Family</v>
      </c>
      <c r="O1399" s="1937" t="s">
        <v>2114</v>
      </c>
      <c r="P1399" s="1895" t="str">
        <f>'Part VIII-Threshold Criteria'!P241</f>
        <v>N/A</v>
      </c>
      <c r="Q1399" s="1895"/>
    </row>
    <row r="1400" spans="1:22">
      <c r="B1400" s="1937" t="s">
        <v>1737</v>
      </c>
      <c r="C1400" s="521" t="s">
        <v>1255</v>
      </c>
      <c r="E1400" s="1631"/>
      <c r="F1400" s="1631"/>
      <c r="G1400" s="521"/>
      <c r="H1400" s="1841"/>
      <c r="I1400" s="1631"/>
      <c r="J1400" s="1841"/>
      <c r="K1400" s="1631"/>
      <c r="L1400" s="1841"/>
      <c r="M1400" s="1841"/>
      <c r="O1400" s="1937" t="s">
        <v>1737</v>
      </c>
      <c r="P1400" s="1895">
        <f>'Part VIII-Threshold Criteria'!P242</f>
        <v>0</v>
      </c>
      <c r="Q1400" s="1895"/>
    </row>
    <row r="1401" spans="1:22">
      <c r="B1401" s="1937" t="s">
        <v>1738</v>
      </c>
      <c r="C1401" s="521" t="s">
        <v>4762</v>
      </c>
      <c r="E1401" s="1631"/>
      <c r="F1401" s="1631"/>
      <c r="G1401" s="1841"/>
      <c r="H1401" s="1841"/>
      <c r="I1401" s="1631"/>
      <c r="J1401" s="1841"/>
      <c r="K1401" s="1631"/>
      <c r="L1401" s="1841"/>
      <c r="M1401" s="1841"/>
      <c r="O1401" s="1937" t="s">
        <v>1738</v>
      </c>
      <c r="P1401" s="1895">
        <f>'Part VIII-Threshold Criteria'!P243</f>
        <v>0</v>
      </c>
      <c r="Q1401" s="1895"/>
    </row>
    <row r="1402" spans="1:22">
      <c r="B1402" s="1842" t="s">
        <v>3753</v>
      </c>
      <c r="D1402" s="1842"/>
      <c r="E1402" s="1842"/>
      <c r="F1402" s="1842"/>
      <c r="G1402" s="1842"/>
      <c r="H1402" s="1841"/>
      <c r="I1402" s="1895"/>
      <c r="J1402" s="1895"/>
      <c r="K1402" s="1895"/>
      <c r="L1402" s="1633"/>
      <c r="M1402" s="1633"/>
      <c r="N1402" s="1633"/>
      <c r="O1402" s="1633"/>
      <c r="P1402" s="1633"/>
      <c r="Q1402" s="1633"/>
    </row>
    <row r="1403" spans="1:22" ht="168.75">
      <c r="A1403" s="1900" t="str">
        <f>'Part VIII-Threshold Criteria'!A245</f>
        <v>The project scope will include the development of the required site amenities and unit amenities.  None of the proposed amenities require a waiver.</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c r="A1404" s="2111"/>
      <c r="B1404" s="1897" t="s">
        <v>1865</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2781</v>
      </c>
      <c r="B1407" s="1631" t="s">
        <v>2661</v>
      </c>
      <c r="C1407" s="1631"/>
      <c r="D1407" s="521"/>
      <c r="E1407" s="521"/>
      <c r="F1407" s="521"/>
      <c r="G1407" s="521"/>
      <c r="H1407" s="1899"/>
      <c r="I1407" s="1899"/>
      <c r="J1407" s="1899"/>
      <c r="K1407" s="1899"/>
      <c r="L1407" s="1872"/>
      <c r="M1407" s="2802"/>
      <c r="O1407" s="2784" t="s">
        <v>1866</v>
      </c>
      <c r="P1407" s="1634"/>
      <c r="Q1407" s="1634"/>
    </row>
    <row r="1408" spans="1:22">
      <c r="A1408" s="1937" t="s">
        <v>1982</v>
      </c>
      <c r="B1408" s="521" t="s">
        <v>1268</v>
      </c>
      <c r="D1408" s="1631"/>
      <c r="E1408" s="521"/>
      <c r="F1408" s="521"/>
      <c r="J1408" s="1937" t="s">
        <v>1982</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1984</v>
      </c>
      <c r="B1409" s="521" t="s">
        <v>2811</v>
      </c>
      <c r="D1409" s="521"/>
      <c r="E1409" s="521"/>
      <c r="F1409" s="521"/>
      <c r="J1409" s="1937" t="s">
        <v>1984</v>
      </c>
      <c r="K1409" s="2803">
        <f>'Part VIII-Threshold Criteria'!K251</f>
        <v>0</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1944</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2542</v>
      </c>
      <c r="D1411" s="521"/>
      <c r="E1411" s="521"/>
      <c r="F1411" s="521"/>
      <c r="G1411" s="521"/>
      <c r="H1411" s="521"/>
      <c r="I1411" s="1631"/>
      <c r="J1411" s="1631"/>
      <c r="K1411" s="2111"/>
      <c r="L1411" s="2111"/>
      <c r="M1411" s="521"/>
      <c r="N1411" s="2804"/>
      <c r="O1411" s="521"/>
      <c r="P1411" s="521">
        <f>'Part VIII-Threshold Criteria'!P253</f>
        <v>0</v>
      </c>
      <c r="Q1411" s="521"/>
    </row>
    <row r="1412" spans="1:17">
      <c r="A1412" s="1937" t="s">
        <v>749</v>
      </c>
      <c r="B1412" s="521" t="s">
        <v>4908</v>
      </c>
      <c r="D1412" s="521"/>
      <c r="E1412" s="521"/>
      <c r="F1412" s="521"/>
      <c r="J1412" s="1937" t="s">
        <v>749</v>
      </c>
      <c r="K1412" s="2803">
        <f>'Part VIII-Threshold Criteria'!K254</f>
        <v>0</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4768</v>
      </c>
      <c r="D1413" s="521"/>
      <c r="E1413" s="521"/>
      <c r="F1413" s="521"/>
    </row>
    <row r="1414" spans="1:17">
      <c r="A1414" s="1937"/>
      <c r="C1414" s="521" t="s">
        <v>4765</v>
      </c>
      <c r="D1414" s="521"/>
      <c r="E1414" s="521"/>
      <c r="F1414" s="521"/>
      <c r="K1414" s="521" t="s">
        <v>4764</v>
      </c>
      <c r="L1414" s="2797">
        <f>'Part VIII-Threshold Criteria'!L256</f>
        <v>0</v>
      </c>
      <c r="M1414" s="521"/>
      <c r="N1414" s="2804"/>
      <c r="O1414" s="2804"/>
      <c r="P1414" s="521">
        <f>'Part VIII-Threshold Criteria'!P256</f>
        <v>0</v>
      </c>
      <c r="Q1414" s="521"/>
    </row>
    <row r="1415" spans="1:17">
      <c r="A1415" s="1937"/>
      <c r="B1415" s="521"/>
      <c r="C1415" s="1216" t="s">
        <v>4766</v>
      </c>
      <c r="D1415" s="521"/>
      <c r="E1415" s="521"/>
      <c r="F1415" s="521"/>
      <c r="K1415" s="1937" t="s">
        <v>4767</v>
      </c>
      <c r="L1415" s="2805">
        <f>'Part VIII-Threshold Criteria'!L257</f>
        <v>0</v>
      </c>
      <c r="M1415" s="521"/>
      <c r="N1415" s="1957"/>
      <c r="O1415" s="1957"/>
      <c r="P1415" s="1895">
        <f>'Part VIII-Threshold Criteria'!P257</f>
        <v>0</v>
      </c>
      <c r="Q1415" s="1895"/>
    </row>
    <row r="1416" spans="1:17">
      <c r="A1416" s="1937"/>
      <c r="B1416" s="521" t="s">
        <v>4763</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2114</v>
      </c>
      <c r="B1417" s="521" t="s">
        <v>3905</v>
      </c>
      <c r="D1417" s="521"/>
      <c r="E1417" s="521"/>
      <c r="F1417" s="521"/>
      <c r="G1417" s="521"/>
      <c r="H1417" s="521"/>
      <c r="I1417" s="1631"/>
      <c r="J1417" s="1631"/>
      <c r="K1417" s="1631"/>
      <c r="M1417" s="521"/>
      <c r="N1417" s="1957"/>
      <c r="O1417" s="1937" t="s">
        <v>2114</v>
      </c>
      <c r="P1417" s="1895">
        <f>'Part VIII-Threshold Criteria'!P259</f>
        <v>0</v>
      </c>
      <c r="Q1417" s="1895"/>
    </row>
    <row r="1418" spans="1:17" ht="12.75" customHeight="1">
      <c r="A1418" s="1937"/>
      <c r="B1418" s="1900" t="s">
        <v>3761</v>
      </c>
      <c r="C1418" s="1900"/>
      <c r="D1418" s="1900"/>
      <c r="E1418" s="1900"/>
      <c r="F1418" s="1900"/>
      <c r="G1418" s="1900"/>
      <c r="H1418" s="1216" t="s">
        <v>4114</v>
      </c>
      <c r="K1418" s="1631"/>
      <c r="L1418" s="2111"/>
      <c r="M1418" s="521"/>
      <c r="N1418" s="2804"/>
      <c r="O1418" s="521" t="s">
        <v>1737</v>
      </c>
      <c r="P1418" s="521">
        <f>'Part VIII-Threshold Criteria'!P260</f>
        <v>0</v>
      </c>
      <c r="Q1418" s="521"/>
    </row>
    <row r="1419" spans="1:17">
      <c r="A1419" s="1937"/>
      <c r="B1419" s="1900"/>
      <c r="C1419" s="1900"/>
      <c r="D1419" s="1900"/>
      <c r="E1419" s="1900"/>
      <c r="F1419" s="1900"/>
      <c r="G1419" s="1900"/>
      <c r="H1419" s="1216" t="s">
        <v>4115</v>
      </c>
      <c r="K1419" s="1631"/>
      <c r="M1419" s="521"/>
      <c r="N1419" s="1957"/>
      <c r="O1419" s="1937" t="s">
        <v>1738</v>
      </c>
      <c r="P1419" s="1895">
        <f>'Part VIII-Threshold Criteria'!P261</f>
        <v>0</v>
      </c>
      <c r="Q1419" s="1895"/>
    </row>
    <row r="1420" spans="1:17">
      <c r="A1420" s="1937"/>
      <c r="B1420" s="521"/>
      <c r="C1420" s="2111"/>
      <c r="D1420" s="521"/>
      <c r="E1420" s="521"/>
      <c r="F1420" s="521"/>
      <c r="G1420" s="521"/>
      <c r="H1420" s="1216" t="s">
        <v>4116</v>
      </c>
      <c r="K1420" s="1631"/>
      <c r="M1420" s="521"/>
      <c r="N1420" s="1957"/>
      <c r="O1420" s="1937" t="s">
        <v>1739</v>
      </c>
      <c r="P1420" s="1895">
        <f>'Part VIII-Threshold Criteria'!P262</f>
        <v>0</v>
      </c>
      <c r="Q1420" s="1895"/>
    </row>
    <row r="1421" spans="1:17">
      <c r="A1421" s="1937"/>
      <c r="B1421" s="521"/>
      <c r="C1421" s="2111"/>
      <c r="D1421" s="521"/>
      <c r="E1421" s="521"/>
      <c r="F1421" s="521"/>
      <c r="G1421" s="521"/>
      <c r="H1421" s="1216" t="s">
        <v>4117</v>
      </c>
      <c r="K1421" s="1631"/>
      <c r="M1421" s="521"/>
      <c r="N1421" s="1957"/>
      <c r="O1421" s="1937" t="s">
        <v>2364</v>
      </c>
      <c r="P1421" s="1895">
        <f>'Part VIII-Threshold Criteria'!P263</f>
        <v>0</v>
      </c>
      <c r="Q1421" s="1895"/>
    </row>
    <row r="1422" spans="1:17" ht="12.75" customHeight="1">
      <c r="B1422" s="1900" t="s">
        <v>5161</v>
      </c>
      <c r="C1422" s="1900"/>
      <c r="D1422" s="1900"/>
      <c r="E1422" s="1900"/>
      <c r="F1422" s="1900"/>
      <c r="G1422" s="1900"/>
      <c r="H1422" s="1900"/>
      <c r="I1422" s="1900"/>
      <c r="J1422" s="1900"/>
      <c r="K1422" s="1900"/>
      <c r="L1422" s="1900"/>
      <c r="M1422" s="1900"/>
      <c r="N1422" s="1900"/>
      <c r="O1422" s="1944"/>
      <c r="P1422" s="1948">
        <f>'Part VIII-Threshold Criteria'!P264</f>
        <v>0</v>
      </c>
      <c r="Q1422" s="1948"/>
    </row>
    <row r="1423" spans="1:17" ht="12.75" customHeight="1">
      <c r="A1423" s="1944" t="s">
        <v>1735</v>
      </c>
      <c r="B1423" s="1900" t="s">
        <v>5162</v>
      </c>
      <c r="C1423" s="1900"/>
      <c r="D1423" s="1900"/>
      <c r="E1423" s="1900"/>
      <c r="F1423" s="1900"/>
      <c r="G1423" s="1900"/>
      <c r="H1423" s="1900"/>
      <c r="I1423" s="1900"/>
      <c r="J1423" s="1900"/>
      <c r="K1423" s="1900"/>
      <c r="L1423" s="1900"/>
      <c r="M1423" s="1900"/>
      <c r="N1423" s="1900"/>
      <c r="O1423" s="1944" t="s">
        <v>1735</v>
      </c>
      <c r="P1423" s="1948">
        <f>'Part VIII-Threshold Criteria'!P265</f>
        <v>0</v>
      </c>
      <c r="Q1423" s="1948"/>
    </row>
    <row r="1424" spans="1:17" ht="12.75" customHeight="1">
      <c r="B1424" s="1900" t="s">
        <v>5111</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c r="B1425" s="521" t="s">
        <v>1737</v>
      </c>
      <c r="C1425" s="521" t="s">
        <v>5078</v>
      </c>
      <c r="D1425" s="2111"/>
      <c r="E1425" s="521"/>
      <c r="F1425" s="521"/>
      <c r="G1425" s="2111"/>
      <c r="H1425" s="2111"/>
      <c r="I1425" s="2111"/>
      <c r="J1425" s="2111"/>
      <c r="K1425" s="2111"/>
      <c r="L1425" s="1631"/>
      <c r="M1425" s="1631"/>
      <c r="N1425" s="2111"/>
      <c r="O1425" s="1937" t="s">
        <v>1737</v>
      </c>
      <c r="P1425" s="1895">
        <f>'Part VIII-Threshold Criteria'!P267</f>
        <v>0</v>
      </c>
      <c r="Q1425" s="1895"/>
    </row>
    <row r="1426" spans="1:22">
      <c r="B1426" s="521"/>
      <c r="C1426" s="2111"/>
      <c r="D1426" s="1955" t="s">
        <v>3863</v>
      </c>
      <c r="E1426" s="521">
        <f>'Part VIII-Threshold Criteria'!E268</f>
        <v>0</v>
      </c>
      <c r="F1426" s="521">
        <f>'Part VIII-Threshold Criteria'!F268</f>
        <v>0</v>
      </c>
      <c r="G1426" s="521">
        <f>'Part VIII-Threshold Criteria'!G268</f>
        <v>0</v>
      </c>
      <c r="H1426" s="521" t="s">
        <v>4949</v>
      </c>
      <c r="I1426" s="521" t="str">
        <f>'Part VIII-Threshold Criteria'!I268</f>
        <v>&lt;&lt; Select Entity Type &gt;&gt;</v>
      </c>
      <c r="J1426" s="521">
        <f>'Part VIII-Threshold Criteria'!J268</f>
        <v>0</v>
      </c>
      <c r="K1426" s="521">
        <f>'Part VIII-Threshold Criteria'!K268</f>
        <v>0</v>
      </c>
      <c r="L1426" s="521" t="s">
        <v>4951</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5079</v>
      </c>
      <c r="E1427" s="1841"/>
      <c r="F1427" s="1841"/>
      <c r="G1427" s="1841"/>
      <c r="H1427" s="1841"/>
      <c r="I1427" s="1631"/>
      <c r="J1427" s="1631"/>
      <c r="K1427" s="1631"/>
      <c r="L1427" s="1631"/>
      <c r="M1427" s="1631"/>
      <c r="O1427" s="1937" t="s">
        <v>1738</v>
      </c>
      <c r="P1427" s="1895">
        <f>'Part VIII-Threshold Criteria'!P269</f>
        <v>0</v>
      </c>
      <c r="Q1427" s="1895"/>
      <c r="S1427" s="1937"/>
      <c r="U1427" s="1921"/>
    </row>
    <row r="1428" spans="1:22">
      <c r="A1428" s="1937"/>
      <c r="B1428" s="1937"/>
      <c r="D1428" s="1216" t="s">
        <v>2300</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3753</v>
      </c>
      <c r="D1429" s="1842"/>
      <c r="E1429" s="1842"/>
      <c r="F1429" s="1842"/>
      <c r="G1429" s="1842"/>
      <c r="H1429" s="1841"/>
      <c r="I1429" s="1895"/>
      <c r="J1429" s="1895"/>
      <c r="K1429" s="1895"/>
      <c r="L1429" s="1633"/>
      <c r="M1429" s="1633"/>
      <c r="N1429" s="1633"/>
      <c r="O1429" s="1633"/>
      <c r="P1429" s="1633"/>
      <c r="Q1429" s="1633"/>
    </row>
    <row r="1430" spans="1:22" ht="45">
      <c r="A1430" s="1900" t="str">
        <f>'Part VIII-Threshold Criteria'!A272</f>
        <v>This is not a rehab development.</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c r="B1431" s="1897" t="s">
        <v>1865</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2250</v>
      </c>
      <c r="B1434" s="1631" t="s">
        <v>2662</v>
      </c>
      <c r="C1434" s="1631"/>
      <c r="D1434" s="521"/>
      <c r="E1434" s="521"/>
      <c r="F1434" s="521"/>
      <c r="G1434" s="521"/>
      <c r="H1434" s="1900"/>
      <c r="I1434" s="1900"/>
      <c r="J1434" s="1900"/>
      <c r="K1434" s="1900"/>
      <c r="L1434" s="1900"/>
      <c r="M1434" s="1900"/>
      <c r="N1434" s="2111"/>
      <c r="O1434" s="1900" t="s">
        <v>1866</v>
      </c>
      <c r="P1434" s="1634"/>
      <c r="Q1434" s="1634"/>
    </row>
    <row r="1435" spans="1:22" ht="12.75" customHeight="1">
      <c r="A1435" s="1944" t="s">
        <v>1982</v>
      </c>
      <c r="B1435" s="1900" t="s">
        <v>4962</v>
      </c>
      <c r="C1435" s="1900"/>
      <c r="D1435" s="1900"/>
      <c r="E1435" s="1900"/>
      <c r="F1435" s="1900"/>
      <c r="G1435" s="1900"/>
      <c r="H1435" s="1900"/>
      <c r="I1435" s="1900"/>
      <c r="J1435" s="1900"/>
      <c r="K1435" s="1900"/>
      <c r="L1435" s="1900"/>
      <c r="M1435" s="1900"/>
      <c r="N1435" s="1900"/>
      <c r="O1435" s="1944" t="s">
        <v>1982</v>
      </c>
      <c r="P1435" s="1948" t="str">
        <f>'Part VIII-Threshold Criteria'!P277</f>
        <v>Yes</v>
      </c>
      <c r="Q1435" s="1948"/>
      <c r="R1435" s="1913"/>
      <c r="S1435" s="1913"/>
      <c r="T1435" s="1913"/>
      <c r="U1435" s="1913"/>
      <c r="V1435" s="1913"/>
    </row>
    <row r="1436" spans="1:22">
      <c r="A1436" s="1937"/>
      <c r="B1436" s="521" t="s">
        <v>3756</v>
      </c>
      <c r="D1436" s="521"/>
      <c r="E1436" s="521"/>
      <c r="F1436" s="521"/>
      <c r="G1436" s="521"/>
      <c r="H1436" s="521"/>
      <c r="I1436" s="521"/>
      <c r="J1436" s="521"/>
      <c r="K1436" s="521"/>
      <c r="L1436" s="521"/>
      <c r="M1436" s="521"/>
      <c r="O1436" s="1937"/>
      <c r="P1436" s="521" t="str">
        <f>'Part VIII-Threshold Criteria'!P278</f>
        <v>Yes</v>
      </c>
      <c r="Q1436" s="521"/>
    </row>
    <row r="1437" spans="1:22">
      <c r="A1437" s="1937" t="s">
        <v>1984</v>
      </c>
      <c r="B1437" s="521" t="s">
        <v>3757</v>
      </c>
      <c r="D1437" s="521"/>
      <c r="E1437" s="521"/>
      <c r="F1437" s="521"/>
      <c r="G1437" s="521"/>
      <c r="H1437" s="521"/>
      <c r="I1437" s="521"/>
      <c r="J1437" s="521"/>
      <c r="K1437" s="521"/>
      <c r="L1437" s="521"/>
      <c r="M1437" s="521"/>
      <c r="O1437" s="1937" t="s">
        <v>1984</v>
      </c>
      <c r="P1437" s="1895" t="str">
        <f>'Part VIII-Threshold Criteria'!P279</f>
        <v>Yes</v>
      </c>
      <c r="Q1437" s="1895"/>
    </row>
    <row r="1438" spans="1:22">
      <c r="A1438" s="1937" t="s">
        <v>749</v>
      </c>
      <c r="B1438" s="521" t="s">
        <v>4118</v>
      </c>
      <c r="C1438" s="2111"/>
      <c r="D1438" s="521"/>
      <c r="E1438" s="521"/>
      <c r="F1438" s="521"/>
      <c r="G1438" s="521"/>
      <c r="H1438" s="521"/>
      <c r="I1438" s="521"/>
      <c r="J1438" s="521"/>
      <c r="K1438" s="521"/>
      <c r="L1438" s="521"/>
      <c r="M1438" s="521"/>
      <c r="N1438" s="2111"/>
      <c r="O1438" s="1937" t="s">
        <v>749</v>
      </c>
      <c r="P1438" s="1895">
        <f>'Part VIII-Threshold Criteria'!P280</f>
        <v>0</v>
      </c>
      <c r="Q1438" s="1895"/>
    </row>
    <row r="1439" spans="1:22">
      <c r="A1439" s="1937"/>
      <c r="B1439" s="521" t="s">
        <v>3758</v>
      </c>
      <c r="D1439" s="521"/>
      <c r="E1439" s="521"/>
      <c r="F1439" s="521"/>
      <c r="G1439" s="521"/>
      <c r="H1439" s="521"/>
      <c r="I1439" s="521"/>
      <c r="J1439" s="521"/>
      <c r="K1439" s="521"/>
      <c r="L1439" s="521"/>
      <c r="M1439" s="521"/>
      <c r="O1439" s="1937"/>
      <c r="P1439" s="1895">
        <f>'Part VIII-Threshold Criteria'!P281</f>
        <v>0</v>
      </c>
      <c r="Q1439" s="1895"/>
    </row>
    <row r="1440" spans="1:22" ht="12.75" customHeight="1">
      <c r="A1440" s="1944" t="s">
        <v>2114</v>
      </c>
      <c r="B1440" s="1900" t="s">
        <v>4965</v>
      </c>
      <c r="C1440" s="1900"/>
      <c r="D1440" s="1900"/>
      <c r="E1440" s="1900"/>
      <c r="F1440" s="1900"/>
      <c r="G1440" s="1900"/>
      <c r="H1440" s="1900"/>
      <c r="I1440" s="1900"/>
      <c r="J1440" s="1900"/>
      <c r="K1440" s="1900"/>
      <c r="L1440" s="1900"/>
      <c r="M1440" s="1900"/>
      <c r="N1440" s="1900"/>
      <c r="O1440" s="1937" t="s">
        <v>2114</v>
      </c>
      <c r="P1440" s="1948">
        <f>'Part VIII-Threshold Criteria'!P282</f>
        <v>0</v>
      </c>
      <c r="Q1440" s="1948"/>
    </row>
    <row r="1441" spans="1:22">
      <c r="B1441" s="1842" t="s">
        <v>3753</v>
      </c>
      <c r="D1441" s="1842"/>
      <c r="E1441" s="1842"/>
      <c r="F1441" s="1842"/>
      <c r="G1441" s="1842"/>
      <c r="H1441" s="1841"/>
      <c r="I1441" s="1895"/>
      <c r="J1441" s="1895"/>
      <c r="K1441" s="1895"/>
      <c r="L1441" s="1633"/>
      <c r="M1441" s="1633"/>
      <c r="N1441" s="1633"/>
      <c r="O1441" s="1633"/>
      <c r="P1441" s="1633"/>
      <c r="Q1441" s="1633"/>
    </row>
    <row r="1442" spans="1:22" ht="15">
      <c r="A1442" s="1900">
        <f>'Part VIII-Threshold Criteria'!A284</f>
        <v>0</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c r="B1443" s="1897" t="s">
        <v>1865</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4100</v>
      </c>
      <c r="B1446" s="1947" t="s">
        <v>2663</v>
      </c>
      <c r="C1446" s="1947"/>
      <c r="D1446" s="1899"/>
      <c r="E1446" s="1899"/>
      <c r="F1446" s="1899"/>
      <c r="G1446" s="1899"/>
      <c r="H1446" s="1899"/>
      <c r="I1446" s="1899"/>
      <c r="J1446" s="1899"/>
      <c r="K1446" s="1899"/>
      <c r="L1446" s="1899"/>
      <c r="M1446" s="1899"/>
      <c r="O1446" s="2784" t="s">
        <v>1866</v>
      </c>
      <c r="P1446" s="1634"/>
      <c r="Q1446" s="1634"/>
    </row>
    <row r="1447" spans="1:22" ht="12.75" customHeight="1">
      <c r="A1447" s="1921" t="s">
        <v>1982</v>
      </c>
      <c r="B1447" s="1900" t="s">
        <v>4964</v>
      </c>
      <c r="C1447" s="1900"/>
      <c r="D1447" s="1900"/>
      <c r="E1447" s="1900"/>
      <c r="F1447" s="1900"/>
      <c r="G1447" s="1900"/>
      <c r="H1447" s="1900"/>
      <c r="I1447" s="1900"/>
      <c r="J1447" s="1900"/>
      <c r="K1447" s="1900"/>
      <c r="L1447" s="1900"/>
      <c r="M1447" s="1900"/>
      <c r="N1447" s="1900"/>
      <c r="O1447" s="1921" t="s">
        <v>1982</v>
      </c>
      <c r="P1447" s="1921" t="str">
        <f>'Part VIII-Threshold Criteria'!P289</f>
        <v>Agree</v>
      </c>
      <c r="Q1447" s="1921"/>
      <c r="R1447" s="1913"/>
      <c r="S1447" s="1913"/>
      <c r="T1447" s="1913"/>
      <c r="U1447" s="1913"/>
      <c r="V1447" s="1913"/>
    </row>
    <row r="1448" spans="1:22" ht="12.75" customHeight="1">
      <c r="A1448" s="1944"/>
      <c r="B1448" s="1900" t="s">
        <v>2813</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ht="13.5">
      <c r="A1449" s="1828" t="s">
        <v>1984</v>
      </c>
      <c r="B1449" s="1634" t="s">
        <v>310</v>
      </c>
      <c r="D1449" s="1631"/>
      <c r="E1449" s="1631"/>
      <c r="J1449" s="1953" t="s">
        <v>4783</v>
      </c>
      <c r="K1449" s="1710" t="str">
        <f>'Part VIII-Threshold Criteria'!K291</f>
        <v>HIRL National Green Building Standard - Min Bronze</v>
      </c>
      <c r="L1449" s="1710">
        <f>'Part VIII-Threshold Criteria'!L291</f>
        <v>0</v>
      </c>
      <c r="M1449" s="1710">
        <f>'Part VIII-Threshold Criteria'!M291</f>
        <v>0</v>
      </c>
      <c r="N1449" s="1710">
        <f>'Part VIII-Threshold Criteria'!N291</f>
        <v>0</v>
      </c>
      <c r="O1449" s="1937" t="s">
        <v>1984</v>
      </c>
      <c r="P1449" s="2806" t="str">
        <f>'Part VIII-Threshold Criteria'!P291</f>
        <v>Agree</v>
      </c>
      <c r="Q1449" s="2806"/>
      <c r="R1449" s="2807"/>
      <c r="S1449" s="1845"/>
    </row>
    <row r="1450" spans="1:22" ht="13.5">
      <c r="A1450" s="1828"/>
      <c r="B1450" s="1634"/>
      <c r="C1450" s="2111"/>
      <c r="D1450" s="1631"/>
      <c r="E1450" s="1631"/>
      <c r="F1450" s="2111"/>
      <c r="G1450" s="2111"/>
      <c r="H1450" s="2111"/>
      <c r="I1450" s="2111"/>
      <c r="J1450" s="1955" t="s">
        <v>4966</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5">
      <c r="A1451" s="1631"/>
      <c r="B1451" s="1866" t="s">
        <v>3753</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35">
      <c r="A1452" s="1900" t="str">
        <f>'Part VIII-Threshold Criteria'!A294</f>
        <v>The development will meet the requirements of the National Green Building Standard certification.</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5">
      <c r="B1453" s="1897" t="s">
        <v>1865</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4101</v>
      </c>
      <c r="B1456" s="1947" t="s">
        <v>2664</v>
      </c>
      <c r="C1456" s="1954"/>
      <c r="D1456" s="1899"/>
      <c r="E1456" s="1899"/>
      <c r="F1456" s="1899"/>
      <c r="G1456" s="1899"/>
      <c r="H1456" s="1899"/>
      <c r="I1456" s="1899"/>
      <c r="J1456" s="1899"/>
      <c r="K1456" s="1899"/>
      <c r="L1456" s="1899"/>
      <c r="M1456" s="1899"/>
      <c r="O1456" s="2784" t="s">
        <v>1866</v>
      </c>
      <c r="P1456" s="1634"/>
      <c r="Q1456" s="1634"/>
    </row>
    <row r="1457" spans="1:22">
      <c r="A1457" s="1631" t="s">
        <v>1982</v>
      </c>
      <c r="B1457" s="1631" t="s">
        <v>4545</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3909</v>
      </c>
      <c r="D1458" s="1900"/>
      <c r="E1458" s="1900"/>
      <c r="F1458" s="1900"/>
      <c r="G1458" s="1900"/>
      <c r="H1458" s="1900"/>
      <c r="I1458" s="1900"/>
      <c r="J1458" s="1900"/>
      <c r="K1458" s="1900"/>
      <c r="L1458" s="1900"/>
      <c r="M1458" s="1900"/>
      <c r="N1458" s="1900"/>
      <c r="O1458" s="1944" t="s">
        <v>2725</v>
      </c>
      <c r="P1458" s="1948" t="str">
        <f>'Part VIII-Threshold Criteria'!P300</f>
        <v>Yes</v>
      </c>
      <c r="Q1458" s="1948"/>
    </row>
    <row r="1459" spans="1:22" ht="12.75" customHeight="1">
      <c r="A1459" s="1944"/>
      <c r="B1459" s="1952" t="s">
        <v>1738</v>
      </c>
      <c r="C1459" s="1900" t="s">
        <v>3910</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3908</v>
      </c>
      <c r="D1460" s="1900"/>
      <c r="E1460" s="1900"/>
      <c r="F1460" s="1900"/>
      <c r="G1460" s="1900"/>
      <c r="H1460" s="1900"/>
      <c r="I1460" s="1900"/>
      <c r="J1460" s="1900"/>
      <c r="K1460" s="1900"/>
      <c r="L1460" s="1900"/>
      <c r="M1460" s="1900"/>
      <c r="N1460" s="1900"/>
      <c r="O1460" s="1944" t="s">
        <v>1739</v>
      </c>
      <c r="P1460" s="1948">
        <f>'Part VIII-Threshold Criteria'!P302</f>
        <v>0</v>
      </c>
      <c r="Q1460" s="1948"/>
      <c r="R1460" s="1913"/>
      <c r="S1460" s="1913"/>
      <c r="T1460" s="1913"/>
      <c r="U1460" s="1913"/>
      <c r="V1460" s="1913"/>
    </row>
    <row r="1461" spans="1:22">
      <c r="A1461" s="1941" t="s">
        <v>1984</v>
      </c>
      <c r="B1461" s="1947" t="s">
        <v>3875</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5112</v>
      </c>
      <c r="D1462" s="1900"/>
      <c r="E1462" s="1900"/>
      <c r="F1462" s="1900"/>
      <c r="G1462" s="1900"/>
      <c r="H1462" s="1900"/>
      <c r="I1462" s="1921"/>
      <c r="J1462" s="1904" t="s">
        <v>3793</v>
      </c>
      <c r="K1462" s="1955"/>
      <c r="L1462" s="1955"/>
      <c r="M1462" s="1961" t="s">
        <v>3763</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3764</v>
      </c>
      <c r="N1463" s="521" t="s">
        <v>3792</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4121</v>
      </c>
      <c r="J1464" s="1647"/>
      <c r="K1464" s="2163">
        <f>'Part VIII-Threshold Criteria'!K306</f>
        <v>8</v>
      </c>
      <c r="L1464" s="1654" t="str">
        <f>IF(K1464&lt;M1464,"Check!!!","")</f>
        <v/>
      </c>
      <c r="M1464" s="2009">
        <f>ROUNDUP('Part VI-Revenues &amp; Expenses'!$O$67*'Part VIII-Threshold Criteria'!N1464,0)</f>
        <v>0</v>
      </c>
      <c r="N1464" s="2808">
        <f>'DCA Underwriting Assumptions'!$Q$139</f>
        <v>0.05</v>
      </c>
      <c r="O1464" s="1937" t="s">
        <v>3638</v>
      </c>
      <c r="P1464" s="1895" t="str">
        <f>'Part VIII-Threshold Criteria'!P306</f>
        <v>Yes</v>
      </c>
      <c r="Q1464" s="1895"/>
      <c r="R1464" s="1647"/>
      <c r="S1464" s="1647"/>
      <c r="T1464" s="1647"/>
      <c r="U1464" s="1647"/>
      <c r="V1464" s="521"/>
    </row>
    <row r="1465" spans="1:22" ht="12.75" customHeight="1">
      <c r="A1465" s="1944"/>
      <c r="B1465" s="1952"/>
      <c r="C1465" s="1900" t="s">
        <v>5113</v>
      </c>
      <c r="D1465" s="1900"/>
      <c r="E1465" s="1900"/>
      <c r="F1465" s="1900"/>
      <c r="G1465" s="1900"/>
      <c r="H1465" s="1900"/>
      <c r="I1465" s="1964" t="s">
        <v>4122</v>
      </c>
      <c r="J1465" s="1647"/>
      <c r="K1465" s="2809">
        <f>'Part VIII-Threshold Criteria'!K307</f>
        <v>4</v>
      </c>
      <c r="L1465" s="1647" t="str">
        <f>IF(K1465&lt;M1465,"Check!!!","")</f>
        <v/>
      </c>
      <c r="M1465" s="2810">
        <f>ROUNDUP(K1464*'Part VIII-Threshold Criteria'!N1465,0)</f>
        <v>0</v>
      </c>
      <c r="N1465" s="2811">
        <f>'DCA Underwriting Assumptions'!$Q$140</f>
        <v>0.4</v>
      </c>
      <c r="O1465" s="1937" t="s">
        <v>2116</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5114</v>
      </c>
      <c r="D1467" s="1900"/>
      <c r="E1467" s="1900"/>
      <c r="F1467" s="1900"/>
      <c r="G1467" s="1900"/>
      <c r="H1467" s="1900"/>
      <c r="I1467" s="521" t="s">
        <v>4123</v>
      </c>
      <c r="J1467" s="1647"/>
      <c r="K1467" s="2163">
        <f>'Part VIII-Threshold Criteria'!K309</f>
        <v>4</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3876</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3640</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3641</v>
      </c>
      <c r="C1472" s="1631"/>
      <c r="D1472" s="1921"/>
      <c r="E1472" s="1921"/>
      <c r="F1472" s="1921"/>
      <c r="G1472" s="1921"/>
      <c r="H1472" s="1921"/>
      <c r="I1472" s="1921" t="s">
        <v>3762</v>
      </c>
      <c r="J1472" s="1921"/>
      <c r="K1472" s="1921"/>
      <c r="L1472" s="1921" t="str">
        <f>'Part VIII-Threshold Criteria'!L314</f>
        <v>Theresa Kitay at Law</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3639</v>
      </c>
      <c r="D1473" s="1900"/>
      <c r="E1473" s="1900"/>
      <c r="F1473" s="1900"/>
      <c r="G1473" s="1900"/>
      <c r="H1473" s="1900"/>
      <c r="I1473" s="1900"/>
      <c r="J1473" s="1900"/>
      <c r="K1473" s="1900"/>
      <c r="L1473" s="1900"/>
      <c r="M1473" s="1900"/>
      <c r="N1473" s="1900"/>
      <c r="O1473" s="1944" t="s">
        <v>3644</v>
      </c>
      <c r="P1473" s="1948" t="str">
        <f>'Part VIII-Threshold Criteria'!P315</f>
        <v>Yes</v>
      </c>
      <c r="Q1473" s="1948"/>
      <c r="R1473" s="1913"/>
      <c r="S1473" s="1913"/>
      <c r="T1473" s="1913"/>
      <c r="U1473" s="1913"/>
      <c r="V1473" s="1913"/>
    </row>
    <row r="1474" spans="1:22" ht="12.75" customHeight="1">
      <c r="A1474" s="1913"/>
      <c r="B1474" s="1921" t="s">
        <v>1738</v>
      </c>
      <c r="C1474" s="1900" t="s">
        <v>4909</v>
      </c>
      <c r="D1474" s="1900"/>
      <c r="E1474" s="1900"/>
      <c r="F1474" s="1900"/>
      <c r="G1474" s="1900"/>
      <c r="H1474" s="1900"/>
      <c r="I1474" s="1900"/>
      <c r="J1474" s="1900"/>
      <c r="K1474" s="1900"/>
      <c r="L1474" s="1900"/>
      <c r="M1474" s="1900"/>
      <c r="N1474" s="1900"/>
      <c r="O1474" s="1944" t="s">
        <v>3645</v>
      </c>
      <c r="P1474" s="1948" t="str">
        <f>'Part VIII-Threshold Criteria'!P316</f>
        <v>Yes</v>
      </c>
      <c r="Q1474" s="1948"/>
      <c r="R1474" s="1913"/>
      <c r="S1474" s="1913"/>
      <c r="T1474" s="1913"/>
      <c r="U1474" s="1913"/>
      <c r="V1474" s="1913"/>
    </row>
    <row r="1475" spans="1:22" ht="12.75" customHeight="1">
      <c r="A1475" s="1913"/>
      <c r="B1475" s="1952" t="s">
        <v>1739</v>
      </c>
      <c r="C1475" s="1900" t="s">
        <v>3642</v>
      </c>
      <c r="D1475" s="1900"/>
      <c r="E1475" s="1900"/>
      <c r="F1475" s="1900"/>
      <c r="G1475" s="1900"/>
      <c r="H1475" s="1900"/>
      <c r="I1475" s="1900"/>
      <c r="J1475" s="1900"/>
      <c r="K1475" s="1900"/>
      <c r="L1475" s="1900"/>
      <c r="M1475" s="1900"/>
      <c r="N1475" s="1900"/>
      <c r="O1475" s="1921" t="s">
        <v>3646</v>
      </c>
      <c r="P1475" s="1948" t="str">
        <f>'Part VIII-Threshold Criteria'!P317</f>
        <v>Yes</v>
      </c>
      <c r="Q1475" s="1948"/>
      <c r="R1475" s="1913"/>
      <c r="S1475" s="1913"/>
      <c r="T1475" s="1913"/>
      <c r="U1475" s="1913"/>
      <c r="V1475" s="1913"/>
    </row>
    <row r="1476" spans="1:22" ht="12.75" customHeight="1">
      <c r="A1476" s="1913"/>
      <c r="B1476" s="1952" t="s">
        <v>2364</v>
      </c>
      <c r="C1476" s="1900" t="s">
        <v>3643</v>
      </c>
      <c r="D1476" s="1900"/>
      <c r="E1476" s="1900"/>
      <c r="F1476" s="1900"/>
      <c r="G1476" s="1900"/>
      <c r="H1476" s="1900"/>
      <c r="I1476" s="1900"/>
      <c r="J1476" s="1900"/>
      <c r="K1476" s="1900"/>
      <c r="L1476" s="1900"/>
      <c r="M1476" s="1900"/>
      <c r="N1476" s="1900"/>
      <c r="O1476" s="1944" t="s">
        <v>3647</v>
      </c>
      <c r="P1476" s="1948" t="str">
        <f>'Part VIII-Threshold Criteria'!P318</f>
        <v>Yes</v>
      </c>
      <c r="Q1476" s="1948"/>
      <c r="R1476" s="1913"/>
      <c r="S1476" s="1913"/>
      <c r="T1476" s="1913"/>
      <c r="U1476" s="1913"/>
      <c r="V1476" s="1913"/>
    </row>
    <row r="1477" spans="1:22">
      <c r="B1477" s="1842" t="s">
        <v>3753</v>
      </c>
      <c r="C1477" s="2111"/>
      <c r="D1477" s="1866"/>
      <c r="E1477" s="1866"/>
      <c r="F1477" s="1866"/>
      <c r="G1477" s="1866"/>
      <c r="H1477" s="521"/>
      <c r="I1477" s="521"/>
      <c r="J1477" s="521"/>
      <c r="K1477" s="521"/>
      <c r="L1477" s="1634"/>
      <c r="M1477" s="1634"/>
      <c r="N1477" s="1634"/>
      <c r="O1477" s="1633"/>
      <c r="P1477" s="1633"/>
      <c r="Q1477" s="1633"/>
    </row>
    <row r="1478" spans="1:22" ht="123.75">
      <c r="A1478" s="1900" t="str">
        <f>'Part VIII-Threshold Criteria'!A320</f>
        <v>The development will comply with the above standards. The development is a Family development.</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c r="B1479" s="1897" t="s">
        <v>1865</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4099</v>
      </c>
      <c r="B1481" s="1631" t="s">
        <v>2665</v>
      </c>
      <c r="C1481" s="1631"/>
      <c r="D1481" s="1631"/>
      <c r="E1481" s="1631"/>
      <c r="F1481" s="1631"/>
      <c r="G1481" s="1631"/>
      <c r="H1481" s="1900"/>
      <c r="I1481" s="1900"/>
      <c r="J1481" s="1900"/>
      <c r="K1481" s="1900"/>
      <c r="L1481" s="1900"/>
      <c r="M1481" s="1900"/>
      <c r="N1481" s="2111"/>
      <c r="O1481" s="1900" t="s">
        <v>1866</v>
      </c>
      <c r="P1481" s="1634"/>
      <c r="Q1481" s="1634"/>
    </row>
    <row r="1482" spans="1:22">
      <c r="B1482" s="1216" t="s">
        <v>2251</v>
      </c>
      <c r="P1482" s="1895" t="str">
        <f>'Part VIII-Threshold Criteria'!P324</f>
        <v>No</v>
      </c>
      <c r="Q1482" s="1895"/>
    </row>
    <row r="1483" spans="1:22">
      <c r="A1483" s="2111"/>
      <c r="B1483" s="1921" t="s">
        <v>2210</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1982</v>
      </c>
      <c r="B1484" s="1841" t="s">
        <v>5115</v>
      </c>
      <c r="D1484" s="1841"/>
      <c r="E1484" s="1841"/>
      <c r="F1484" s="1841"/>
      <c r="G1484" s="1841"/>
      <c r="H1484" s="1841"/>
      <c r="I1484" s="1841"/>
      <c r="J1484" s="1841"/>
      <c r="K1484" s="1841"/>
      <c r="L1484" s="1841"/>
      <c r="M1484" s="1841"/>
      <c r="N1484" s="1944"/>
      <c r="P1484" s="2111"/>
      <c r="Q1484" s="2111"/>
    </row>
    <row r="1485" spans="1:22" ht="12.75" customHeight="1">
      <c r="B1485" s="1900" t="s">
        <v>2880</v>
      </c>
      <c r="C1485" s="1900"/>
      <c r="D1485" s="1900"/>
      <c r="E1485" s="1900"/>
      <c r="F1485" s="1900"/>
      <c r="G1485" s="1900"/>
      <c r="H1485" s="1900"/>
      <c r="I1485" s="1900"/>
      <c r="J1485" s="1900"/>
      <c r="K1485" s="1900"/>
      <c r="L1485" s="1900"/>
      <c r="M1485" s="1900"/>
      <c r="N1485" s="1900"/>
      <c r="O1485" s="1944" t="s">
        <v>1982</v>
      </c>
      <c r="P1485" s="1948" t="str">
        <f>'Part VIII-Threshold Criteria'!P327</f>
        <v>No</v>
      </c>
      <c r="Q1485" s="1948"/>
    </row>
    <row r="1486" spans="1:22">
      <c r="A1486" s="1944" t="s">
        <v>1984</v>
      </c>
      <c r="B1486" s="521" t="s">
        <v>460</v>
      </c>
      <c r="D1486" s="521"/>
      <c r="E1486" s="521"/>
      <c r="F1486" s="521"/>
      <c r="G1486" s="521"/>
      <c r="H1486" s="521"/>
      <c r="I1486" s="521"/>
      <c r="J1486" s="521"/>
      <c r="K1486" s="521"/>
      <c r="L1486" s="521"/>
      <c r="M1486" s="521"/>
      <c r="O1486" s="1944" t="s">
        <v>1984</v>
      </c>
      <c r="P1486" s="1633"/>
      <c r="Q1486" s="1633"/>
    </row>
    <row r="1487" spans="1:22" ht="12.75" customHeight="1">
      <c r="B1487" s="1952" t="s">
        <v>1737</v>
      </c>
      <c r="C1487" s="1921" t="s">
        <v>1131</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 xml:space="preserve">Fiber cement siding or other 30 year warranty product installed on all exterior wall surfaces not already required to be brick </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5116</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3753</v>
      </c>
      <c r="C1494" s="2111"/>
      <c r="D1494" s="1866"/>
      <c r="E1494" s="1866"/>
      <c r="F1494" s="1866"/>
      <c r="G1494" s="1866"/>
      <c r="H1494" s="521"/>
      <c r="I1494" s="521"/>
      <c r="J1494" s="521"/>
      <c r="K1494" s="521"/>
      <c r="L1494" s="1634"/>
      <c r="M1494" s="1634"/>
      <c r="N1494" s="1634"/>
      <c r="O1494" s="1633"/>
      <c r="P1494" s="1633"/>
      <c r="Q1494" s="1633"/>
    </row>
    <row r="1495" spans="1:22" ht="78.75">
      <c r="A1495" s="1900" t="str">
        <f>'Part VIII-Threshold Criteria'!A337</f>
        <v>The development will comply with the above selected standards.</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1865</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4102</v>
      </c>
      <c r="B1498" s="1631" t="s">
        <v>4140</v>
      </c>
      <c r="C1498" s="1631"/>
      <c r="D1498" s="1900"/>
      <c r="E1498" s="1900"/>
      <c r="F1498" s="1900"/>
      <c r="G1498" s="1900"/>
      <c r="H1498" s="1900"/>
      <c r="I1498" s="2111"/>
      <c r="J1498" s="2111"/>
      <c r="K1498" s="2111"/>
      <c r="L1498" s="2111"/>
      <c r="M1498" s="2111"/>
      <c r="N1498" s="2111"/>
      <c r="O1498" s="1900" t="s">
        <v>1866</v>
      </c>
      <c r="P1498" s="1634"/>
      <c r="Q1498" s="1634"/>
    </row>
    <row r="1499" spans="1:22">
      <c r="A1499" s="1937" t="s">
        <v>1982</v>
      </c>
      <c r="B1499" s="1216" t="s">
        <v>4996</v>
      </c>
      <c r="O1499" s="1944" t="s">
        <v>1982</v>
      </c>
      <c r="P1499" s="1895" t="str">
        <f>'Part VIII-Threshold Criteria'!P341</f>
        <v>Yes</v>
      </c>
      <c r="Q1499" s="1895"/>
    </row>
    <row r="1500" spans="1:22">
      <c r="A1500" s="1921" t="s">
        <v>1984</v>
      </c>
      <c r="B1500" s="1955" t="s">
        <v>4088</v>
      </c>
      <c r="C1500" s="2111"/>
      <c r="D1500" s="2111"/>
      <c r="E1500" s="2111"/>
      <c r="F1500" s="2111"/>
      <c r="G1500" s="2111"/>
      <c r="H1500" s="2111"/>
      <c r="I1500" s="2111"/>
      <c r="J1500" s="2111"/>
      <c r="K1500" s="2111"/>
      <c r="L1500" s="2111"/>
      <c r="M1500" s="2111"/>
      <c r="N1500" s="2111"/>
      <c r="O1500" s="1921" t="s">
        <v>1984</v>
      </c>
      <c r="P1500" s="521" t="str">
        <f>'Part VIII-Threshold Criteria'!P342</f>
        <v>Yes</v>
      </c>
      <c r="Q1500" s="521"/>
    </row>
    <row r="1501" spans="1:22">
      <c r="A1501" s="1944" t="s">
        <v>749</v>
      </c>
      <c r="B1501" s="1216" t="s">
        <v>2349</v>
      </c>
      <c r="O1501" s="1944" t="s">
        <v>749</v>
      </c>
      <c r="P1501" s="521" t="str">
        <f>'Part VIII-Threshold Criteria'!P343</f>
        <v>No</v>
      </c>
      <c r="Q1501" s="521"/>
    </row>
    <row r="1502" spans="1:22">
      <c r="A1502" s="1937" t="s">
        <v>2114</v>
      </c>
      <c r="B1502" s="1216" t="s">
        <v>3841</v>
      </c>
      <c r="O1502" s="1937" t="s">
        <v>2114</v>
      </c>
      <c r="P1502" s="1895" t="str">
        <f>'Part VIII-Threshold Criteria'!P344</f>
        <v>No</v>
      </c>
      <c r="Q1502" s="1895"/>
    </row>
    <row r="1503" spans="1:22">
      <c r="A1503" s="1944" t="s">
        <v>1735</v>
      </c>
      <c r="B1503" s="1216" t="s">
        <v>2883</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2350</v>
      </c>
      <c r="N1504" s="1944" t="s">
        <v>1736</v>
      </c>
      <c r="O1504" s="1851" t="s">
        <v>2884</v>
      </c>
      <c r="P1504" s="1851"/>
      <c r="Q1504" s="1851"/>
    </row>
    <row r="1505" spans="1:22">
      <c r="B1505" s="1842" t="s">
        <v>3753</v>
      </c>
      <c r="D1505" s="1842"/>
      <c r="E1505" s="1842"/>
      <c r="F1505" s="1842"/>
      <c r="G1505" s="1842"/>
      <c r="H1505" s="1841"/>
      <c r="I1505" s="1895"/>
      <c r="J1505" s="1895"/>
      <c r="K1505" s="1895"/>
      <c r="L1505" s="1633"/>
      <c r="M1505" s="1633"/>
      <c r="N1505" s="1633"/>
      <c r="O1505" s="1633"/>
      <c r="P1505" s="1633"/>
      <c r="Q1505" s="1633"/>
    </row>
    <row r="1506" spans="1:22" ht="191.25">
      <c r="A1506" s="1900" t="str">
        <f>'Part VIII-Threshold Criteria'!A348</f>
        <v>Applicant was deemed qualified without conditions on the pre-application qualification determination request. The required documentation is included in Tab 19.</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c r="B1507" s="1897" t="s">
        <v>1865</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4103</v>
      </c>
      <c r="B1509" s="1631" t="s">
        <v>2666</v>
      </c>
      <c r="C1509" s="1631"/>
      <c r="D1509" s="521"/>
      <c r="E1509" s="1900"/>
      <c r="F1509" s="1900"/>
      <c r="G1509" s="1900"/>
      <c r="H1509" s="1900"/>
      <c r="I1509" s="1900"/>
      <c r="J1509" s="1900"/>
      <c r="K1509" s="1900"/>
      <c r="L1509" s="1900"/>
      <c r="M1509" s="1900"/>
      <c r="N1509" s="2111"/>
      <c r="O1509" s="1900" t="s">
        <v>1866</v>
      </c>
      <c r="P1509" s="1634"/>
      <c r="Q1509" s="1634"/>
    </row>
    <row r="1510" spans="1:22">
      <c r="A1510" s="1944" t="s">
        <v>1982</v>
      </c>
      <c r="B1510" s="1921" t="s">
        <v>3656</v>
      </c>
      <c r="D1510" s="1921"/>
      <c r="E1510" s="1921"/>
      <c r="F1510" s="1921"/>
      <c r="G1510" s="1921"/>
      <c r="H1510" s="1921"/>
      <c r="I1510" s="1921"/>
      <c r="J1510" s="1921"/>
      <c r="K1510" s="1921"/>
      <c r="L1510" s="1921"/>
      <c r="M1510" s="1921"/>
      <c r="N1510" s="1921"/>
      <c r="O1510" s="1944" t="s">
        <v>1982</v>
      </c>
      <c r="P1510" s="1895" t="str">
        <f>'Part VIII-Threshold Criteria'!P352</f>
        <v>Yes</v>
      </c>
      <c r="Q1510" s="1895"/>
    </row>
    <row r="1511" spans="1:22">
      <c r="A1511" s="1921" t="s">
        <v>1984</v>
      </c>
      <c r="B1511" s="1921" t="s">
        <v>3850</v>
      </c>
      <c r="C1511" s="2111"/>
      <c r="D1511" s="1921"/>
      <c r="E1511" s="1921"/>
      <c r="F1511" s="1921"/>
      <c r="G1511" s="1921"/>
      <c r="H1511" s="1921"/>
      <c r="I1511" s="1921"/>
      <c r="J1511" s="1921"/>
      <c r="K1511" s="1921"/>
      <c r="L1511" s="1921"/>
      <c r="M1511" s="1921"/>
      <c r="N1511" s="1921"/>
      <c r="O1511" s="1921" t="s">
        <v>1984</v>
      </c>
      <c r="P1511" s="521" t="str">
        <f>'Part VIII-Threshold Criteria'!P353</f>
        <v>No</v>
      </c>
      <c r="Q1511" s="521"/>
    </row>
    <row r="1512" spans="1:22" ht="12.75" customHeight="1">
      <c r="A1512" s="1944" t="s">
        <v>749</v>
      </c>
      <c r="B1512" s="1900" t="s">
        <v>4089</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3753</v>
      </c>
      <c r="D1513" s="1842"/>
      <c r="E1513" s="1842"/>
      <c r="F1513" s="1842"/>
      <c r="G1513" s="1842"/>
      <c r="H1513" s="1841"/>
      <c r="I1513" s="1895"/>
      <c r="J1513" s="1895"/>
      <c r="K1513" s="1895"/>
      <c r="L1513" s="1633"/>
      <c r="M1513" s="1633"/>
      <c r="N1513" s="1633"/>
      <c r="O1513" s="1633"/>
      <c r="P1513" s="1633"/>
      <c r="Q1513" s="1633"/>
    </row>
    <row r="1514" spans="1:22" ht="135">
      <c r="A1514" s="1900" t="str">
        <f>'Part VIII-Threshold Criteria'!A356</f>
        <v>The compliance history summary was submitted at pre-application in the Performance Workbook.</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1865</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4106</v>
      </c>
      <c r="B1518" s="1631" t="s">
        <v>4079</v>
      </c>
      <c r="C1518" s="1631"/>
      <c r="D1518" s="1631"/>
      <c r="E1518" s="1631"/>
      <c r="F1518" s="1631"/>
      <c r="G1518" s="1631"/>
      <c r="H1518" s="1899"/>
      <c r="I1518" s="1899"/>
      <c r="J1518" s="1899"/>
      <c r="K1518" s="1899"/>
      <c r="L1518" s="1899"/>
      <c r="M1518" s="1899"/>
      <c r="O1518" s="2784" t="s">
        <v>1866</v>
      </c>
      <c r="P1518" s="1634"/>
      <c r="Q1518" s="1634"/>
    </row>
    <row r="1519" spans="1:22">
      <c r="A1519" s="521" t="s">
        <v>1982</v>
      </c>
      <c r="B1519" s="521" t="s">
        <v>4080</v>
      </c>
      <c r="C1519" s="2111"/>
      <c r="D1519" s="1636"/>
      <c r="E1519" s="1636"/>
      <c r="F1519" s="1636"/>
      <c r="G1519" s="1636"/>
      <c r="H1519" s="521" t="s">
        <v>1982</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1984</v>
      </c>
      <c r="B1520" s="521" t="s">
        <v>4081</v>
      </c>
      <c r="D1520" s="1636"/>
      <c r="E1520" s="1636"/>
      <c r="F1520" s="1636"/>
      <c r="G1520" s="1636"/>
      <c r="H1520" s="1944" t="s">
        <v>1984</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4071</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2114</v>
      </c>
      <c r="B1522" s="1900" t="s">
        <v>4072</v>
      </c>
      <c r="C1522" s="1900"/>
      <c r="D1522" s="1900"/>
      <c r="E1522" s="1900"/>
      <c r="F1522" s="1900"/>
      <c r="G1522" s="1900"/>
      <c r="H1522" s="1900"/>
      <c r="I1522" s="1900"/>
      <c r="J1522" s="1900"/>
      <c r="K1522" s="1900"/>
      <c r="L1522" s="1900"/>
      <c r="M1522" s="1900"/>
      <c r="N1522" s="1900"/>
      <c r="O1522" s="521" t="s">
        <v>2114</v>
      </c>
      <c r="P1522" s="1921">
        <f>'Part VIII-Threshold Criteria'!P364</f>
        <v>0</v>
      </c>
      <c r="Q1522" s="1948"/>
    </row>
    <row r="1523" spans="1:22">
      <c r="A1523" s="1944" t="s">
        <v>1735</v>
      </c>
      <c r="B1523" s="521" t="s">
        <v>4073</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4074</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1946</v>
      </c>
      <c r="B1525" s="1921" t="s">
        <v>4075</v>
      </c>
      <c r="C1525" s="1913"/>
      <c r="D1525" s="1900"/>
      <c r="E1525" s="1900"/>
      <c r="F1525" s="1900"/>
      <c r="G1525" s="1900"/>
      <c r="H1525" s="1900"/>
      <c r="I1525" s="1900"/>
      <c r="J1525" s="1900"/>
      <c r="K1525" s="1900"/>
      <c r="L1525" s="1900"/>
      <c r="M1525" s="1900"/>
      <c r="N1525" s="1900"/>
      <c r="O1525" s="1944" t="s">
        <v>1946</v>
      </c>
      <c r="P1525" s="1948">
        <f>'Part VIII-Threshold Criteria'!P367</f>
        <v>0</v>
      </c>
      <c r="Q1525" s="1948"/>
      <c r="R1525" s="1913"/>
      <c r="S1525" s="1913"/>
      <c r="T1525" s="1913"/>
      <c r="U1525" s="1913"/>
      <c r="V1525" s="1913"/>
    </row>
    <row r="1526" spans="1:22">
      <c r="A1526" s="1913"/>
      <c r="B1526" s="1913"/>
      <c r="C1526" s="1952" t="s">
        <v>4551</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3369</v>
      </c>
      <c r="B1527" s="1900" t="s">
        <v>4076</v>
      </c>
      <c r="C1527" s="1900"/>
      <c r="D1527" s="1900"/>
      <c r="E1527" s="1900"/>
      <c r="F1527" s="1900"/>
      <c r="G1527" s="1900"/>
      <c r="H1527" s="1900"/>
      <c r="I1527" s="1900"/>
      <c r="J1527" s="1900"/>
      <c r="K1527" s="1900"/>
      <c r="L1527" s="1900"/>
      <c r="M1527" s="1900"/>
      <c r="N1527" s="1900"/>
      <c r="O1527" s="1944" t="s">
        <v>3369</v>
      </c>
      <c r="P1527" s="1948">
        <f>'Part VIII-Threshold Criteria'!P369</f>
        <v>0</v>
      </c>
      <c r="Q1527" s="1948"/>
    </row>
    <row r="1528" spans="1:22" ht="12.75" customHeight="1">
      <c r="A1528" s="1944" t="s">
        <v>616</v>
      </c>
      <c r="B1528" s="1900" t="s">
        <v>4077</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3753</v>
      </c>
      <c r="D1529" s="1842"/>
      <c r="E1529" s="1842"/>
      <c r="F1529" s="1842"/>
      <c r="G1529" s="1842"/>
      <c r="H1529" s="1841"/>
      <c r="I1529" s="1895"/>
      <c r="J1529" s="1895"/>
      <c r="K1529" s="1895"/>
      <c r="L1529" s="1633"/>
      <c r="M1529" s="1633"/>
      <c r="N1529" s="1633"/>
      <c r="O1529" s="1633"/>
      <c r="P1529" s="1633"/>
      <c r="Q1529" s="1633"/>
    </row>
    <row r="1530" spans="1:22">
      <c r="A1530" s="1900" t="str">
        <f>'Part VIII-Threshold Criteria'!A372</f>
        <v>N/A</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1865</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4107</v>
      </c>
      <c r="B1534" s="1631" t="s">
        <v>3913</v>
      </c>
      <c r="C1534" s="1631"/>
      <c r="D1534" s="1631"/>
      <c r="E1534" s="1631"/>
      <c r="F1534" s="1631"/>
      <c r="G1534" s="1631"/>
      <c r="H1534" s="1899"/>
      <c r="I1534" s="1899"/>
      <c r="J1534" s="1899"/>
      <c r="O1534" s="2784" t="s">
        <v>1866</v>
      </c>
      <c r="P1534" s="1634"/>
      <c r="Q1534" s="1634"/>
    </row>
    <row r="1535" spans="1:22">
      <c r="A1535" s="521" t="s">
        <v>1982</v>
      </c>
      <c r="B1535" s="521" t="s">
        <v>3915</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4921</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3914</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4914</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3916</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3917</v>
      </c>
      <c r="D1539" s="1631"/>
      <c r="E1539" s="1867"/>
      <c r="F1539" s="1631"/>
      <c r="G1539" s="1631"/>
      <c r="H1539" s="1631"/>
      <c r="I1539" s="1867"/>
      <c r="J1539" s="1867">
        <f>'Part I-Project Information'!K1198</f>
        <v>0</v>
      </c>
      <c r="K1539" s="1867"/>
      <c r="L1539" s="1867" t="s">
        <v>3918</v>
      </c>
      <c r="M1539" s="1867"/>
      <c r="N1539" s="1867"/>
      <c r="O1539" s="521" t="s">
        <v>1739</v>
      </c>
      <c r="P1539" s="521">
        <f>'Part VIII-Threshold Criteria'!P381</f>
        <v>0</v>
      </c>
      <c r="Q1539" s="521"/>
      <c r="R1539" s="1631"/>
      <c r="S1539" s="1631"/>
      <c r="T1539" s="1631"/>
      <c r="U1539" s="1631"/>
      <c r="V1539" s="1631"/>
    </row>
    <row r="1540" spans="1:22">
      <c r="A1540" s="1937"/>
      <c r="B1540" s="1841" t="s">
        <v>2364</v>
      </c>
      <c r="C1540" s="521" t="s">
        <v>4910</v>
      </c>
      <c r="D1540" s="1631"/>
      <c r="E1540" s="1867"/>
      <c r="F1540" s="1867"/>
      <c r="G1540" s="1867"/>
      <c r="H1540" s="521" t="s">
        <v>4911</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4912</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3920</v>
      </c>
      <c r="D1542" s="1631"/>
      <c r="E1542" s="521"/>
      <c r="F1542" s="2074">
        <f>'Part IV-A-Uses of Funds'!J1331</f>
        <v>0</v>
      </c>
      <c r="G1542" s="2074"/>
      <c r="H1542" s="521" t="s">
        <v>3921</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3923</v>
      </c>
      <c r="D1543" s="1631"/>
      <c r="E1543" s="521"/>
      <c r="F1543" s="521"/>
      <c r="G1543" s="521"/>
      <c r="H1543" s="521" t="s">
        <v>4913</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3925</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1984</v>
      </c>
      <c r="B1545" s="521" t="s">
        <v>3926</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4967</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3931</v>
      </c>
      <c r="K1547" s="521"/>
      <c r="L1547" s="521"/>
      <c r="M1547" s="521"/>
      <c r="N1547" s="1867" t="s">
        <v>3928</v>
      </c>
      <c r="O1547" s="1867"/>
      <c r="P1547" s="1631"/>
      <c r="Q1547" s="1631"/>
      <c r="R1547" s="1631"/>
      <c r="S1547" s="1631"/>
      <c r="T1547" s="1631"/>
      <c r="U1547" s="1631"/>
      <c r="V1547" s="1631"/>
    </row>
    <row r="1548" spans="1:22">
      <c r="A1548" s="1636"/>
      <c r="B1548" s="1841" t="s">
        <v>1738</v>
      </c>
      <c r="C1548" s="1841" t="s">
        <v>3927</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3930</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2364</v>
      </c>
      <c r="C1550" s="521" t="s">
        <v>3932</v>
      </c>
      <c r="D1550" s="1631"/>
      <c r="E1550" s="1867"/>
      <c r="F1550" s="1867"/>
      <c r="G1550" s="1867"/>
      <c r="H1550" s="1867"/>
      <c r="I1550" s="1631"/>
      <c r="J1550" s="1631"/>
      <c r="K1550" s="1631"/>
      <c r="L1550" s="1631"/>
      <c r="M1550" s="1867"/>
      <c r="N1550" s="1867"/>
      <c r="O1550" s="1937" t="s">
        <v>2364</v>
      </c>
      <c r="P1550" s="1895">
        <f>'Part VIII-Threshold Criteria'!P392</f>
        <v>0</v>
      </c>
      <c r="Q1550" s="1895"/>
      <c r="R1550" s="1631"/>
      <c r="S1550" s="1631"/>
      <c r="T1550" s="1631"/>
      <c r="U1550" s="1631"/>
      <c r="V1550" s="1631"/>
    </row>
    <row r="1551" spans="1:22">
      <c r="B1551" s="1842" t="s">
        <v>3753</v>
      </c>
      <c r="D1551" s="1842"/>
      <c r="E1551" s="1842"/>
      <c r="F1551" s="1842"/>
      <c r="G1551" s="1842"/>
      <c r="H1551" s="1841"/>
      <c r="I1551" s="1895"/>
      <c r="J1551" s="521"/>
      <c r="K1551" s="521"/>
      <c r="L1551" s="1634"/>
      <c r="M1551" s="1634"/>
      <c r="N1551" s="1634"/>
      <c r="O1551" s="1634"/>
      <c r="P1551" s="1633"/>
      <c r="Q1551" s="1633"/>
    </row>
    <row r="1552" spans="1:22">
      <c r="A1552" s="1900" t="str">
        <f>'Part VIII-Threshold Criteria'!A394</f>
        <v>N/A</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1865</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4108</v>
      </c>
      <c r="B1557" s="1631" t="s">
        <v>2683</v>
      </c>
      <c r="C1557" s="1631"/>
      <c r="D1557" s="1631"/>
      <c r="E1557" s="1631"/>
      <c r="F1557" s="1631"/>
      <c r="G1557" s="1631"/>
      <c r="H1557" s="1899"/>
      <c r="I1557" s="1899"/>
      <c r="J1557" s="1899"/>
      <c r="O1557" s="2784" t="s">
        <v>1866</v>
      </c>
      <c r="P1557" s="1634"/>
      <c r="Q1557" s="1634"/>
    </row>
    <row r="1558" spans="1:22">
      <c r="A1558" s="521" t="s">
        <v>1982</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2670</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1984</v>
      </c>
      <c r="B1559" s="521" t="s">
        <v>3463</v>
      </c>
      <c r="D1559" s="521"/>
      <c r="E1559" s="521"/>
      <c r="F1559" s="521"/>
      <c r="G1559" s="521"/>
      <c r="H1559" s="521"/>
      <c r="I1559" s="521"/>
      <c r="J1559" s="521"/>
      <c r="K1559" s="521"/>
      <c r="L1559" s="1841"/>
      <c r="M1559" s="1841"/>
      <c r="O1559" s="1937" t="s">
        <v>1984</v>
      </c>
      <c r="P1559" s="1895">
        <f>'Part VIII-Threshold Criteria'!P401</f>
        <v>0</v>
      </c>
      <c r="Q1559" s="1895"/>
    </row>
    <row r="1560" spans="1:22" ht="12.75" customHeight="1">
      <c r="A1560" s="1944" t="s">
        <v>749</v>
      </c>
      <c r="B1560" s="1900" t="s">
        <v>3473</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2114</v>
      </c>
      <c r="B1561" s="1216" t="s">
        <v>3697</v>
      </c>
      <c r="G1561" s="1834"/>
      <c r="H1561" s="1834"/>
      <c r="I1561" s="1834"/>
      <c r="J1561" s="1841" t="s">
        <v>3698</v>
      </c>
      <c r="L1561" s="1834"/>
      <c r="M1561" s="2813">
        <f>'Part III-Sources of Funds'!H1163</f>
        <v>0</v>
      </c>
      <c r="N1561" s="2813"/>
      <c r="O1561" s="1937" t="s">
        <v>2114</v>
      </c>
      <c r="P1561" s="521">
        <f>'Part VIII-Threshold Criteria'!P403</f>
        <v>0</v>
      </c>
      <c r="Q1561" s="521"/>
    </row>
    <row r="1562" spans="1:22">
      <c r="B1562" s="1842" t="s">
        <v>3753</v>
      </c>
      <c r="D1562" s="1842"/>
      <c r="E1562" s="1866"/>
      <c r="F1562" s="1866"/>
      <c r="G1562" s="1866"/>
      <c r="H1562" s="521"/>
      <c r="I1562" s="521"/>
      <c r="J1562" s="521"/>
      <c r="K1562" s="521"/>
      <c r="L1562" s="1634"/>
      <c r="M1562" s="1634"/>
      <c r="N1562" s="1634"/>
      <c r="O1562" s="1634"/>
      <c r="P1562" s="1634"/>
      <c r="Q1562" s="1634"/>
    </row>
    <row r="1563" spans="1:22">
      <c r="A1563" s="1900" t="str">
        <f>'Part VIII-Threshold Criteria'!A405</f>
        <v>N/A</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1865</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4109</v>
      </c>
      <c r="B1567" s="1631" t="s">
        <v>2667</v>
      </c>
      <c r="C1567" s="1631"/>
      <c r="D1567" s="1631"/>
      <c r="E1567" s="1900"/>
      <c r="F1567" s="2111"/>
      <c r="G1567" s="1921" t="s">
        <v>701</v>
      </c>
      <c r="H1567" s="1900"/>
      <c r="I1567" s="1900"/>
      <c r="J1567" s="1900"/>
      <c r="K1567" s="1900"/>
      <c r="L1567" s="1900"/>
      <c r="M1567" s="1900"/>
      <c r="N1567" s="2111"/>
      <c r="O1567" s="1900" t="s">
        <v>1866</v>
      </c>
      <c r="P1567" s="1634"/>
      <c r="Q1567" s="1634"/>
    </row>
    <row r="1568" spans="1:22">
      <c r="A1568" s="1937" t="s">
        <v>1982</v>
      </c>
      <c r="B1568" s="521" t="s">
        <v>2672</v>
      </c>
      <c r="D1568" s="1900"/>
      <c r="E1568" s="1900"/>
      <c r="H1568" s="1921"/>
      <c r="O1568" s="1937" t="s">
        <v>1982</v>
      </c>
      <c r="P1568" s="1895">
        <f>'Part VIII-Threshold Criteria'!P410</f>
        <v>0</v>
      </c>
      <c r="Q1568" s="1895"/>
    </row>
    <row r="1569" spans="1:22">
      <c r="A1569" s="521" t="s">
        <v>1984</v>
      </c>
      <c r="B1569" s="521" t="s">
        <v>3582</v>
      </c>
      <c r="C1569" s="2111"/>
      <c r="D1569" s="1900"/>
      <c r="E1569" s="1900"/>
      <c r="F1569" s="2111"/>
      <c r="G1569" s="2111"/>
      <c r="H1569" s="2111"/>
      <c r="I1569" s="2111"/>
      <c r="J1569" s="2111"/>
      <c r="K1569" s="2111"/>
      <c r="L1569" s="2111"/>
      <c r="M1569" s="2111"/>
      <c r="N1569" s="2111"/>
      <c r="O1569" s="521" t="s">
        <v>1984</v>
      </c>
      <c r="P1569" s="521">
        <f>'Part VIII-Threshold Criteria'!P411</f>
        <v>0</v>
      </c>
      <c r="Q1569" s="521"/>
    </row>
    <row r="1570" spans="1:22">
      <c r="A1570" s="1937" t="s">
        <v>749</v>
      </c>
      <c r="B1570" s="521" t="s">
        <v>4078</v>
      </c>
      <c r="D1570" s="1900"/>
      <c r="E1570" s="1900"/>
      <c r="O1570" s="1937" t="s">
        <v>749</v>
      </c>
      <c r="P1570" s="1895">
        <f>'Part VIII-Threshold Criteria'!P412</f>
        <v>0</v>
      </c>
      <c r="Q1570" s="1895"/>
    </row>
    <row r="1571" spans="1:22">
      <c r="A1571" s="1937" t="s">
        <v>2114</v>
      </c>
      <c r="B1571" s="521" t="s">
        <v>3583</v>
      </c>
      <c r="E1571" s="1921"/>
      <c r="O1571" s="1937" t="s">
        <v>2114</v>
      </c>
      <c r="P1571" s="521">
        <f>'Part VIII-Threshold Criteria'!P413</f>
        <v>0</v>
      </c>
      <c r="Q1571" s="521"/>
    </row>
    <row r="1572" spans="1:22">
      <c r="A1572" s="1937" t="s">
        <v>1735</v>
      </c>
      <c r="B1572" s="521" t="s">
        <v>2078</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3753</v>
      </c>
      <c r="D1573" s="1842"/>
      <c r="E1573" s="1842"/>
      <c r="F1573" s="1842"/>
      <c r="G1573" s="1842"/>
      <c r="H1573" s="1841"/>
      <c r="I1573" s="1895"/>
      <c r="J1573" s="1895"/>
      <c r="K1573" s="1895"/>
      <c r="L1573" s="1633"/>
      <c r="M1573" s="1633"/>
      <c r="N1573" s="1633"/>
      <c r="O1573" s="1633"/>
      <c r="P1573" s="1633"/>
      <c r="Q1573" s="1633"/>
    </row>
    <row r="1574" spans="1:22" ht="45">
      <c r="A1574" s="1900" t="str">
        <f>'Part VIII-Threshold Criteria'!A416</f>
        <v>No legal opinions are required.</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1865</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4110</v>
      </c>
      <c r="B1578" s="1631" t="s">
        <v>2668</v>
      </c>
      <c r="C1578" s="1631"/>
      <c r="D1578" s="1631"/>
      <c r="E1578" s="1631"/>
      <c r="F1578" s="1631"/>
      <c r="G1578" s="1631"/>
      <c r="H1578" s="1900"/>
      <c r="I1578" s="1900"/>
      <c r="J1578" s="1900"/>
      <c r="K1578" s="1900"/>
      <c r="L1578" s="1900"/>
      <c r="M1578" s="1900"/>
      <c r="N1578" s="2111"/>
      <c r="O1578" s="1900" t="s">
        <v>1866</v>
      </c>
      <c r="P1578" s="1634"/>
      <c r="Q1578" s="1634"/>
    </row>
    <row r="1579" spans="1:22">
      <c r="A1579" s="1937" t="s">
        <v>1982</v>
      </c>
      <c r="B1579" s="521" t="s">
        <v>752</v>
      </c>
      <c r="D1579" s="1631"/>
      <c r="E1579" s="1631"/>
      <c r="F1579" s="1631"/>
      <c r="G1579" s="1631"/>
      <c r="H1579" s="1631"/>
      <c r="I1579" s="1631"/>
      <c r="J1579" s="1631"/>
      <c r="K1579" s="1631"/>
      <c r="L1579" s="1631"/>
      <c r="M1579" s="1631"/>
      <c r="N1579" s="1631"/>
      <c r="O1579" s="1937" t="s">
        <v>1982</v>
      </c>
      <c r="P1579" s="1895" t="str">
        <f>'Part VIII-Threshold Criteria'!P421</f>
        <v>No</v>
      </c>
      <c r="Q1579" s="1895"/>
    </row>
    <row r="1580" spans="1:22">
      <c r="A1580" s="521" t="s">
        <v>1984</v>
      </c>
      <c r="B1580" s="521" t="s">
        <v>3475</v>
      </c>
      <c r="C1580" s="2111"/>
      <c r="D1580" s="1631"/>
      <c r="E1580" s="1631"/>
      <c r="F1580" s="1631"/>
      <c r="G1580" s="1631"/>
      <c r="H1580" s="1631"/>
      <c r="I1580" s="1631"/>
      <c r="J1580" s="1631"/>
      <c r="K1580" s="1631"/>
      <c r="L1580" s="1631"/>
      <c r="M1580" s="1631"/>
      <c r="N1580" s="1631"/>
      <c r="O1580" s="521" t="s">
        <v>1446</v>
      </c>
      <c r="P1580" s="521" t="str">
        <f>'Part VIII-Threshold Criteria'!P422</f>
        <v>No</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3474</v>
      </c>
      <c r="E1582" s="521"/>
      <c r="F1582" s="521"/>
      <c r="G1582" s="521"/>
      <c r="H1582" s="521"/>
      <c r="I1582" s="521"/>
      <c r="J1582" s="521"/>
      <c r="K1582" s="521"/>
      <c r="L1582" s="521"/>
      <c r="M1582" s="521"/>
      <c r="N1582" s="1631"/>
      <c r="O1582" s="1937" t="s">
        <v>1738</v>
      </c>
      <c r="P1582" s="521">
        <f>'Part VIII-Threshold Criteria'!P424</f>
        <v>0</v>
      </c>
      <c r="Q1582" s="521"/>
    </row>
    <row r="1583" spans="1:22">
      <c r="A1583" s="1937"/>
      <c r="B1583" s="521" t="s">
        <v>3571</v>
      </c>
      <c r="C1583" s="521" t="s">
        <v>3572</v>
      </c>
      <c r="E1583" s="521"/>
      <c r="F1583" s="521"/>
      <c r="G1583" s="521"/>
      <c r="H1583" s="521"/>
      <c r="I1583" s="521"/>
      <c r="J1583" s="521"/>
      <c r="K1583" s="521"/>
      <c r="L1583" s="521"/>
      <c r="M1583" s="521"/>
      <c r="N1583" s="1631"/>
      <c r="O1583" s="1937" t="s">
        <v>1739</v>
      </c>
      <c r="P1583" s="1895">
        <f>'Part VIII-Threshold Criteria'!P425</f>
        <v>0</v>
      </c>
      <c r="Q1583" s="1895"/>
    </row>
    <row r="1584" spans="1:22">
      <c r="A1584" s="1937" t="s">
        <v>749</v>
      </c>
      <c r="B1584" s="521" t="s">
        <v>2200</v>
      </c>
      <c r="C1584" s="521"/>
      <c r="E1584" s="521"/>
      <c r="F1584" s="521"/>
      <c r="G1584" s="521"/>
      <c r="H1584" s="521"/>
      <c r="I1584" s="521"/>
      <c r="J1584" s="521"/>
      <c r="K1584" s="521"/>
      <c r="L1584" s="521"/>
      <c r="M1584" s="521"/>
      <c r="N1584" s="521"/>
      <c r="O1584" s="1937" t="s">
        <v>749</v>
      </c>
      <c r="P1584" s="1895">
        <f>'Part VIII-Threshold Criteria'!P426</f>
        <v>0</v>
      </c>
      <c r="Q1584" s="1895"/>
    </row>
    <row r="1585" spans="1:22" ht="12.75" customHeight="1">
      <c r="A1585" s="1937" t="s">
        <v>2114</v>
      </c>
      <c r="B1585" s="1900" t="s">
        <v>2814</v>
      </c>
      <c r="C1585" s="1900"/>
      <c r="D1585" s="1900"/>
      <c r="E1585" s="1900"/>
      <c r="F1585" s="1841"/>
      <c r="G1585" s="521" t="s">
        <v>2201</v>
      </c>
      <c r="J1585" s="1633">
        <f>'Part VIII-Threshold Criteria'!J427</f>
        <v>0</v>
      </c>
      <c r="K1585" s="1633"/>
      <c r="M1585" s="521" t="s">
        <v>2204</v>
      </c>
      <c r="P1585" s="1633">
        <f>'Part VIII-Threshold Criteria'!P427</f>
        <v>0</v>
      </c>
      <c r="Q1585" s="1633"/>
    </row>
    <row r="1586" spans="1:22">
      <c r="A1586" s="1937"/>
      <c r="B1586" s="1900"/>
      <c r="C1586" s="1900"/>
      <c r="D1586" s="1900"/>
      <c r="E1586" s="1900"/>
      <c r="F1586" s="1841"/>
      <c r="G1586" s="521" t="s">
        <v>2202</v>
      </c>
      <c r="J1586" s="1633">
        <f>'Part VIII-Threshold Criteria'!J428</f>
        <v>0</v>
      </c>
      <c r="K1586" s="1633"/>
      <c r="M1586" s="521" t="s">
        <v>2205</v>
      </c>
      <c r="P1586" s="1633">
        <f>'Part VIII-Threshold Criteria'!P428</f>
        <v>0</v>
      </c>
      <c r="Q1586" s="1633"/>
    </row>
    <row r="1587" spans="1:22">
      <c r="A1587" s="1937"/>
      <c r="B1587" s="1900"/>
      <c r="C1587" s="1900"/>
      <c r="D1587" s="1900"/>
      <c r="E1587" s="1900"/>
      <c r="F1587" s="1841"/>
      <c r="G1587" s="521" t="s">
        <v>2203</v>
      </c>
      <c r="J1587" s="1633">
        <f>'Part VIII-Threshold Criteria'!J429</f>
        <v>0</v>
      </c>
      <c r="K1587" s="1633"/>
      <c r="L1587" s="1841"/>
      <c r="M1587" s="1631"/>
      <c r="N1587" s="1937"/>
    </row>
    <row r="1588" spans="1:22">
      <c r="A1588" s="1937" t="s">
        <v>1735</v>
      </c>
      <c r="B1588" s="1841" t="s">
        <v>4928</v>
      </c>
      <c r="C1588" s="1841"/>
      <c r="E1588" s="1841"/>
      <c r="F1588" s="1841"/>
      <c r="G1588" s="1841"/>
      <c r="J1588" s="1631"/>
      <c r="K1588" s="1841"/>
      <c r="L1588" s="1841"/>
      <c r="M1588" s="1631"/>
      <c r="N1588" s="1937"/>
      <c r="P1588" s="1937"/>
      <c r="Q1588" s="1937"/>
    </row>
    <row r="1589" spans="1:22">
      <c r="A1589" s="1937"/>
      <c r="B1589" s="1955" t="s">
        <v>1737</v>
      </c>
      <c r="C1589" s="521" t="s">
        <v>4777</v>
      </c>
      <c r="D1589" s="2111"/>
      <c r="E1589" s="521"/>
      <c r="G1589" s="1216" t="s">
        <v>4772</v>
      </c>
      <c r="H1589" s="1841"/>
      <c r="I1589" s="1841"/>
      <c r="J1589" s="1895">
        <f>'Part VIII-Threshold Criteria'!J431</f>
        <v>0</v>
      </c>
      <c r="K1589" s="1895"/>
      <c r="L1589" s="1841"/>
      <c r="M1589" s="1216" t="s">
        <v>4775</v>
      </c>
    </row>
    <row r="1590" spans="1:22">
      <c r="A1590" s="1631"/>
      <c r="B1590" s="2111"/>
      <c r="C1590" s="2111"/>
      <c r="D1590" s="2111"/>
      <c r="E1590" s="2111"/>
      <c r="G1590" s="1216" t="s">
        <v>4773</v>
      </c>
      <c r="H1590" s="1841"/>
      <c r="I1590" s="1841"/>
      <c r="J1590" s="1895">
        <f>'Part VIII-Threshold Criteria'!J432</f>
        <v>0</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4774</v>
      </c>
      <c r="H1591" s="1841"/>
      <c r="J1591" s="1895">
        <f>'Part VIII-Threshold Criteria'!J433</f>
        <v>0</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4776</v>
      </c>
      <c r="E1592" s="1841"/>
      <c r="F1592" s="1841"/>
      <c r="L1592" s="1841"/>
      <c r="M1592" s="1841"/>
      <c r="O1592" s="1937" t="s">
        <v>1738</v>
      </c>
      <c r="P1592" s="1895" t="str">
        <f>'Part VIII-Threshold Criteria'!P434</f>
        <v>&lt;&lt;Select&gt;&gt;</v>
      </c>
      <c r="Q1592" s="1895" t="s">
        <v>1771</v>
      </c>
    </row>
    <row r="1593" spans="1:22">
      <c r="A1593" s="1631"/>
      <c r="C1593" s="1216" t="s">
        <v>2434</v>
      </c>
      <c r="D1593" s="1216" t="s">
        <v>4784</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2435</v>
      </c>
      <c r="D1594" s="1216" t="s">
        <v>4785</v>
      </c>
      <c r="E1594" s="1841"/>
      <c r="F1594" s="1953"/>
      <c r="G1594" s="521" t="str">
        <f>'Part VIII-Threshold Criteria'!G436</f>
        <v>&lt;&lt; Select &gt;&gt;</v>
      </c>
      <c r="H1594" s="521">
        <f>'Part VIII-Threshold Criteria'!H436</f>
        <v>0</v>
      </c>
      <c r="I1594" s="521">
        <f>'Part VIII-Threshold Criteria'!I436</f>
        <v>0</v>
      </c>
      <c r="J1594" s="1216" t="s">
        <v>4786</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4990</v>
      </c>
      <c r="E1595" s="1841"/>
      <c r="F1595" s="1841"/>
      <c r="G1595" s="1841"/>
      <c r="H1595" s="1841"/>
      <c r="I1595" s="1841"/>
      <c r="J1595" s="1841"/>
      <c r="K1595" s="1841"/>
      <c r="L1595" s="1841"/>
      <c r="M1595" s="521"/>
      <c r="N1595" s="521"/>
      <c r="O1595" s="521"/>
      <c r="P1595" s="521"/>
      <c r="Q1595" s="521"/>
    </row>
    <row r="1596" spans="1:22" ht="15">
      <c r="B1596" s="1890">
        <f>'Part VIII-Threshold Criteria'!B438</f>
        <v>0</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4778</v>
      </c>
      <c r="U1596" s="1634"/>
      <c r="V1596" s="1634"/>
    </row>
    <row r="1597" spans="1:22">
      <c r="B1597" s="1842" t="s">
        <v>3753</v>
      </c>
      <c r="D1597" s="1842"/>
      <c r="E1597" s="1842"/>
      <c r="F1597" s="1842"/>
      <c r="G1597" s="1866"/>
      <c r="H1597" s="521"/>
      <c r="I1597" s="521"/>
      <c r="J1597" s="521"/>
      <c r="K1597" s="521"/>
    </row>
    <row r="1598" spans="1:22" ht="56.25">
      <c r="A1598" s="1900" t="str">
        <f>'Part VIII-Threshold Criteria'!A440</f>
        <v>The site is currently undeveloped and vacant.</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1865</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4111</v>
      </c>
      <c r="B1602" s="1631" t="s">
        <v>2815</v>
      </c>
      <c r="C1602" s="1631"/>
      <c r="D1602" s="521"/>
      <c r="E1602" s="1900"/>
      <c r="F1602" s="1900"/>
      <c r="G1602" s="1900"/>
      <c r="H1602" s="1900"/>
      <c r="I1602" s="2111"/>
      <c r="J1602" s="2111"/>
      <c r="K1602" s="2111"/>
      <c r="L1602" s="2111"/>
      <c r="M1602" s="2111"/>
      <c r="N1602" s="2111"/>
      <c r="O1602" s="1900" t="s">
        <v>1866</v>
      </c>
      <c r="P1602" s="1634"/>
      <c r="Q1602" s="1634"/>
    </row>
    <row r="1603" spans="1:22">
      <c r="B1603" s="521" t="s">
        <v>5047</v>
      </c>
      <c r="C1603" s="1631"/>
      <c r="D1603" s="521"/>
      <c r="E1603" s="1899"/>
      <c r="F1603" s="1899"/>
      <c r="G1603" s="1899"/>
      <c r="H1603" s="1899"/>
    </row>
    <row r="1604" spans="1:22" ht="12.75" customHeight="1">
      <c r="A1604" s="1921" t="s">
        <v>1982</v>
      </c>
      <c r="B1604" s="1900" t="s">
        <v>3936</v>
      </c>
      <c r="C1604" s="1900"/>
      <c r="D1604" s="1900"/>
      <c r="E1604" s="1900"/>
      <c r="F1604" s="1900"/>
      <c r="G1604" s="1900"/>
      <c r="H1604" s="1900"/>
      <c r="I1604" s="1900"/>
      <c r="J1604" s="1900"/>
      <c r="K1604" s="1900"/>
      <c r="L1604" s="1900"/>
      <c r="M1604" s="1900"/>
      <c r="N1604" s="1900"/>
      <c r="O1604" s="1921" t="s">
        <v>1982</v>
      </c>
      <c r="P1604" s="1921" t="str">
        <f>'Part VIII-Threshold Criteria'!P446</f>
        <v>Agree</v>
      </c>
      <c r="Q1604" s="1921"/>
      <c r="R1604" s="1913"/>
      <c r="S1604" s="1913"/>
      <c r="T1604" s="1913"/>
      <c r="U1604" s="1913"/>
      <c r="V1604" s="1913"/>
    </row>
    <row r="1605" spans="1:22" ht="12.75" customHeight="1">
      <c r="A1605" s="1944" t="s">
        <v>1984</v>
      </c>
      <c r="B1605" s="1900" t="s">
        <v>3934</v>
      </c>
      <c r="C1605" s="1900"/>
      <c r="D1605" s="1900"/>
      <c r="E1605" s="1900"/>
      <c r="F1605" s="1900"/>
      <c r="G1605" s="1900"/>
      <c r="H1605" s="1900"/>
      <c r="I1605" s="1900"/>
      <c r="J1605" s="1900"/>
      <c r="K1605" s="1900"/>
      <c r="L1605" s="1900"/>
      <c r="M1605" s="1900"/>
      <c r="N1605" s="1900"/>
      <c r="O1605" s="1944" t="s">
        <v>1984</v>
      </c>
      <c r="P1605" s="1948" t="str">
        <f>'Part VIII-Threshold Criteria'!P447</f>
        <v>Agree</v>
      </c>
      <c r="Q1605" s="1948"/>
      <c r="R1605" s="1913"/>
      <c r="S1605" s="1913"/>
      <c r="T1605" s="1913"/>
      <c r="U1605" s="1913"/>
      <c r="V1605" s="1913"/>
    </row>
    <row r="1606" spans="1:22" ht="12.75" customHeight="1">
      <c r="A1606" s="1913"/>
      <c r="B1606" s="1952" t="s">
        <v>1737</v>
      </c>
      <c r="C1606" s="1900" t="s">
        <v>4991</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c r="A1607" s="1631"/>
      <c r="B1607" s="1952" t="s">
        <v>1738</v>
      </c>
      <c r="C1607" s="521" t="s">
        <v>4992</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c r="A1608" s="1913"/>
      <c r="B1608" s="1921" t="s">
        <v>1739</v>
      </c>
      <c r="C1608" s="1900" t="s">
        <v>4993</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c r="A1609" s="1913"/>
      <c r="B1609" s="1921" t="s">
        <v>2364</v>
      </c>
      <c r="C1609" s="1900" t="s">
        <v>4994</v>
      </c>
      <c r="D1609" s="1900"/>
      <c r="E1609" s="1900"/>
      <c r="F1609" s="1900"/>
      <c r="G1609" s="1900"/>
      <c r="H1609" s="1900"/>
      <c r="I1609" s="1900"/>
      <c r="J1609" s="1900"/>
      <c r="K1609" s="1900"/>
      <c r="L1609" s="1900"/>
      <c r="M1609" s="1900"/>
      <c r="N1609" s="1900"/>
      <c r="O1609" s="1944" t="s">
        <v>2364</v>
      </c>
      <c r="P1609" s="1948" t="str">
        <f>'Part VIII-Threshold Criteria'!P451</f>
        <v>Agree</v>
      </c>
      <c r="Q1609" s="1948"/>
      <c r="R1609" s="1913"/>
      <c r="S1609" s="1913"/>
      <c r="T1609" s="1913"/>
      <c r="U1609" s="1913"/>
      <c r="V1609" s="1913"/>
    </row>
    <row r="1610" spans="1:22" ht="12.75" customHeight="1">
      <c r="A1610" s="1944" t="s">
        <v>749</v>
      </c>
      <c r="B1610" s="1900" t="s">
        <v>3940</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c r="A1611" s="1944" t="s">
        <v>2114</v>
      </c>
      <c r="B1611" s="1900" t="s">
        <v>3941</v>
      </c>
      <c r="C1611" s="1900"/>
      <c r="D1611" s="1900"/>
      <c r="E1611" s="1900"/>
      <c r="F1611" s="1900"/>
      <c r="G1611" s="1900"/>
      <c r="H1611" s="1900"/>
      <c r="I1611" s="1900"/>
      <c r="J1611" s="1900"/>
      <c r="K1611" s="1900"/>
      <c r="L1611" s="1900"/>
      <c r="M1611" s="1900"/>
      <c r="N1611" s="1900"/>
      <c r="O1611" s="1944" t="s">
        <v>2114</v>
      </c>
      <c r="P1611" s="1948" t="str">
        <f>'Part VIII-Threshold Criteria'!P453</f>
        <v>Agree</v>
      </c>
      <c r="Q1611" s="1948"/>
      <c r="R1611" s="1913"/>
      <c r="S1611" s="1913"/>
      <c r="T1611" s="1913"/>
      <c r="U1611" s="1913"/>
      <c r="V1611" s="1913"/>
    </row>
    <row r="1612" spans="1:22" ht="12.75" customHeight="1">
      <c r="A1612" s="1944" t="s">
        <v>1735</v>
      </c>
      <c r="B1612" s="1900" t="s">
        <v>3942</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c r="A1613" s="1944" t="s">
        <v>1736</v>
      </c>
      <c r="B1613" s="1900" t="s">
        <v>3476</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c r="B1614" s="1866" t="s">
        <v>3753</v>
      </c>
      <c r="C1614" s="2111"/>
      <c r="D1614" s="1866"/>
      <c r="E1614" s="1866"/>
      <c r="F1614" s="1866"/>
      <c r="G1614" s="1866"/>
      <c r="H1614" s="521"/>
      <c r="I1614" s="521"/>
      <c r="J1614" s="521"/>
      <c r="K1614" s="521"/>
      <c r="L1614" s="1634"/>
      <c r="M1614" s="1634"/>
      <c r="N1614" s="1634"/>
      <c r="O1614" s="1633"/>
      <c r="P1614" s="1633"/>
      <c r="Q1614" s="1633"/>
    </row>
    <row r="1615" spans="1:22" ht="78.75">
      <c r="A1615" s="1900" t="str">
        <f>'Part VIII-Threshold Criteria'!A457</f>
        <v>The Applicant agrees to submit a marketing plan for AFFH.</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c r="B1616" s="1897" t="s">
        <v>1865</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5">
      <c r="A1619" s="1631" t="s">
        <v>4787</v>
      </c>
      <c r="B1619" s="2006"/>
      <c r="C1619" s="1631" t="s">
        <v>2718</v>
      </c>
      <c r="D1619" s="1955"/>
      <c r="E1619" s="521"/>
      <c r="F1619" s="2006"/>
      <c r="G1619" s="2006"/>
      <c r="H1619" s="2006"/>
      <c r="I1619" s="2006"/>
      <c r="J1619" s="1866"/>
      <c r="K1619" s="2006"/>
      <c r="L1619" s="2006"/>
      <c r="M1619" s="1631"/>
      <c r="N1619" s="1631"/>
      <c r="O1619" s="1900" t="s">
        <v>1866</v>
      </c>
      <c r="P1619" s="1634"/>
      <c r="Q1619" s="1634"/>
      <c r="R1619" s="1976"/>
      <c r="S1619" s="1976"/>
      <c r="T1619" s="1976"/>
      <c r="U1619" s="1976"/>
      <c r="V1619" s="1976"/>
    </row>
    <row r="1620" spans="1:22">
      <c r="A1620" s="1216"/>
      <c r="B1620" s="1216" t="s">
        <v>4795</v>
      </c>
      <c r="C1620" s="1216"/>
      <c r="D1620" s="1216"/>
      <c r="E1620" s="1216"/>
      <c r="F1620" s="1216"/>
      <c r="G1620" s="1216"/>
      <c r="H1620" s="1216"/>
      <c r="I1620" s="1216"/>
      <c r="J1620" s="1216"/>
      <c r="K1620" s="1216"/>
      <c r="L1620" s="1216"/>
      <c r="M1620" s="1216"/>
      <c r="N1620" s="1216"/>
      <c r="O1620" s="1216"/>
      <c r="P1620" s="1895" t="str">
        <f>'Part VIII-Threshold Criteria'!P462</f>
        <v>No</v>
      </c>
      <c r="Q1620" s="1895"/>
    </row>
    <row r="1621" spans="1:22">
      <c r="A1621" s="1955"/>
      <c r="B1621" s="1955" t="s">
        <v>4796</v>
      </c>
      <c r="C1621" s="1955"/>
      <c r="D1621" s="1955"/>
      <c r="E1621" s="1955"/>
      <c r="F1621" s="1955"/>
      <c r="G1621" s="1955"/>
      <c r="H1621" s="1955"/>
      <c r="I1621" s="1955"/>
      <c r="J1621" s="1955"/>
      <c r="K1621" s="1955"/>
      <c r="L1621" s="1955"/>
      <c r="M1621" s="1955"/>
      <c r="N1621" s="1955"/>
      <c r="O1621" s="1955"/>
      <c r="P1621" s="521" t="str">
        <f>'Part VIII-Threshold Criteria'!P463</f>
        <v>N/a</v>
      </c>
      <c r="Q1621" s="521"/>
    </row>
    <row r="1622" spans="1:22" ht="15">
      <c r="A1622" s="1937" t="s">
        <v>1982</v>
      </c>
      <c r="B1622" s="521" t="s">
        <v>4788</v>
      </c>
      <c r="C1622" s="1976"/>
      <c r="D1622" s="1631"/>
      <c r="E1622" s="1631"/>
      <c r="F1622" s="1631"/>
      <c r="G1622" s="1976"/>
      <c r="H1622" s="1976"/>
      <c r="I1622" s="1976"/>
      <c r="J1622" s="1976"/>
      <c r="K1622" s="1976"/>
      <c r="L1622" s="1976"/>
      <c r="M1622" s="1976"/>
      <c r="N1622" s="1976"/>
      <c r="O1622" s="1937" t="s">
        <v>1982</v>
      </c>
      <c r="P1622" s="1976"/>
      <c r="Q1622" s="1976"/>
      <c r="R1622" s="1976"/>
      <c r="S1622" s="1976"/>
      <c r="T1622" s="1976"/>
      <c r="U1622" s="1976"/>
      <c r="V1622" s="1976"/>
    </row>
    <row r="1623" spans="1:22" ht="15.75" customHeight="1">
      <c r="A1623" s="1944"/>
      <c r="B1623" s="2021" t="s">
        <v>1985</v>
      </c>
      <c r="C1623" s="1900" t="s">
        <v>4915</v>
      </c>
      <c r="D1623" s="1900"/>
      <c r="E1623" s="1900"/>
      <c r="F1623" s="1900"/>
      <c r="G1623" s="1900"/>
      <c r="H1623" s="1900"/>
      <c r="I1623" s="1900"/>
      <c r="J1623" s="1900"/>
      <c r="K1623" s="1867" t="s">
        <v>5042</v>
      </c>
      <c r="L1623" s="1841" t="s">
        <v>4790</v>
      </c>
      <c r="M1623" s="1993"/>
      <c r="N1623" s="1823">
        <f>ROUNDUP('Part VI-Revenues &amp; Expenses'!$O$63*0.1,0)</f>
        <v>16</v>
      </c>
      <c r="O1623" s="2001" t="s">
        <v>1985</v>
      </c>
      <c r="P1623" s="1921">
        <f>'Part VIII-Threshold Criteria'!P465</f>
        <v>0</v>
      </c>
      <c r="Q1623" s="1921"/>
      <c r="R1623" s="1785"/>
      <c r="S1623" s="1785"/>
      <c r="T1623" s="2028"/>
      <c r="U1623" s="2028"/>
      <c r="V1623" s="2028"/>
    </row>
    <row r="1624" spans="1:22" ht="15">
      <c r="A1624" s="1944"/>
      <c r="B1624" s="2021"/>
      <c r="C1624" s="1900"/>
      <c r="D1624" s="1900"/>
      <c r="E1624" s="1900"/>
      <c r="F1624" s="1900"/>
      <c r="G1624" s="1900"/>
      <c r="H1624" s="1900"/>
      <c r="I1624" s="1900"/>
      <c r="J1624" s="1900"/>
      <c r="K1624" s="1867"/>
      <c r="L1624" s="1841" t="s">
        <v>5043</v>
      </c>
      <c r="M1624" s="1993"/>
      <c r="N1624" s="1823">
        <f>'Part VI-Revenues &amp; Expenses'!$O$63</f>
        <v>156</v>
      </c>
      <c r="O1624" s="2028"/>
      <c r="P1624" s="1921">
        <f>'Part VIII-Threshold Criteria'!P466</f>
        <v>0</v>
      </c>
      <c r="Q1624" s="1921"/>
      <c r="R1624" s="1785"/>
      <c r="S1624" s="1785"/>
      <c r="T1624" s="2028"/>
      <c r="U1624" s="2028"/>
      <c r="V1624" s="2028"/>
    </row>
    <row r="1625" spans="1:22" ht="15">
      <c r="A1625" s="1944"/>
      <c r="B1625" s="2021"/>
      <c r="C1625" s="1900"/>
      <c r="D1625" s="1900"/>
      <c r="E1625" s="1900"/>
      <c r="F1625" s="1900"/>
      <c r="G1625" s="1900"/>
      <c r="H1625" s="1900"/>
      <c r="I1625" s="1900"/>
      <c r="J1625" s="1900"/>
      <c r="K1625" s="2814">
        <f>'Part VI-Revenues &amp; Expenses'!$O$88</f>
        <v>18</v>
      </c>
      <c r="L1625" s="1841" t="s">
        <v>4792</v>
      </c>
      <c r="M1625" s="1993"/>
      <c r="N1625" s="1823">
        <f>'Part VI-Revenues &amp; Expenses'!$O$67</f>
        <v>156</v>
      </c>
      <c r="O1625" s="2028"/>
      <c r="P1625" s="1921">
        <f>'Part VIII-Threshold Criteria'!P467</f>
        <v>0</v>
      </c>
      <c r="Q1625" s="1921"/>
      <c r="R1625" s="2028"/>
      <c r="S1625" s="2028"/>
      <c r="T1625" s="2028"/>
      <c r="U1625" s="2028"/>
      <c r="V1625" s="2028"/>
    </row>
    <row r="1626" spans="1:22" ht="12.75" customHeight="1">
      <c r="A1626" s="1955"/>
      <c r="B1626" s="2021" t="s">
        <v>1987</v>
      </c>
      <c r="C1626" s="1900" t="s">
        <v>4916</v>
      </c>
      <c r="D1626" s="1900"/>
      <c r="E1626" s="1900"/>
      <c r="F1626" s="1900"/>
      <c r="G1626" s="1900"/>
      <c r="H1626" s="1900"/>
      <c r="I1626" s="1900"/>
      <c r="J1626" s="1900"/>
      <c r="K1626" s="1900"/>
      <c r="L1626" s="1900"/>
      <c r="M1626" s="1900"/>
      <c r="N1626" s="1921"/>
      <c r="O1626" s="2001" t="s">
        <v>1987</v>
      </c>
      <c r="P1626" s="1948">
        <f>'Part VIII-Threshold Criteria'!P468</f>
        <v>0</v>
      </c>
      <c r="Q1626" s="1948"/>
      <c r="R1626" s="1921"/>
      <c r="S1626" s="1921"/>
      <c r="T1626" s="1921"/>
      <c r="U1626" s="1921"/>
      <c r="V1626" s="1921"/>
    </row>
    <row r="1627" spans="1:22" ht="15.75" customHeight="1">
      <c r="A1627" s="1955"/>
      <c r="B1627" s="2021" t="s">
        <v>2533</v>
      </c>
      <c r="C1627" s="1900" t="s">
        <v>4917</v>
      </c>
      <c r="D1627" s="1900"/>
      <c r="E1627" s="1900"/>
      <c r="F1627" s="1900"/>
      <c r="G1627" s="1900"/>
      <c r="H1627" s="1900"/>
      <c r="I1627" s="1900"/>
      <c r="J1627" s="1867" t="s">
        <v>4793</v>
      </c>
      <c r="K1627" s="2815">
        <f>'Part VI-Revenues &amp; Expenses'!$O$103</f>
        <v>156</v>
      </c>
      <c r="L1627" s="1841" t="s">
        <v>4791</v>
      </c>
      <c r="M1627" s="1993"/>
      <c r="N1627" s="1823">
        <f>ROUNDUP(N1625*0.1,0)</f>
        <v>16</v>
      </c>
      <c r="O1627" s="2001" t="s">
        <v>2533</v>
      </c>
      <c r="P1627" s="1921">
        <f>'Part VIII-Threshold Criteria'!P469</f>
        <v>0</v>
      </c>
      <c r="Q1627" s="1921"/>
      <c r="R1627" s="1785"/>
      <c r="S1627" s="1785"/>
      <c r="T1627" s="1921"/>
      <c r="U1627" s="1921"/>
      <c r="V1627" s="1921"/>
    </row>
    <row r="1628" spans="1:22">
      <c r="A1628" s="1955"/>
      <c r="B1628" s="2021"/>
      <c r="C1628" s="1900"/>
      <c r="D1628" s="1900"/>
      <c r="E1628" s="1900"/>
      <c r="F1628" s="1900"/>
      <c r="G1628" s="1900"/>
      <c r="H1628" s="1900"/>
      <c r="I1628" s="1900"/>
      <c r="J1628" s="1867" t="s">
        <v>4794</v>
      </c>
      <c r="K1628" s="2816">
        <f>IF(N1625=0,"",K1627/N1625)</f>
        <v>1</v>
      </c>
      <c r="L1628" s="1841" t="s">
        <v>5041</v>
      </c>
      <c r="M1628" s="521"/>
      <c r="N1628" s="1824">
        <f>'Part VI-Revenues &amp; Expenses'!$K$67/'Part VI-Revenues &amp; Expenses'!$O$67</f>
        <v>0.39102564102564102</v>
      </c>
      <c r="O1628" s="2001" t="str">
        <f>IF(AND(N1628&lt;0.1,P1627="Yes"), "Check!","")</f>
        <v/>
      </c>
      <c r="P1628" s="1921">
        <f>'Part VIII-Threshold Criteria'!P470</f>
        <v>0</v>
      </c>
      <c r="Q1628" s="1921"/>
      <c r="R1628" s="1785"/>
      <c r="S1628" s="1785"/>
      <c r="T1628" s="1921"/>
      <c r="U1628" s="1921"/>
      <c r="V1628" s="1921"/>
    </row>
    <row r="1629" spans="1:22" ht="15">
      <c r="A1629" s="1937" t="s">
        <v>1984</v>
      </c>
      <c r="B1629" s="521" t="s">
        <v>4918</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4919</v>
      </c>
      <c r="C1630" s="1900"/>
      <c r="D1630" s="1900"/>
      <c r="E1630" s="1900"/>
      <c r="F1630" s="1900"/>
      <c r="G1630" s="1900"/>
      <c r="H1630" s="1900"/>
      <c r="I1630" s="1900"/>
      <c r="J1630" s="1900"/>
      <c r="K1630" s="1900"/>
      <c r="L1630" s="1900"/>
      <c r="M1630" s="1900"/>
      <c r="N1630" s="1900"/>
      <c r="O1630" s="1944" t="s">
        <v>1984</v>
      </c>
      <c r="P1630" s="1948">
        <f>'Part VIII-Threshold Criteria'!P472</f>
        <v>0</v>
      </c>
      <c r="Q1630" s="1948"/>
      <c r="R1630" s="2818"/>
      <c r="S1630" s="2028"/>
      <c r="T1630" s="2028"/>
      <c r="U1630" s="2028"/>
      <c r="V1630" s="2028"/>
    </row>
    <row r="1631" spans="1:22" ht="15">
      <c r="A1631" s="1631"/>
      <c r="B1631" s="1842" t="s">
        <v>3753</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348.75">
      <c r="A1632" s="1900" t="str">
        <f>'Part VIII-Threshold Criteria'!A474</f>
        <v>The Applicant has received 18 vouchers from Atlanta Housing through Partners for Home for Permanent Supportive Housing. The Applicant cannot set more than 20% of the units aside for permanent supportive housing. We request that DCA does not require the development to receive 811 units.</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5">
      <c r="A1633" s="1976"/>
      <c r="B1633" s="1897" t="s">
        <v>1865</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4789</v>
      </c>
      <c r="B1636" s="1631"/>
      <c r="C1636" s="1631" t="s">
        <v>2669</v>
      </c>
      <c r="D1636" s="521"/>
      <c r="E1636" s="1899"/>
      <c r="F1636" s="1899"/>
      <c r="G1636" s="1899"/>
      <c r="H1636" s="1899"/>
      <c r="I1636" s="1899"/>
      <c r="J1636" s="1899"/>
      <c r="K1636" s="1899"/>
      <c r="L1636" s="1899"/>
      <c r="M1636" s="1899"/>
      <c r="O1636" s="2784" t="s">
        <v>1866</v>
      </c>
      <c r="P1636" s="1634"/>
      <c r="Q1636" s="1634"/>
    </row>
    <row r="1637" spans="1:22">
      <c r="A1637" s="1631"/>
      <c r="B1637" s="1866" t="s">
        <v>3753</v>
      </c>
      <c r="C1637" s="2111"/>
      <c r="D1637" s="1866"/>
      <c r="E1637" s="1866"/>
      <c r="F1637" s="1866"/>
      <c r="G1637" s="1866"/>
      <c r="H1637" s="521"/>
      <c r="I1637" s="521"/>
      <c r="J1637" s="521"/>
      <c r="K1637" s="521"/>
      <c r="L1637" s="1634"/>
      <c r="M1637" s="1634"/>
      <c r="N1637" s="1634"/>
      <c r="O1637" s="1634"/>
      <c r="P1637" s="1634"/>
      <c r="Q1637" s="1634"/>
    </row>
    <row r="1638" spans="1:22" ht="123.75">
      <c r="A1638" s="1900" t="str">
        <f>'Part VIII-Threshold Criteria'!A480</f>
        <v>The project is an effective, efficient, and lawful allocation and utilization of the Housing Credit Program.</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c r="A1639" s="2111"/>
      <c r="B1639" s="1897" t="s">
        <v>1865</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4797</v>
      </c>
      <c r="B1643" s="1631"/>
      <c r="C1643" s="1631" t="s">
        <v>4968</v>
      </c>
      <c r="D1643" s="521"/>
      <c r="E1643" s="1900"/>
      <c r="F1643" s="1900"/>
      <c r="G1643" s="1900"/>
      <c r="H1643" s="1900"/>
      <c r="I1643" s="1900"/>
      <c r="J1643" s="1900"/>
      <c r="K1643" s="1900"/>
      <c r="L1643" s="1900"/>
      <c r="M1643" s="1900"/>
      <c r="N1643" s="2111"/>
      <c r="O1643" s="1900" t="s">
        <v>1866</v>
      </c>
      <c r="P1643" s="1634"/>
      <c r="Q1643" s="1634"/>
    </row>
    <row r="1644" spans="1:22" ht="18.75">
      <c r="A1644" s="1993"/>
      <c r="B1644" s="2040" t="s">
        <v>4798</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75">
      <c r="A1645" s="1634"/>
      <c r="B1645" s="521" t="s">
        <v>4920</v>
      </c>
      <c r="C1645" s="1993"/>
      <c r="D1645" s="1866"/>
      <c r="E1645" s="1866"/>
      <c r="F1645" s="1972"/>
      <c r="G1645" s="2111"/>
      <c r="H1645" s="1993"/>
      <c r="I1645" s="1993"/>
      <c r="J1645" s="1993"/>
      <c r="K1645" s="521"/>
      <c r="L1645" s="1993"/>
      <c r="M1645" s="1631"/>
      <c r="N1645" s="521"/>
      <c r="O1645" s="1993"/>
      <c r="P1645" s="521">
        <f>'Part VIII-Threshold Criteria'!P487</f>
        <v>0</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55 Milton,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5163</v>
      </c>
      <c r="B1651" s="1785"/>
      <c r="C1651" s="1785"/>
      <c r="D1651" s="1785"/>
      <c r="E1651" s="1785"/>
      <c r="F1651" s="1785"/>
      <c r="G1651" s="1785"/>
      <c r="H1651" s="1785"/>
      <c r="I1651" s="1785"/>
      <c r="J1651" s="1785"/>
      <c r="K1651" s="1785"/>
      <c r="L1651" s="1785"/>
      <c r="M1651" s="1923" t="s">
        <v>2218</v>
      </c>
      <c r="N1651" s="1630"/>
      <c r="O1651" s="1630" t="s">
        <v>2217</v>
      </c>
      <c r="P1651" s="1630" t="s">
        <v>256</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2218</v>
      </c>
      <c r="P1652" s="1630" t="s">
        <v>2218</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6.5">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20</v>
      </c>
      <c r="P1654" s="1863">
        <f>P2096</f>
        <v>20</v>
      </c>
      <c r="Q1654" s="2820"/>
      <c r="R1654" s="2820"/>
      <c r="S1654" s="2820"/>
      <c r="T1654" s="1972"/>
      <c r="U1654" s="1972"/>
      <c r="V1654" s="1972"/>
      <c r="W1654" s="1972"/>
      <c r="X1654" s="1972"/>
    </row>
    <row r="1655" spans="1:24" ht="1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4807</v>
      </c>
      <c r="B1656" s="1631"/>
      <c r="C1656" s="1631"/>
      <c r="D1656" s="521"/>
      <c r="E1656" s="521"/>
      <c r="F1656" s="521"/>
      <c r="G1656" s="1866"/>
      <c r="H1656" s="1652" t="s">
        <v>5164</v>
      </c>
      <c r="I1656" s="1866"/>
      <c r="J1656" s="1866"/>
      <c r="K1656" s="1866"/>
      <c r="L1656" s="1866"/>
      <c r="M1656" s="2823" t="s">
        <v>5165</v>
      </c>
      <c r="N1656" s="1866"/>
      <c r="O1656" s="1924">
        <f>'Part IX Scoring Criteria'!O8</f>
        <v>0</v>
      </c>
      <c r="P1656" s="1630">
        <f>IF(P1658&lt;2,0,IF(AND(P1658&gt;1,P1658&lt;5),1,IF(P1658&gt;4,P1658-3)))</f>
        <v>0</v>
      </c>
      <c r="Q1656" s="521" t="s">
        <v>5166</v>
      </c>
      <c r="R1656" s="2824"/>
      <c r="S1656" s="2785"/>
      <c r="T1656" s="1631"/>
      <c r="U1656" s="1631"/>
      <c r="V1656" s="1631"/>
      <c r="W1656" s="1631"/>
      <c r="X1656" s="1631"/>
    </row>
    <row r="1657" spans="1:24" ht="1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4145</v>
      </c>
      <c r="B1658" s="2055" t="s">
        <v>4146</v>
      </c>
      <c r="C1658" s="521"/>
      <c r="D1658" s="521"/>
      <c r="E1658" s="2055" t="s">
        <v>4173</v>
      </c>
      <c r="F1658" s="2055" t="s">
        <v>4172</v>
      </c>
      <c r="G1658" s="2055"/>
      <c r="H1658" s="2055"/>
      <c r="I1658" s="2055"/>
      <c r="J1658" s="2055"/>
      <c r="K1658" s="2055"/>
      <c r="L1658" s="2055"/>
      <c r="M1658" s="2055"/>
      <c r="N1658" s="2055"/>
      <c r="O1658" s="2825" t="s">
        <v>4805</v>
      </c>
      <c r="P1658" s="1895">
        <f>SUM(P1659:P1668)</f>
        <v>0</v>
      </c>
      <c r="Q1658" s="1867" t="s">
        <v>5167</v>
      </c>
      <c r="R1658" s="1867"/>
      <c r="S1658" s="1867"/>
      <c r="T1658" s="1867"/>
      <c r="U1658" s="1867"/>
      <c r="V1658" s="1867"/>
      <c r="W1658" s="1631"/>
      <c r="X1658" s="1631"/>
    </row>
    <row r="1659" spans="1:24">
      <c r="A1659" s="1990" t="s">
        <v>742</v>
      </c>
      <c r="B1659" s="1218" t="s">
        <v>4147</v>
      </c>
      <c r="C1659" s="1890"/>
      <c r="D1659" s="1890"/>
      <c r="E1659" s="2826" t="str">
        <f>$O$61</f>
        <v>0055.01</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4149</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772</v>
      </c>
      <c r="B1661" s="1218" t="s">
        <v>4150</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292</v>
      </c>
      <c r="B1662" s="1218" t="s">
        <v>4151</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362</v>
      </c>
      <c r="B1663" s="1218" t="s">
        <v>3789</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4898</v>
      </c>
      <c r="B1664" s="1218" t="s">
        <v>4457</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2781</v>
      </c>
      <c r="B1665" s="1218" t="s">
        <v>4152</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2250</v>
      </c>
      <c r="B1666" s="1218" t="s">
        <v>4153</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4100</v>
      </c>
      <c r="B1667" s="1218" t="s">
        <v>4154</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4101</v>
      </c>
      <c r="B1668" s="1218" t="s">
        <v>4156</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8" t="s">
        <v>616</v>
      </c>
      <c r="B1670" s="2764" t="s">
        <v>2783</v>
      </c>
      <c r="C1670" s="1631"/>
      <c r="D1670" s="1631"/>
      <c r="E1670" s="1631"/>
      <c r="F1670" s="1895"/>
      <c r="G1670" s="1631"/>
      <c r="H1670" s="1652" t="s">
        <v>5168</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1982</v>
      </c>
      <c r="B1672" s="1634" t="s">
        <v>4800</v>
      </c>
      <c r="C1672" s="1631"/>
      <c r="D1672" s="1634"/>
      <c r="E1672" s="1634"/>
      <c r="F1672" s="1895"/>
      <c r="G1672" s="1631"/>
      <c r="H1672" s="1631"/>
      <c r="I1672" s="1631"/>
      <c r="J1672" s="1631"/>
      <c r="K1672" s="1631"/>
      <c r="L1672" s="1631"/>
      <c r="M1672" s="1630"/>
      <c r="N1672" s="1937" t="s">
        <v>1982</v>
      </c>
      <c r="O1672" s="1631"/>
      <c r="P1672" s="1631"/>
      <c r="Q1672" s="1631"/>
      <c r="R1672" s="1631"/>
      <c r="S1672" s="1631"/>
      <c r="T1672" s="1631"/>
      <c r="U1672" s="1631"/>
      <c r="V1672" s="1631"/>
      <c r="W1672" s="1631"/>
      <c r="X1672" s="1631"/>
    </row>
    <row r="1673" spans="1:24" ht="15">
      <c r="A1673" s="1828"/>
      <c r="B1673" s="2829" t="s">
        <v>1985</v>
      </c>
      <c r="C1673" s="1634" t="s">
        <v>4803</v>
      </c>
      <c r="D1673" s="1634"/>
      <c r="E1673" s="1634"/>
      <c r="F1673" s="1895"/>
      <c r="G1673" s="1976"/>
      <c r="H1673" s="1652" t="s">
        <v>3648</v>
      </c>
      <c r="I1673" s="1976"/>
      <c r="J1673" s="1866"/>
      <c r="K1673" s="1976"/>
      <c r="L1673" s="1976"/>
      <c r="M1673" s="1630"/>
      <c r="N1673" s="2001" t="s">
        <v>1985</v>
      </c>
      <c r="O1673" s="1924">
        <f>'Part IX Scoring Criteria'!O25</f>
        <v>0</v>
      </c>
      <c r="P1673" s="1924">
        <f>F1681</f>
        <v>0</v>
      </c>
      <c r="Q1673" s="1976"/>
      <c r="R1673" s="1976"/>
      <c r="S1673" s="1976"/>
      <c r="T1673" s="1976"/>
      <c r="U1673" s="1976"/>
      <c r="V1673" s="1976"/>
      <c r="W1673" s="1976"/>
      <c r="X1673" s="1976"/>
    </row>
    <row r="1674" spans="1:24" ht="15">
      <c r="A1674" s="1828"/>
      <c r="B1674" s="2829" t="s">
        <v>1987</v>
      </c>
      <c r="C1674" s="1634" t="s">
        <v>5169</v>
      </c>
      <c r="D1674" s="1634"/>
      <c r="E1674" s="1634"/>
      <c r="F1674" s="1895"/>
      <c r="G1674" s="1976"/>
      <c r="H1674" s="1652" t="s">
        <v>4801</v>
      </c>
      <c r="I1674" s="1976"/>
      <c r="J1674" s="1866"/>
      <c r="K1674" s="1976"/>
      <c r="L1674" s="1976"/>
      <c r="M1674" s="1630"/>
      <c r="N1674" s="2001" t="s">
        <v>1987</v>
      </c>
      <c r="O1674" s="1924">
        <f>'Part IX Scoring Criteria'!O26</f>
        <v>0</v>
      </c>
      <c r="P1674" s="1924">
        <f>J1681</f>
        <v>0</v>
      </c>
      <c r="Q1674" s="1976"/>
      <c r="R1674" s="1976"/>
      <c r="S1674" s="1976"/>
      <c r="T1674" s="1976"/>
      <c r="U1674" s="1976"/>
      <c r="V1674" s="1976"/>
      <c r="W1674" s="1976"/>
      <c r="X1674" s="1976"/>
    </row>
    <row r="1675" spans="1:24" ht="15">
      <c r="A1675" s="1828"/>
      <c r="B1675" s="2829" t="s">
        <v>2533</v>
      </c>
      <c r="C1675" s="1634" t="s">
        <v>4802</v>
      </c>
      <c r="D1675" s="1634"/>
      <c r="E1675" s="1634"/>
      <c r="F1675" s="1895"/>
      <c r="G1675" s="1976"/>
      <c r="H1675" s="1652" t="s">
        <v>4806</v>
      </c>
      <c r="I1675" s="1976"/>
      <c r="J1675" s="1866"/>
      <c r="K1675" s="1976"/>
      <c r="L1675" s="1976"/>
      <c r="M1675" s="1630"/>
      <c r="N1675" s="2001" t="s">
        <v>2533</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5117</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5">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1984</v>
      </c>
      <c r="B1678" s="1634" t="s">
        <v>726</v>
      </c>
      <c r="C1678" s="1631"/>
      <c r="D1678" s="1634"/>
      <c r="E1678" s="1634"/>
      <c r="F1678" s="1895"/>
      <c r="G1678" s="1631"/>
      <c r="H1678" s="1652" t="s">
        <v>4554</v>
      </c>
      <c r="I1678" s="1631"/>
      <c r="J1678" s="1866"/>
      <c r="K1678" s="1631"/>
      <c r="L1678" s="1631"/>
      <c r="M1678" s="1630"/>
      <c r="N1678" s="1937" t="s">
        <v>1984</v>
      </c>
      <c r="O1678" s="1924">
        <f>'Part IX Scoring Criteria'!O30</f>
        <v>0</v>
      </c>
      <c r="P1678" s="1924">
        <f>O1681</f>
        <v>0</v>
      </c>
      <c r="Q1678" s="1631"/>
      <c r="R1678" s="1631"/>
      <c r="S1678" s="1631"/>
      <c r="T1678" s="1631"/>
      <c r="U1678" s="1631"/>
      <c r="V1678" s="1631"/>
      <c r="W1678" s="1631"/>
      <c r="X1678" s="1631"/>
    </row>
    <row r="1679" spans="1:24" ht="15">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5014</v>
      </c>
      <c r="B1680" s="1659"/>
      <c r="C1680" s="1659"/>
      <c r="D1680" s="1659"/>
      <c r="E1680" s="1659"/>
      <c r="F1680" s="1956" t="s">
        <v>4144</v>
      </c>
      <c r="G1680" s="1867" t="s">
        <v>5015</v>
      </c>
      <c r="H1680" s="1867"/>
      <c r="I1680" s="1867"/>
      <c r="J1680" s="1956" t="s">
        <v>4144</v>
      </c>
      <c r="K1680" s="1955" t="s">
        <v>4799</v>
      </c>
      <c r="L1680" s="1955"/>
      <c r="M1680" s="1955"/>
      <c r="N1680" s="1955"/>
      <c r="O1680" s="1652" t="s">
        <v>4144</v>
      </c>
      <c r="P1680" s="1652"/>
      <c r="Q1680" s="1631"/>
      <c r="R1680" s="2824"/>
      <c r="S1680" s="2785"/>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2904</v>
      </c>
      <c r="K1684" s="1890">
        <v>3</v>
      </c>
      <c r="L1684" s="1890"/>
      <c r="M1684" s="1890"/>
      <c r="N1684" s="1890"/>
      <c r="O1684" s="1900" t="s">
        <v>2904</v>
      </c>
      <c r="P1684" s="1900"/>
      <c r="Q1684" s="1636" t="s">
        <v>5170</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2904</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3585</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31" t="s">
        <v>3586</v>
      </c>
      <c r="K1688" s="1890">
        <v>7</v>
      </c>
      <c r="L1688" s="1890"/>
      <c r="M1688" s="1890"/>
      <c r="N1688" s="1890"/>
      <c r="O1688" s="1838"/>
      <c r="P1688" s="1838"/>
      <c r="Q1688" s="2785"/>
      <c r="R1688" s="2785"/>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31" t="s">
        <v>3587</v>
      </c>
      <c r="K1690" s="1890">
        <v>9</v>
      </c>
      <c r="L1690" s="1890"/>
      <c r="M1690" s="1890"/>
      <c r="N1690" s="1890"/>
      <c r="O1690" s="1838"/>
      <c r="P1690" s="1838"/>
      <c r="Q1690" s="2785"/>
      <c r="R1690" s="2785"/>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31" t="s">
        <v>3588</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c r="A1695" s="2828" t="s">
        <v>740</v>
      </c>
      <c r="B1695" s="2764" t="s">
        <v>3589</v>
      </c>
      <c r="C1695" s="1993"/>
      <c r="D1695" s="1993"/>
      <c r="E1695" s="521"/>
      <c r="F1695" s="1993"/>
      <c r="G1695" s="521"/>
      <c r="H1695" s="521"/>
      <c r="I1695" s="1866" t="s">
        <v>3489</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5">
      <c r="A1696" s="2832"/>
      <c r="B1696" s="2833"/>
      <c r="C1696" s="1976"/>
      <c r="D1696" s="1976"/>
      <c r="E1696" s="521"/>
      <c r="F1696" s="1976" t="s">
        <v>4814</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5">
      <c r="A1697" s="1828" t="s">
        <v>1982</v>
      </c>
      <c r="B1697" s="2040" t="s">
        <v>2624</v>
      </c>
      <c r="C1697" s="1976"/>
      <c r="D1697" s="1976"/>
      <c r="E1697" s="521"/>
      <c r="F1697" s="1976"/>
      <c r="G1697" s="1955"/>
      <c r="H1697" s="1216" t="s">
        <v>5016</v>
      </c>
      <c r="I1697" s="1976"/>
      <c r="J1697" s="2835"/>
      <c r="K1697" s="2835" t="str">
        <f>'Part I-Project Information'!$K$94</f>
        <v>Income Averaging</v>
      </c>
      <c r="L1697" s="1976"/>
      <c r="M1697" s="1630"/>
      <c r="N1697" s="1630"/>
      <c r="O1697" s="1976"/>
      <c r="P1697" s="1976"/>
      <c r="Q1697" s="1630"/>
      <c r="R1697" s="2817"/>
      <c r="S1697" s="1976"/>
      <c r="T1697" s="1976"/>
      <c r="U1697" s="1976"/>
      <c r="V1697" s="1976"/>
      <c r="W1697" s="1976"/>
      <c r="X1697" s="1976"/>
    </row>
    <row r="1698" spans="1:24" ht="15" customHeight="1">
      <c r="A1698" s="1828"/>
      <c r="B1698" s="2038" t="s">
        <v>4808</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5">
      <c r="A1699" s="1993"/>
      <c r="B1699" s="2038"/>
      <c r="C1699" s="2038"/>
      <c r="D1699" s="2038"/>
      <c r="E1699" s="2038"/>
      <c r="F1699" s="2038"/>
      <c r="G1699" s="2038"/>
      <c r="H1699" s="2038"/>
      <c r="I1699" s="2038"/>
      <c r="J1699" s="2038"/>
      <c r="K1699" s="2038"/>
      <c r="L1699" s="2038"/>
      <c r="M1699" s="1633">
        <v>2</v>
      </c>
      <c r="N1699" s="2001" t="s">
        <v>1982</v>
      </c>
      <c r="O1699" s="2002">
        <f>'Part IX Scoring Criteria'!O51</f>
        <v>0</v>
      </c>
      <c r="P1699" s="2002">
        <f>MIN($M1699, P1700+P1701)</f>
        <v>0</v>
      </c>
      <c r="Q1699" s="1993"/>
      <c r="R1699" s="1993"/>
      <c r="S1699" s="1993"/>
      <c r="T1699" s="1993"/>
      <c r="U1699" s="1993"/>
      <c r="V1699" s="1993"/>
      <c r="W1699" s="1993"/>
      <c r="X1699" s="1993"/>
    </row>
    <row r="1700" spans="1:24" ht="15">
      <c r="A1700" s="1828"/>
      <c r="B1700" s="2836" t="s">
        <v>1985</v>
      </c>
      <c r="C1700" s="2837" t="s">
        <v>4809</v>
      </c>
      <c r="D1700" s="521"/>
      <c r="E1700" s="1993"/>
      <c r="F1700" s="1993"/>
      <c r="G1700" s="1993"/>
      <c r="H1700" s="521" t="s">
        <v>4810</v>
      </c>
      <c r="I1700" s="1652"/>
      <c r="J1700" s="1993"/>
      <c r="K1700" s="2838">
        <f>'Part VI-Revenues &amp; Expenses'!B1697</f>
        <v>0</v>
      </c>
      <c r="L1700" s="1659" t="str">
        <f>IF(AND(O1700&gt;0,O1701&gt;0), "CHOOSE EITHER A OR B, NOT BOTH!", "")</f>
        <v/>
      </c>
      <c r="M1700" s="1633">
        <v>2</v>
      </c>
      <c r="N1700" s="2013" t="s">
        <v>1985</v>
      </c>
      <c r="O1700" s="1863">
        <f>'Part IX Scoring Criteria'!O52</f>
        <v>0</v>
      </c>
      <c r="P1700" s="1863"/>
      <c r="Q1700" s="2839" t="str">
        <f>IF(OR($O1700=$M1700,$O1700=0,$O1700=""),"","*CHECK!*")</f>
        <v/>
      </c>
      <c r="R1700" s="1652" t="s">
        <v>2705</v>
      </c>
      <c r="S1700" s="1993"/>
      <c r="T1700" s="1993"/>
      <c r="U1700" s="1993"/>
      <c r="V1700" s="1993"/>
      <c r="W1700" s="1993"/>
      <c r="X1700" s="1993"/>
    </row>
    <row r="1701" spans="1:24" ht="15">
      <c r="A1701" s="1937" t="s">
        <v>3343</v>
      </c>
      <c r="B1701" s="2836" t="s">
        <v>1987</v>
      </c>
      <c r="C1701" s="2837" t="s">
        <v>4811</v>
      </c>
      <c r="D1701" s="521"/>
      <c r="E1701" s="1993"/>
      <c r="F1701" s="1993"/>
      <c r="G1701" s="1993"/>
      <c r="H1701" s="1993"/>
      <c r="I1701" s="1652"/>
      <c r="J1701" s="1993"/>
      <c r="K1701" s="521"/>
      <c r="L1701" s="1659"/>
      <c r="M1701" s="1633">
        <v>2</v>
      </c>
      <c r="N1701" s="2013" t="s">
        <v>1987</v>
      </c>
      <c r="O1701" s="1863">
        <f>'Part IX Scoring Criteria'!O53</f>
        <v>0</v>
      </c>
      <c r="P1701" s="1863"/>
      <c r="Q1701" s="2839" t="str">
        <f>IF(OR($O1701=$M1701,$O1701=0,$O1701=""),"","*CHECK!*")</f>
        <v/>
      </c>
      <c r="R1701" s="1652" t="s">
        <v>2705</v>
      </c>
      <c r="S1701" s="1993"/>
      <c r="T1701" s="1993"/>
      <c r="U1701" s="1993"/>
      <c r="V1701" s="1993"/>
      <c r="W1701" s="1993"/>
      <c r="X1701" s="1993"/>
    </row>
    <row r="1702" spans="1:24" ht="15">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c r="A1703" s="1828" t="s">
        <v>1984</v>
      </c>
      <c r="B1703" s="2040" t="s">
        <v>5171</v>
      </c>
      <c r="C1703" s="2006"/>
      <c r="D1703" s="2006"/>
      <c r="E1703" s="1955"/>
      <c r="F1703" s="2006"/>
      <c r="G1703" s="2006"/>
      <c r="H1703" s="1652" t="s">
        <v>4812</v>
      </c>
      <c r="I1703" s="1652"/>
      <c r="J1703" s="2840" t="s">
        <v>4813</v>
      </c>
      <c r="K1703" s="2006"/>
      <c r="L1703" s="2006"/>
      <c r="M1703" s="1633">
        <v>3</v>
      </c>
      <c r="N1703" s="1944" t="s">
        <v>1984</v>
      </c>
      <c r="O1703" s="2002">
        <f>'Part IX Scoring Criteria'!O55</f>
        <v>0</v>
      </c>
      <c r="P1703" s="2002">
        <f>IF(AND(P1704="Yes", P1705="Yes"),$M$55,0)</f>
        <v>0</v>
      </c>
      <c r="Q1703" s="2006"/>
      <c r="R1703" s="2006"/>
      <c r="S1703" s="2006"/>
      <c r="T1703" s="2006"/>
      <c r="U1703" s="2006"/>
      <c r="V1703" s="2006"/>
      <c r="W1703" s="2006"/>
      <c r="X1703" s="2006"/>
    </row>
    <row r="1704" spans="1:24" ht="15">
      <c r="A1704" s="2841"/>
      <c r="B1704" s="2836" t="s">
        <v>1985</v>
      </c>
      <c r="C1704" s="2842">
        <v>0.3</v>
      </c>
      <c r="D1704" s="1218" t="s">
        <v>3651</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1985</v>
      </c>
      <c r="O1704" s="2002" t="str">
        <f>'Part IX Scoring Criteria'!O56</f>
        <v>No</v>
      </c>
      <c r="P1704" s="2002" t="str">
        <f>IF(AND(L1704 &gt;= $C$56,P1705="Yes"),"Yes","No")</f>
        <v>No</v>
      </c>
      <c r="Q1704" s="2006"/>
      <c r="R1704" s="2006"/>
      <c r="S1704" s="2006"/>
      <c r="T1704" s="2006"/>
      <c r="U1704" s="2006"/>
      <c r="V1704" s="2006"/>
      <c r="W1704" s="2006"/>
      <c r="X1704" s="2006"/>
    </row>
    <row r="1705" spans="1:24" ht="15">
      <c r="A1705" s="1895"/>
      <c r="B1705" s="2836" t="s">
        <v>1987</v>
      </c>
      <c r="C1705" s="1849" t="s">
        <v>3955</v>
      </c>
      <c r="D1705" s="2006"/>
      <c r="E1705" s="2845"/>
      <c r="F1705" s="1964"/>
      <c r="G1705" s="2006"/>
      <c r="H1705" s="2006"/>
      <c r="I1705" s="1971"/>
      <c r="J1705" s="1971"/>
      <c r="K1705" s="1971"/>
      <c r="L1705" s="1971"/>
      <c r="M1705" s="1971"/>
      <c r="N1705" s="2001" t="s">
        <v>1987</v>
      </c>
      <c r="O1705" s="1895">
        <f>'Part IX Scoring Criteria'!O57</f>
        <v>0</v>
      </c>
      <c r="P1705" s="1895"/>
      <c r="Q1705" s="2006"/>
      <c r="R1705" s="2006"/>
      <c r="S1705" s="2006"/>
      <c r="T1705" s="2006"/>
      <c r="U1705" s="2006"/>
      <c r="V1705" s="2006"/>
      <c r="W1705" s="2006"/>
      <c r="X1705" s="2006"/>
    </row>
    <row r="1706" spans="1:24" ht="15">
      <c r="A1706" s="1631"/>
      <c r="B1706" s="1866" t="s">
        <v>1865</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742</v>
      </c>
      <c r="B1709" s="2764" t="s">
        <v>4095</v>
      </c>
      <c r="C1709" s="1976"/>
      <c r="D1709" s="2012"/>
      <c r="E1709" s="1976"/>
      <c r="F1709" s="1976"/>
      <c r="G1709" s="1976"/>
      <c r="H1709" s="1976"/>
      <c r="I1709" s="1785" t="s">
        <v>3769</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c r="A1711" s="1828"/>
      <c r="B1711" s="521" t="s">
        <v>3854</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1982</v>
      </c>
      <c r="B1712" s="1634" t="s">
        <v>1873</v>
      </c>
      <c r="C1712" s="1631"/>
      <c r="D1712" s="1631"/>
      <c r="E1712" s="1993"/>
      <c r="F1712" s="1647"/>
      <c r="G1712" s="1993"/>
      <c r="H1712" s="1694" t="s">
        <v>2717</v>
      </c>
      <c r="I1712" s="1785" t="s">
        <v>5172</v>
      </c>
      <c r="J1712" s="1785"/>
      <c r="K1712" s="1785"/>
      <c r="L1712" s="1785"/>
      <c r="M1712" s="1630">
        <v>10</v>
      </c>
      <c r="N1712" s="2013" t="s">
        <v>1982</v>
      </c>
      <c r="O1712" s="1863">
        <f>'Part IX Scoring Criteria'!O64</f>
        <v>0</v>
      </c>
      <c r="P1712" s="1863"/>
      <c r="Q1712" s="2839" t="str">
        <f>IF(OR($O1712=$M1712,$O1712=0,$O1712=""),"","*CHECK!*")</f>
        <v/>
      </c>
      <c r="R1712" s="1993"/>
      <c r="S1712" s="1993"/>
      <c r="T1712" s="1993"/>
      <c r="U1712" s="1993"/>
      <c r="V1712" s="1993"/>
      <c r="W1712" s="1993"/>
      <c r="X1712" s="1993"/>
    </row>
    <row r="1713" spans="1:24" ht="16.5">
      <c r="A1713" s="1828" t="s">
        <v>1984</v>
      </c>
      <c r="B1713" s="1634" t="s">
        <v>3843</v>
      </c>
      <c r="C1713" s="1993"/>
      <c r="D1713" s="2041"/>
      <c r="E1713" s="1993"/>
      <c r="F1713" s="2731"/>
      <c r="G1713" s="1993"/>
      <c r="H1713" s="1694" t="s">
        <v>3984</v>
      </c>
      <c r="I1713" s="1785"/>
      <c r="J1713" s="1785"/>
      <c r="K1713" s="1785"/>
      <c r="L1713" s="1785"/>
      <c r="M1713" s="1895" t="s">
        <v>1238</v>
      </c>
      <c r="N1713" s="1937" t="s">
        <v>1984</v>
      </c>
      <c r="O1713" s="1863">
        <f>'Part IX Scoring Criteria'!O65</f>
        <v>0</v>
      </c>
      <c r="P1713" s="1863"/>
      <c r="Q1713" s="1993"/>
      <c r="R1713" s="1993"/>
      <c r="S1713" s="1993"/>
      <c r="T1713" s="1993"/>
      <c r="U1713" s="1993"/>
      <c r="V1713" s="1993"/>
      <c r="W1713" s="1993"/>
      <c r="X1713" s="1993"/>
    </row>
    <row r="1714" spans="1:24" ht="15">
      <c r="A1714" s="1631"/>
      <c r="B1714" s="1866" t="s">
        <v>3754</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5">
      <c r="A1716" s="1631"/>
      <c r="B1716" s="1866" t="s">
        <v>1865</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1792</v>
      </c>
      <c r="B1719" s="2764" t="s">
        <v>2630</v>
      </c>
      <c r="C1719" s="1976"/>
      <c r="D1719" s="2012"/>
      <c r="E1719" s="1976"/>
      <c r="F1719" s="1976"/>
      <c r="G1719" s="1976"/>
      <c r="H1719" s="1976"/>
      <c r="I1719" s="1976"/>
      <c r="J1719" s="1976"/>
      <c r="K1719" s="2018" t="s">
        <v>1878</v>
      </c>
      <c r="L1719" s="1976"/>
      <c r="M1719" s="1630">
        <v>6</v>
      </c>
      <c r="N1719" s="1937"/>
      <c r="O1719" s="1863">
        <f>'Part IX Scoring Criteria'!O71</f>
        <v>0</v>
      </c>
      <c r="P1719" s="1863">
        <f>IF($J$72="Flexible",MIN($M1719,MAX(P1734,P1740)),IF(AND($J$72="Rural",P1748&gt;0),MIN($M1748,P1748),0))</f>
        <v>0</v>
      </c>
      <c r="Q1719" s="1630" t="s">
        <v>441</v>
      </c>
      <c r="R1719" s="2019" t="s">
        <v>5173</v>
      </c>
      <c r="S1719" s="2019"/>
      <c r="T1719" s="2019"/>
      <c r="U1719" s="2019"/>
      <c r="V1719" s="1976"/>
      <c r="W1719" s="1976"/>
      <c r="X1719" s="1976"/>
    </row>
    <row r="1720" spans="1:24" ht="15">
      <c r="A1720" s="2828"/>
      <c r="B1720" s="1634" t="s">
        <v>3958</v>
      </c>
      <c r="C1720" s="1976"/>
      <c r="D1720" s="2012"/>
      <c r="E1720" s="1976"/>
      <c r="F1720" s="1976"/>
      <c r="G1720" s="1976"/>
      <c r="H1720" s="1634" t="s">
        <v>2793</v>
      </c>
      <c r="I1720" s="1486"/>
      <c r="J1720" s="1634" t="str">
        <f>'Part I-Project Information'!$H$105</f>
        <v>N/A - 4% Bond</v>
      </c>
      <c r="K1720" s="1634"/>
      <c r="L1720" s="1976"/>
      <c r="M1720" s="1630"/>
      <c r="N1720" s="1937"/>
      <c r="O1720" s="2020" t="s">
        <v>3595</v>
      </c>
      <c r="P1720" s="2020" t="s">
        <v>3596</v>
      </c>
      <c r="Q1720" s="1630"/>
      <c r="R1720" s="2019"/>
      <c r="S1720" s="2019"/>
      <c r="T1720" s="2019"/>
      <c r="U1720" s="2019"/>
      <c r="V1720" s="1976"/>
      <c r="W1720" s="1976"/>
      <c r="X1720" s="1976"/>
    </row>
    <row r="1721" spans="1:24" ht="15">
      <c r="A1721" s="2828"/>
      <c r="B1721" s="2093" t="s">
        <v>1985</v>
      </c>
      <c r="C1721" s="521" t="s">
        <v>4820</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5">
      <c r="A1722" s="2828"/>
      <c r="B1722" s="2093" t="s">
        <v>1987</v>
      </c>
      <c r="C1722" s="521" t="s">
        <v>4821</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5">
      <c r="A1723" s="2828"/>
      <c r="B1723" s="2093" t="s">
        <v>2533</v>
      </c>
      <c r="C1723" s="521" t="s">
        <v>5174</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5">
      <c r="A1724" s="2828"/>
      <c r="B1724" s="2093" t="s">
        <v>1224</v>
      </c>
      <c r="C1724" s="521" t="s">
        <v>4815</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5">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c r="A1726" s="2828"/>
      <c r="B1726" s="1634" t="s">
        <v>3964</v>
      </c>
      <c r="C1726" s="1976"/>
      <c r="D1726" s="2012"/>
      <c r="E1726" s="1976"/>
      <c r="F1726" s="1634" t="s">
        <v>3716</v>
      </c>
      <c r="G1726" s="1634"/>
      <c r="H1726" s="1634"/>
      <c r="I1726" s="1634"/>
      <c r="J1726" s="1634" t="s">
        <v>3717</v>
      </c>
      <c r="K1726" s="1634"/>
      <c r="L1726" s="1634"/>
      <c r="M1726" s="1634"/>
      <c r="N1726" s="1937"/>
      <c r="O1726" s="2846" t="s">
        <v>5175</v>
      </c>
      <c r="P1726" s="2846"/>
      <c r="Q1726" s="1630"/>
      <c r="R1726" s="2019"/>
      <c r="S1726" s="2019"/>
      <c r="T1726" s="2019"/>
      <c r="U1726" s="2019"/>
      <c r="V1726" s="1976"/>
      <c r="W1726" s="1976"/>
      <c r="X1726" s="1976"/>
    </row>
    <row r="1727" spans="1:24" ht="15">
      <c r="A1727" s="2828"/>
      <c r="B1727" s="1976"/>
      <c r="C1727" s="1634" t="s">
        <v>3963</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4141</v>
      </c>
      <c r="B1728" s="2847"/>
      <c r="C1728" s="1976"/>
      <c r="D1728" s="521" t="s">
        <v>3965</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c r="A1729" s="2847"/>
      <c r="B1729" s="2847"/>
      <c r="C1729" s="1634" t="s">
        <v>4093</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c r="A1730" s="2847"/>
      <c r="B1730" s="2847"/>
      <c r="C1730" s="1976"/>
      <c r="D1730" s="1976"/>
      <c r="E1730" s="1937" t="s">
        <v>4092</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c r="A1732" s="2848" t="s">
        <v>2784</v>
      </c>
      <c r="B1732" s="2764"/>
      <c r="C1732" s="1976"/>
      <c r="D1732" s="2012"/>
      <c r="E1732" s="1976"/>
      <c r="F1732" s="1842" t="s">
        <v>5176</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c r="A1734" s="2079" t="s">
        <v>1982</v>
      </c>
      <c r="B1734" s="1634" t="s">
        <v>3747</v>
      </c>
      <c r="C1734" s="1976"/>
      <c r="D1734" s="2012"/>
      <c r="E1734" s="1976"/>
      <c r="F1734" s="1866" t="s">
        <v>5177</v>
      </c>
      <c r="G1734" s="1976"/>
      <c r="H1734" s="1976"/>
      <c r="I1734" s="1976"/>
      <c r="J1734" s="1976"/>
      <c r="K1734" s="1976"/>
      <c r="L1734" s="1976"/>
      <c r="M1734" s="1630">
        <v>6</v>
      </c>
      <c r="N1734" s="2001" t="s">
        <v>1982</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1985</v>
      </c>
      <c r="C1735" s="1900" t="s">
        <v>5178</v>
      </c>
      <c r="D1735" s="1900"/>
      <c r="E1735" s="1900"/>
      <c r="F1735" s="1900"/>
      <c r="G1735" s="1900"/>
      <c r="H1735" s="1900"/>
      <c r="I1735" s="2027" t="s">
        <v>5179</v>
      </c>
      <c r="J1735" s="2027"/>
      <c r="K1735" s="2027"/>
      <c r="L1735" s="2027"/>
      <c r="M1735" s="2030">
        <v>5</v>
      </c>
      <c r="N1735" s="2021" t="s">
        <v>1985</v>
      </c>
      <c r="O1735" s="2806">
        <f>'Part IX Scoring Criteria'!O87</f>
        <v>0</v>
      </c>
      <c r="P1735" s="2806"/>
      <c r="Q1735" s="2839" t="str">
        <f>IF(OR($O1735=$M1735,$O1735=0,$O1735=""),"","*CHECK!*")</f>
        <v/>
      </c>
      <c r="R1735" s="1652" t="s">
        <v>2705</v>
      </c>
      <c r="S1735" s="2028"/>
      <c r="T1735" s="2028"/>
      <c r="U1735" s="2028"/>
      <c r="V1735" s="2028"/>
      <c r="W1735" s="2028"/>
      <c r="X1735" s="2028"/>
    </row>
    <row r="1736" spans="1:24" ht="15" customHeight="1">
      <c r="A1736" s="1895" t="s">
        <v>1353</v>
      </c>
      <c r="B1736" s="2021" t="s">
        <v>1987</v>
      </c>
      <c r="C1736" s="1921" t="s">
        <v>5180</v>
      </c>
      <c r="D1736" s="1921"/>
      <c r="E1736" s="1921"/>
      <c r="F1736" s="1921"/>
      <c r="G1736" s="1921"/>
      <c r="H1736" s="1895" t="str">
        <f>IF(AND(O1736&gt;0,O1735&gt;0),"Pick A1 or A2!","")</f>
        <v/>
      </c>
      <c r="I1736" s="2027"/>
      <c r="J1736" s="2027"/>
      <c r="K1736" s="2027"/>
      <c r="L1736" s="2027"/>
      <c r="M1736" s="1630">
        <v>4</v>
      </c>
      <c r="N1736" s="2093" t="s">
        <v>1987</v>
      </c>
      <c r="O1736" s="1863">
        <f>'Part IX Scoring Criteria'!O88</f>
        <v>0</v>
      </c>
      <c r="P1736" s="1863"/>
      <c r="Q1736" s="2839" t="str">
        <f>IF(OR($O1736=$M1736,$O1736=0,$O1736=""),"","*CHECK!*")</f>
        <v/>
      </c>
      <c r="R1736" s="1652" t="s">
        <v>2705</v>
      </c>
      <c r="S1736" s="2028"/>
      <c r="T1736" s="2028"/>
      <c r="U1736" s="2028"/>
      <c r="V1736" s="2028"/>
      <c r="W1736" s="2028"/>
      <c r="X1736" s="2028"/>
    </row>
    <row r="1737" spans="1:24" ht="15" customHeight="1">
      <c r="A1737" s="2028"/>
      <c r="B1737" s="2021" t="s">
        <v>2533</v>
      </c>
      <c r="C1737" s="1921" t="s">
        <v>3748</v>
      </c>
      <c r="D1737" s="1921"/>
      <c r="E1737" s="1921"/>
      <c r="F1737" s="1921"/>
      <c r="G1737" s="2028"/>
      <c r="H1737" s="2028"/>
      <c r="I1737" s="2027"/>
      <c r="J1737" s="2027"/>
      <c r="K1737" s="2027"/>
      <c r="L1737" s="2027"/>
      <c r="M1737" s="1630">
        <v>1</v>
      </c>
      <c r="N1737" s="2093" t="s">
        <v>2533</v>
      </c>
      <c r="O1737" s="1863">
        <f>'Part IX Scoring Criteria'!O89</f>
        <v>0</v>
      </c>
      <c r="P1737" s="1863"/>
      <c r="Q1737" s="2839" t="str">
        <f>IF(OR($O1737=$M1737,$O1737=0,$O1737=""),"","*CHECK!*")</f>
        <v/>
      </c>
      <c r="R1737" s="1652" t="s">
        <v>2705</v>
      </c>
      <c r="S1737" s="2028"/>
      <c r="T1737" s="2028"/>
      <c r="U1737" s="2028"/>
      <c r="V1737" s="2028"/>
      <c r="W1737" s="2028"/>
      <c r="X1737" s="2028"/>
    </row>
    <row r="1738" spans="1:24" ht="15" customHeight="1">
      <c r="A1738" s="2028"/>
      <c r="B1738" s="2021"/>
      <c r="C1738" s="1694" t="s">
        <v>4091</v>
      </c>
      <c r="D1738" s="1921"/>
      <c r="E1738" s="1921"/>
      <c r="F1738" s="1689" t="str">
        <f>'Part I-Project Information'!$H$82</f>
        <v>Family</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1984</v>
      </c>
      <c r="B1740" s="1484" t="s">
        <v>3749</v>
      </c>
      <c r="C1740" s="1484"/>
      <c r="D1740" s="1484"/>
      <c r="E1740" s="1484"/>
      <c r="F1740" s="1897" t="s">
        <v>5181</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1984</v>
      </c>
      <c r="O1740" s="1863">
        <f>'Part IX Scoring Criteria'!O92</f>
        <v>0</v>
      </c>
      <c r="P1740" s="1863">
        <f>IF($J$72="Flexible",MIN($M1740,P1743+P1744+P1745),0)</f>
        <v>0</v>
      </c>
      <c r="Q1740" s="2818"/>
      <c r="R1740" s="1845"/>
      <c r="S1740" s="2028"/>
      <c r="T1740" s="2028"/>
      <c r="U1740" s="2028"/>
      <c r="V1740" s="2028"/>
      <c r="W1740" s="2028"/>
      <c r="X1740" s="2028"/>
    </row>
    <row r="1741" spans="1:24" ht="15">
      <c r="A1741" s="2828"/>
      <c r="B1741" s="1937" t="s">
        <v>3780</v>
      </c>
      <c r="C1741" s="1652" t="s">
        <v>4818</v>
      </c>
      <c r="D1741" s="2041"/>
      <c r="E1741" s="1993"/>
      <c r="F1741" s="1993"/>
      <c r="G1741" s="1993"/>
      <c r="H1741" s="1866"/>
      <c r="I1741" s="1890"/>
      <c r="J1741" s="1890"/>
      <c r="K1741" s="1890"/>
      <c r="L1741" s="2165"/>
      <c r="M1741" s="1993"/>
      <c r="N1741" s="1937" t="s">
        <v>3780</v>
      </c>
      <c r="O1741" s="1895">
        <f>'Part IX Scoring Criteria'!O93</f>
        <v>0</v>
      </c>
      <c r="P1741" s="1895"/>
      <c r="Q1741" s="1630"/>
      <c r="R1741" s="1845"/>
      <c r="S1741" s="2028"/>
      <c r="T1741" s="2028"/>
      <c r="U1741" s="2028"/>
      <c r="V1741" s="1976"/>
      <c r="W1741" s="1976"/>
      <c r="X1741" s="1976"/>
    </row>
    <row r="1742" spans="1:24" ht="15" customHeight="1">
      <c r="A1742" s="2828"/>
      <c r="B1742" s="1937" t="s">
        <v>3781</v>
      </c>
      <c r="C1742" s="1652" t="s">
        <v>4817</v>
      </c>
      <c r="D1742" s="2041"/>
      <c r="E1742" s="1993"/>
      <c r="F1742" s="1993"/>
      <c r="G1742" s="1993"/>
      <c r="H1742" s="1866"/>
      <c r="I1742" s="1890" t="str">
        <f>'Part IX Scoring Criteria'!I94</f>
        <v>&lt;&lt; Enter email address of the transit service here &gt;&gt;</v>
      </c>
      <c r="J1742" s="1890"/>
      <c r="K1742" s="1890"/>
      <c r="L1742" s="1890"/>
      <c r="M1742" s="1993"/>
      <c r="N1742" s="1937" t="s">
        <v>3781</v>
      </c>
      <c r="O1742" s="1895">
        <f>'Part IX Scoring Criteria'!O94</f>
        <v>0</v>
      </c>
      <c r="P1742" s="1895"/>
      <c r="Q1742" s="1630"/>
      <c r="R1742" s="1845"/>
      <c r="S1742" s="2028"/>
      <c r="T1742" s="2028"/>
      <c r="U1742" s="2028"/>
      <c r="V1742" s="1976"/>
      <c r="W1742" s="1976"/>
      <c r="X1742" s="1976"/>
    </row>
    <row r="1743" spans="1:24" ht="15" customHeight="1">
      <c r="A1743" s="1828"/>
      <c r="B1743" s="2849" t="s">
        <v>1985</v>
      </c>
      <c r="C1743" s="1867" t="s">
        <v>5182</v>
      </c>
      <c r="D1743" s="1867"/>
      <c r="E1743" s="1867"/>
      <c r="F1743" s="1867"/>
      <c r="G1743" s="1867"/>
      <c r="H1743" s="1867"/>
      <c r="I1743" s="1890"/>
      <c r="J1743" s="1890"/>
      <c r="K1743" s="1890"/>
      <c r="L1743" s="1890"/>
      <c r="M1743" s="1630">
        <v>3</v>
      </c>
      <c r="N1743" s="2093" t="s">
        <v>1985</v>
      </c>
      <c r="O1743" s="1863">
        <f>'Part IX Scoring Criteria'!O95</f>
        <v>0</v>
      </c>
      <c r="P1743" s="1863"/>
      <c r="Q1743" s="2807" t="str">
        <f>IF(OR($O1743=$M1743,$O1743=0,$O1743=""),"","*CHECK!*")</f>
        <v/>
      </c>
      <c r="R1743" s="1845" t="s">
        <v>2705</v>
      </c>
      <c r="S1743" s="2028"/>
      <c r="T1743" s="2028"/>
      <c r="U1743" s="2028"/>
      <c r="V1743" s="2028"/>
      <c r="W1743" s="2028"/>
      <c r="X1743" s="2028"/>
    </row>
    <row r="1744" spans="1:24" ht="15" customHeight="1">
      <c r="A1744" s="1895" t="s">
        <v>1353</v>
      </c>
      <c r="B1744" s="2849" t="s">
        <v>1987</v>
      </c>
      <c r="C1744" s="1867" t="s">
        <v>5183</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1987</v>
      </c>
      <c r="O1744" s="1863">
        <f>'Part IX Scoring Criteria'!O96</f>
        <v>0</v>
      </c>
      <c r="P1744" s="1863"/>
      <c r="Q1744" s="2807" t="str">
        <f>IF(OR($O1744=$M1744,$O1744=0,$O1744=""),"","*CHECK!*")</f>
        <v/>
      </c>
      <c r="R1744" s="1845" t="s">
        <v>2705</v>
      </c>
      <c r="S1744" s="1976"/>
      <c r="T1744" s="1976"/>
      <c r="U1744" s="1976"/>
      <c r="V1744" s="1976"/>
      <c r="W1744" s="1976"/>
      <c r="X1744" s="1976"/>
    </row>
    <row r="1745" spans="1:24" ht="15" customHeight="1">
      <c r="A1745" s="1895" t="s">
        <v>1353</v>
      </c>
      <c r="B1745" s="2849" t="s">
        <v>2533</v>
      </c>
      <c r="C1745" s="1867" t="s">
        <v>5184</v>
      </c>
      <c r="D1745" s="1867"/>
      <c r="E1745" s="1867"/>
      <c r="F1745" s="1867"/>
      <c r="G1745" s="1867"/>
      <c r="H1745" s="1867"/>
      <c r="I1745" s="1890"/>
      <c r="J1745" s="1890"/>
      <c r="K1745" s="1890"/>
      <c r="L1745" s="1890"/>
      <c r="M1745" s="1630">
        <v>1</v>
      </c>
      <c r="N1745" s="2093" t="s">
        <v>2533</v>
      </c>
      <c r="O1745" s="1863">
        <f>'Part IX Scoring Criteria'!O97</f>
        <v>0</v>
      </c>
      <c r="P1745" s="1863"/>
      <c r="Q1745" s="2807" t="str">
        <f>IF(OR($O1745=$M1745,$O1745=0,$O1745=""),"","*CHECK!*")</f>
        <v/>
      </c>
      <c r="R1745" s="1845" t="s">
        <v>2705</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5">
      <c r="A1747" s="2848" t="s">
        <v>2786</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1224</v>
      </c>
      <c r="C1748" s="2038" t="s">
        <v>5185</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2705</v>
      </c>
      <c r="S1748" s="1993"/>
      <c r="T1748" s="1993"/>
      <c r="U1748" s="1993"/>
      <c r="V1748" s="1993"/>
      <c r="W1748" s="1993"/>
      <c r="X1748" s="1993"/>
    </row>
    <row r="1749" spans="1:24" ht="15">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5">
      <c r="A1750" s="521" t="s">
        <v>5186</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5">
      <c r="A1751" s="1631"/>
      <c r="B1751" s="1866" t="s">
        <v>1865</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5">
      <c r="N1753" s="1637"/>
      <c r="O1753" s="1637"/>
      <c r="P1753" s="1637"/>
      <c r="R1753" s="1976"/>
    </row>
    <row r="1754" spans="1:24" ht="1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c r="A1755" s="2828" t="s">
        <v>1794</v>
      </c>
      <c r="B1755" s="2764" t="s">
        <v>3982</v>
      </c>
      <c r="C1755" s="1976"/>
      <c r="D1755" s="521"/>
      <c r="E1755" s="521"/>
      <c r="F1755" s="1630"/>
      <c r="G1755" s="1630"/>
      <c r="H1755" s="1630"/>
      <c r="I1755" s="1842" t="s">
        <v>5176</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c r="A1757" s="1828" t="s">
        <v>1982</v>
      </c>
      <c r="B1757" s="1634" t="s">
        <v>3983</v>
      </c>
      <c r="C1757" s="1993"/>
      <c r="D1757" s="2041"/>
      <c r="E1757" s="521" t="s">
        <v>4097</v>
      </c>
      <c r="F1757" s="1993"/>
      <c r="G1757" s="1841"/>
      <c r="H1757" s="1993"/>
      <c r="I1757" s="1937" t="s">
        <v>4091</v>
      </c>
      <c r="J1757" s="1841" t="str">
        <f>'Part I-Project Information'!$H$82</f>
        <v>Family</v>
      </c>
      <c r="K1757" s="2041"/>
      <c r="L1757" s="2817" t="str">
        <f>IF(OR($O1757=$M1757,$O1757=0,$O1757=""),"","* * Check Score! * *")</f>
        <v/>
      </c>
      <c r="M1757" s="1630">
        <v>3</v>
      </c>
      <c r="N1757" s="1937" t="s">
        <v>1982</v>
      </c>
      <c r="O1757" s="1863">
        <f>'Part IX Scoring Criteria'!O109</f>
        <v>0</v>
      </c>
      <c r="P1757" s="1863"/>
      <c r="Q1757" s="2839" t="str">
        <f>IF(OR($O1757=$M1757,$O1757=0,$O1757=""),"","*CHECK!*")</f>
        <v/>
      </c>
      <c r="R1757" s="1652" t="s">
        <v>2705</v>
      </c>
      <c r="S1757" s="1993"/>
      <c r="T1757" s="1993"/>
      <c r="U1757" s="1993"/>
      <c r="V1757" s="1993"/>
      <c r="W1757" s="1993"/>
      <c r="X1757" s="1993"/>
    </row>
    <row r="1758" spans="1:24" ht="15">
      <c r="A1758" s="1631"/>
      <c r="B1758" s="1216" t="s">
        <v>4615</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c r="A1759" s="1631"/>
      <c r="B1759" s="2851" t="s">
        <v>1985</v>
      </c>
      <c r="C1759" s="521" t="s">
        <v>5118</v>
      </c>
      <c r="D1759" s="521"/>
      <c r="E1759" s="521"/>
      <c r="F1759" s="1630"/>
      <c r="G1759" s="1630"/>
      <c r="H1759" s="1630"/>
      <c r="I1759" s="1630"/>
      <c r="J1759" s="1841"/>
      <c r="K1759" s="1841"/>
      <c r="L1759" s="1841"/>
      <c r="M1759" s="1895"/>
      <c r="N1759" s="2013" t="s">
        <v>1985</v>
      </c>
      <c r="O1759" s="1895">
        <f>'Part IX Scoring Criteria'!O111</f>
        <v>0</v>
      </c>
      <c r="P1759" s="1895"/>
      <c r="Q1759" s="1976"/>
      <c r="R1759" s="1976"/>
      <c r="S1759" s="1976"/>
      <c r="T1759" s="1976"/>
      <c r="U1759" s="1976"/>
      <c r="V1759" s="1976"/>
      <c r="W1759" s="1976"/>
      <c r="X1759" s="1976"/>
    </row>
    <row r="1760" spans="1:24" ht="15">
      <c r="A1760" s="1631"/>
      <c r="B1760" s="2851" t="s">
        <v>1987</v>
      </c>
      <c r="C1760" s="521" t="s">
        <v>5119</v>
      </c>
      <c r="D1760" s="521"/>
      <c r="E1760" s="521"/>
      <c r="F1760" s="1630"/>
      <c r="G1760" s="1630"/>
      <c r="H1760" s="1630"/>
      <c r="I1760" s="1630"/>
      <c r="J1760" s="1841"/>
      <c r="K1760" s="1841"/>
      <c r="L1760" s="1841"/>
      <c r="M1760" s="1895"/>
      <c r="N1760" s="2013" t="s">
        <v>1987</v>
      </c>
      <c r="O1760" s="1895">
        <f>'Part IX Scoring Criteria'!O112</f>
        <v>0</v>
      </c>
      <c r="P1760" s="1895"/>
      <c r="Q1760" s="1976"/>
      <c r="R1760" s="1976"/>
      <c r="S1760" s="1976"/>
      <c r="T1760" s="1976"/>
      <c r="U1760" s="1976"/>
      <c r="V1760" s="1976"/>
      <c r="W1760" s="1976"/>
      <c r="X1760" s="1976"/>
    </row>
    <row r="1761" spans="1:24" ht="18.75">
      <c r="A1761" s="1937"/>
      <c r="B1761" s="2851" t="s">
        <v>2533</v>
      </c>
      <c r="C1761" s="521" t="s">
        <v>4823</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75">
      <c r="A1763" s="1828" t="s">
        <v>1984</v>
      </c>
      <c r="B1763" s="1634" t="s">
        <v>3986</v>
      </c>
      <c r="C1763" s="1993"/>
      <c r="D1763" s="1993"/>
      <c r="E1763" s="1993"/>
      <c r="F1763" s="521"/>
      <c r="G1763" s="521"/>
      <c r="H1763" s="1993"/>
      <c r="I1763" s="1993"/>
      <c r="J1763" s="1993"/>
      <c r="K1763" s="1993"/>
      <c r="L1763" s="2817" t="str">
        <f>IF(OR($O1763=$M1763,$O1763=0,$O1763=""),"","* * Check Score! * *")</f>
        <v/>
      </c>
      <c r="M1763" s="1633">
        <v>3</v>
      </c>
      <c r="N1763" s="1937" t="s">
        <v>1984</v>
      </c>
      <c r="O1763" s="1863">
        <f>'Part IX Scoring Criteria'!O115</f>
        <v>0</v>
      </c>
      <c r="P1763" s="1863"/>
      <c r="Q1763" s="2839" t="str">
        <f>IF(OR($O1763=$M1763,$O1763=0,$O1763=""),"","*CHECK!*")</f>
        <v/>
      </c>
      <c r="R1763" s="1652" t="s">
        <v>2705</v>
      </c>
      <c r="S1763" s="2819"/>
      <c r="T1763" s="2819"/>
      <c r="U1763" s="1993"/>
      <c r="V1763" s="1993"/>
      <c r="W1763" s="1993"/>
      <c r="X1763" s="1993"/>
    </row>
    <row r="1764" spans="1:24" ht="18.75">
      <c r="A1764" s="1828"/>
      <c r="B1764" s="2044"/>
      <c r="C1764" s="521" t="s">
        <v>3987</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75">
      <c r="A1765" s="1828"/>
      <c r="B1765" s="2044"/>
      <c r="C1765" s="521" t="s">
        <v>4574</v>
      </c>
      <c r="D1765" s="1652" t="s">
        <v>4825</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75">
      <c r="A1766" s="1828"/>
      <c r="B1766" s="521"/>
      <c r="C1766" s="521" t="s">
        <v>3990</v>
      </c>
      <c r="D1766" s="1993"/>
      <c r="E1766" s="521"/>
      <c r="F1766" s="521"/>
      <c r="G1766" s="521"/>
      <c r="H1766" s="1993"/>
      <c r="I1766" s="1993"/>
      <c r="J1766" s="1993"/>
      <c r="K1766" s="1993"/>
      <c r="L1766" s="1993"/>
      <c r="M1766" s="1630"/>
      <c r="N1766" s="1944" t="s">
        <v>3780</v>
      </c>
      <c r="O1766" s="1895">
        <f>'Part IX Scoring Criteria'!O118</f>
        <v>0</v>
      </c>
      <c r="P1766" s="1895"/>
      <c r="Q1766" s="2819"/>
      <c r="R1766" s="2819"/>
      <c r="S1766" s="2819"/>
      <c r="T1766" s="2819"/>
      <c r="U1766" s="1993"/>
      <c r="V1766" s="1993"/>
      <c r="W1766" s="1993"/>
      <c r="X1766" s="1993"/>
    </row>
    <row r="1767" spans="1:24" ht="18.75">
      <c r="A1767" s="1937"/>
      <c r="B1767" s="2093"/>
      <c r="C1767" s="521" t="s">
        <v>3991</v>
      </c>
      <c r="D1767" s="521"/>
      <c r="E1767" s="521"/>
      <c r="F1767" s="521"/>
      <c r="G1767" s="521"/>
      <c r="H1767" s="521"/>
      <c r="I1767" s="521"/>
      <c r="J1767" s="521"/>
      <c r="K1767" s="521"/>
      <c r="L1767" s="521"/>
      <c r="M1767" s="1895"/>
      <c r="N1767" s="1937" t="s">
        <v>3781</v>
      </c>
      <c r="O1767" s="1895">
        <f>'Part IX Scoring Criteria'!O119</f>
        <v>0</v>
      </c>
      <c r="P1767" s="1895"/>
      <c r="Q1767" s="2819"/>
      <c r="R1767" s="2819"/>
      <c r="S1767" s="2819"/>
      <c r="T1767" s="2819"/>
      <c r="U1767" s="521"/>
      <c r="V1767" s="521"/>
      <c r="W1767" s="521"/>
      <c r="X1767" s="521"/>
    </row>
    <row r="1768" spans="1:24">
      <c r="A1768" s="1937"/>
      <c r="B1768" s="1216"/>
      <c r="C1768" s="1216" t="s">
        <v>4125</v>
      </c>
      <c r="D1768" s="1216"/>
      <c r="E1768" s="521"/>
      <c r="F1768" s="521"/>
      <c r="G1768" s="521"/>
      <c r="H1768" s="1216"/>
      <c r="I1768" s="1216"/>
      <c r="J1768" s="1216"/>
      <c r="K1768" s="1216"/>
      <c r="L1768" s="1955" t="s">
        <v>3817</v>
      </c>
      <c r="M1768" s="1955"/>
      <c r="N1768" s="1955"/>
      <c r="O1768" s="1955" t="s">
        <v>3816</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c r="A1773" s="1993"/>
      <c r="B1773" s="2044"/>
      <c r="C1773" s="521" t="s">
        <v>4575</v>
      </c>
      <c r="D1773" s="521" t="s">
        <v>3992</v>
      </c>
      <c r="E1773" s="521"/>
      <c r="F1773" s="521"/>
      <c r="G1773" s="521"/>
      <c r="H1773" s="1993"/>
      <c r="I1773" s="1993"/>
      <c r="J1773" s="1993"/>
      <c r="K1773" s="1993"/>
      <c r="L1773" s="1993"/>
      <c r="M1773" s="1993"/>
      <c r="N1773" s="1944" t="s">
        <v>3780</v>
      </c>
      <c r="O1773" s="1895">
        <f>'Part IX Scoring Criteria'!O125</f>
        <v>0</v>
      </c>
      <c r="P1773" s="1895"/>
      <c r="Q1773" s="1652"/>
      <c r="R1773" s="1216"/>
      <c r="S1773" s="1216"/>
      <c r="T1773" s="1216"/>
      <c r="U1773" s="1216"/>
      <c r="V1773" s="1993"/>
      <c r="W1773" s="1993"/>
      <c r="X1773" s="1993"/>
    </row>
    <row r="1774" spans="1:24" ht="15">
      <c r="A1774" s="1828"/>
      <c r="B1774" s="521"/>
      <c r="C1774" s="1993"/>
      <c r="D1774" s="521" t="s">
        <v>3993</v>
      </c>
      <c r="E1774" s="521"/>
      <c r="F1774" s="521"/>
      <c r="G1774" s="521"/>
      <c r="H1774" s="1993"/>
      <c r="I1774" s="1993"/>
      <c r="J1774" s="1993"/>
      <c r="K1774" s="1993"/>
      <c r="L1774" s="1993"/>
      <c r="M1774" s="1630"/>
      <c r="N1774" s="1937" t="s">
        <v>3781</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4824</v>
      </c>
      <c r="E1775" s="521"/>
      <c r="F1775" s="521"/>
      <c r="G1775" s="521"/>
      <c r="H1775" s="521"/>
      <c r="I1775" s="521"/>
      <c r="J1775" s="521"/>
      <c r="K1775" s="521"/>
      <c r="L1775" s="521"/>
      <c r="M1775" s="1895"/>
      <c r="N1775" s="1937" t="s">
        <v>3782</v>
      </c>
      <c r="O1775" s="521"/>
      <c r="P1775" s="521"/>
      <c r="Q1775" s="521"/>
      <c r="R1775" s="1216"/>
      <c r="S1775" s="1216"/>
      <c r="T1775" s="1216"/>
      <c r="U1775" s="1216"/>
      <c r="V1775" s="521"/>
      <c r="W1775" s="521"/>
      <c r="X1775" s="521"/>
    </row>
    <row r="1776" spans="1:24">
      <c r="A1776" s="1937"/>
      <c r="B1776" s="1937"/>
      <c r="C1776" s="1216"/>
      <c r="D1776" s="1937"/>
      <c r="E1776" s="1841" t="s">
        <v>4157</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4480</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4159</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4612</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4613</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4614</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c r="A1783" s="1828"/>
      <c r="B1783" s="521"/>
      <c r="C1783" s="1993"/>
      <c r="D1783" s="521" t="s">
        <v>4826</v>
      </c>
      <c r="E1783" s="521"/>
      <c r="F1783" s="521"/>
      <c r="G1783" s="521"/>
      <c r="H1783" s="1993"/>
      <c r="I1783" s="1993"/>
      <c r="J1783" s="1993"/>
      <c r="K1783" s="1993"/>
      <c r="L1783" s="1993"/>
      <c r="M1783" s="1630"/>
      <c r="N1783" s="1937" t="s">
        <v>3784</v>
      </c>
      <c r="O1783" s="1895">
        <f>'Part IX Scoring Criteria'!O135</f>
        <v>0</v>
      </c>
      <c r="P1783" s="1895"/>
      <c r="Q1783" s="1652"/>
      <c r="R1783" s="1216"/>
      <c r="S1783" s="1216"/>
      <c r="T1783" s="1216"/>
      <c r="U1783" s="1216"/>
      <c r="V1783" s="1993"/>
      <c r="W1783" s="1993"/>
      <c r="X1783" s="1993"/>
    </row>
    <row r="1784" spans="1:24" ht="1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75">
      <c r="A1785" s="1828" t="s">
        <v>749</v>
      </c>
      <c r="B1785" s="1634" t="s">
        <v>3818</v>
      </c>
      <c r="C1785" s="1993"/>
      <c r="D1785" s="521"/>
      <c r="E1785" s="1993"/>
      <c r="F1785" s="521"/>
      <c r="G1785" s="521"/>
      <c r="H1785" s="521"/>
      <c r="I1785" s="521"/>
      <c r="J1785" s="521"/>
      <c r="K1785" s="521"/>
      <c r="L1785" s="2817" t="str">
        <f>IF(OR($O1785=$M1785,$O1785=0,$O1785=""),"","* * Check Score! * *")</f>
        <v/>
      </c>
      <c r="M1785" s="1633">
        <v>1</v>
      </c>
      <c r="N1785" s="2013" t="s">
        <v>1987</v>
      </c>
      <c r="O1785" s="1863">
        <f>'Part IX Scoring Criteria'!O137</f>
        <v>0</v>
      </c>
      <c r="P1785" s="1863"/>
      <c r="Q1785" s="2839" t="str">
        <f>IF(OR($O1785=$M1785,$O1785=0,$O1785=""),"","*CHECK!*")</f>
        <v/>
      </c>
      <c r="R1785" s="1652" t="s">
        <v>2705</v>
      </c>
      <c r="S1785" s="2819"/>
      <c r="T1785" s="2819"/>
      <c r="U1785" s="2819"/>
      <c r="V1785" s="1993"/>
      <c r="W1785" s="1993"/>
      <c r="X1785" s="1993"/>
    </row>
    <row r="1786" spans="1:24" ht="18.75">
      <c r="A1786" s="1937"/>
      <c r="B1786" s="521"/>
      <c r="C1786" s="521" t="s">
        <v>3994</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5187</v>
      </c>
      <c r="D1787" s="1900"/>
      <c r="E1787" s="1900"/>
      <c r="F1787" s="1960"/>
      <c r="G1787" s="1841" t="s">
        <v>3995</v>
      </c>
      <c r="H1787" s="521"/>
      <c r="I1787" s="1960"/>
      <c r="J1787" s="1960"/>
      <c r="K1787" s="1960"/>
      <c r="L1787" s="1960"/>
      <c r="M1787" s="1937" t="s">
        <v>2434</v>
      </c>
      <c r="N1787" s="1937" t="s">
        <v>3780</v>
      </c>
      <c r="O1787" s="1895">
        <f>'Part IX Scoring Criteria'!O139</f>
        <v>0</v>
      </c>
      <c r="P1787" s="1895"/>
      <c r="Q1787" s="521"/>
      <c r="R1787" s="2819"/>
      <c r="S1787" s="2819"/>
      <c r="T1787" s="2819"/>
      <c r="U1787" s="2819"/>
      <c r="V1787" s="521"/>
      <c r="W1787" s="521"/>
      <c r="X1787" s="521"/>
    </row>
    <row r="1788" spans="1:24" ht="18.75">
      <c r="A1788" s="1937"/>
      <c r="B1788" s="2093"/>
      <c r="C1788" s="1900"/>
      <c r="D1788" s="1900"/>
      <c r="E1788" s="1900"/>
      <c r="F1788" s="1960"/>
      <c r="G1788" s="1841" t="s">
        <v>3996</v>
      </c>
      <c r="H1788" s="521"/>
      <c r="I1788" s="1960"/>
      <c r="J1788" s="1960"/>
      <c r="K1788" s="1960"/>
      <c r="L1788" s="1960"/>
      <c r="M1788" s="1895"/>
      <c r="N1788" s="1944" t="s">
        <v>3781</v>
      </c>
      <c r="O1788" s="1895">
        <f>'Part IX Scoring Criteria'!O140</f>
        <v>0</v>
      </c>
      <c r="P1788" s="1895"/>
      <c r="Q1788" s="521"/>
      <c r="R1788" s="2819"/>
      <c r="S1788" s="2819"/>
      <c r="T1788" s="2819"/>
      <c r="U1788" s="2819"/>
      <c r="V1788" s="521"/>
      <c r="W1788" s="521"/>
      <c r="X1788" s="521"/>
    </row>
    <row r="1789" spans="1:24" ht="18.75">
      <c r="A1789" s="1937"/>
      <c r="B1789" s="2093"/>
      <c r="C1789" s="1900"/>
      <c r="D1789" s="1900"/>
      <c r="E1789" s="1900"/>
      <c r="F1789" s="1960"/>
      <c r="G1789" s="1841" t="s">
        <v>3997</v>
      </c>
      <c r="H1789" s="521"/>
      <c r="I1789" s="1960"/>
      <c r="J1789" s="1960"/>
      <c r="K1789" s="1960"/>
      <c r="L1789" s="1960"/>
      <c r="M1789" s="1895"/>
      <c r="N1789" s="1937" t="s">
        <v>3782</v>
      </c>
      <c r="O1789" s="1895">
        <f>'Part IX Scoring Criteria'!O141</f>
        <v>0</v>
      </c>
      <c r="P1789" s="1895"/>
      <c r="Q1789" s="521"/>
      <c r="R1789" s="2819"/>
      <c r="S1789" s="2819"/>
      <c r="T1789" s="2819"/>
      <c r="U1789" s="2819"/>
      <c r="V1789" s="521"/>
      <c r="W1789" s="521"/>
      <c r="X1789" s="521"/>
    </row>
    <row r="1790" spans="1:24" ht="18.75">
      <c r="A1790" s="1937"/>
      <c r="B1790" s="2093"/>
      <c r="C1790" s="521"/>
      <c r="D1790" s="1960"/>
      <c r="E1790" s="1960"/>
      <c r="F1790" s="1960"/>
      <c r="G1790" s="1841" t="s">
        <v>3998</v>
      </c>
      <c r="H1790" s="521"/>
      <c r="I1790" s="1960"/>
      <c r="J1790" s="1960"/>
      <c r="K1790" s="1960"/>
      <c r="L1790" s="1960"/>
      <c r="M1790" s="1895"/>
      <c r="N1790" s="1937" t="s">
        <v>3784</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3999</v>
      </c>
      <c r="H1791" s="521"/>
      <c r="I1791" s="1960"/>
      <c r="J1791" s="1960"/>
      <c r="K1791" s="1960"/>
      <c r="L1791" s="1960"/>
      <c r="M1791" s="1895"/>
      <c r="N1791" s="1944" t="s">
        <v>3785</v>
      </c>
      <c r="O1791" s="1895">
        <f>'Part IX Scoring Criteria'!O143</f>
        <v>0</v>
      </c>
      <c r="P1791" s="1895"/>
      <c r="Q1791" s="521"/>
      <c r="R1791" s="521"/>
      <c r="S1791" s="521"/>
      <c r="T1791" s="521"/>
      <c r="U1791" s="521"/>
      <c r="V1791" s="521"/>
      <c r="W1791" s="521"/>
      <c r="X1791" s="521"/>
    </row>
    <row r="1792" spans="1:24">
      <c r="A1792" s="1937"/>
      <c r="B1792" s="2044"/>
      <c r="C1792" s="1841" t="s">
        <v>5188</v>
      </c>
      <c r="D1792" s="1960"/>
      <c r="E1792" s="1960"/>
      <c r="F1792" s="1960"/>
      <c r="G1792" s="1960"/>
      <c r="H1792" s="1960"/>
      <c r="I1792" s="1960"/>
      <c r="J1792" s="1960"/>
      <c r="K1792" s="1960"/>
      <c r="L1792" s="1960"/>
      <c r="M1792" s="1937"/>
      <c r="N1792" s="1937" t="s">
        <v>2435</v>
      </c>
      <c r="O1792" s="1895">
        <f>'Part IX Scoring Criteria'!O144</f>
        <v>0</v>
      </c>
      <c r="P1792" s="1895"/>
      <c r="Q1792" s="521"/>
      <c r="R1792" s="521"/>
      <c r="S1792" s="521"/>
      <c r="T1792" s="521"/>
      <c r="U1792" s="521"/>
      <c r="V1792" s="521"/>
      <c r="W1792" s="521"/>
      <c r="X1792" s="521"/>
    </row>
    <row r="1793" spans="1:24">
      <c r="A1793" s="1937"/>
      <c r="B1793" s="2021"/>
      <c r="C1793" s="1216" t="s">
        <v>3832</v>
      </c>
      <c r="D1793" s="1216"/>
      <c r="E1793" s="521"/>
      <c r="F1793" s="521"/>
      <c r="G1793" s="1216" t="s">
        <v>4130</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4164</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c r="A1801" s="2828" t="s">
        <v>530</v>
      </c>
      <c r="B1801" s="2764" t="s">
        <v>3966</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c r="A1803" s="1828" t="s">
        <v>1982</v>
      </c>
      <c r="B1803" s="1631" t="s">
        <v>4003</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c r="A1804" s="1976"/>
      <c r="B1804" s="1841" t="s">
        <v>3827</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5">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5189</v>
      </c>
      <c r="C1806" s="1900"/>
      <c r="D1806" s="1900"/>
      <c r="E1806" s="521" t="s">
        <v>3824</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c r="A1807" s="1828"/>
      <c r="B1807" s="1900"/>
      <c r="C1807" s="1900"/>
      <c r="D1807" s="1900"/>
      <c r="E1807" s="1841" t="s">
        <v>4831</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4832</v>
      </c>
      <c r="F1808" s="1895" t="str">
        <f>'Part I-Project Information'!$H$82</f>
        <v>Family</v>
      </c>
      <c r="G1808" s="1976"/>
      <c r="H1808" s="521"/>
      <c r="I1808" s="1899"/>
      <c r="J1808" s="1899"/>
      <c r="K1808" s="1976"/>
      <c r="L1808" s="1976"/>
      <c r="M1808" s="1899"/>
      <c r="N1808" s="2011"/>
      <c r="O1808" s="1867" t="s">
        <v>5190</v>
      </c>
      <c r="P1808" s="1867"/>
      <c r="Q1808" s="1976"/>
      <c r="R1808" s="1976"/>
      <c r="S1808" s="1976"/>
      <c r="T1808" s="1976"/>
      <c r="U1808" s="1976"/>
      <c r="V1808" s="1976"/>
      <c r="W1808" s="1976"/>
      <c r="X1808" s="1976"/>
    </row>
    <row r="1809" spans="1:24" ht="13.5">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2434</v>
      </c>
      <c r="B1810" s="1634" t="s">
        <v>4830</v>
      </c>
      <c r="C1810" s="1899"/>
      <c r="D1810" s="1899"/>
      <c r="E1810" s="521"/>
      <c r="F1810" s="1841"/>
      <c r="G1810" s="1841"/>
      <c r="H1810" s="1976"/>
      <c r="I1810" s="1899"/>
      <c r="J1810" s="1899"/>
      <c r="K1810" s="1899"/>
      <c r="L1810" s="1899"/>
      <c r="M1810" s="1706" t="s">
        <v>4829</v>
      </c>
      <c r="N1810" s="2011"/>
      <c r="O1810" s="1867"/>
      <c r="P1810" s="1867"/>
      <c r="Q1810" s="1976"/>
      <c r="R1810" s="1976"/>
      <c r="S1810" s="1976"/>
      <c r="T1810" s="1904" t="s">
        <v>5059</v>
      </c>
      <c r="U1810" s="1976"/>
      <c r="V1810" s="1976"/>
      <c r="W1810" s="1976"/>
      <c r="X1810" s="1976"/>
    </row>
    <row r="1811" spans="1:24" ht="13.5">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3822</v>
      </c>
      <c r="I1812" s="1867" t="s">
        <v>3867</v>
      </c>
      <c r="J1812" s="1867"/>
      <c r="K1812" s="1867"/>
      <c r="L1812" s="1706" t="s">
        <v>3821</v>
      </c>
      <c r="M1812" s="1706"/>
      <c r="N1812" s="1706"/>
      <c r="O1812" s="1867"/>
      <c r="P1812" s="1867"/>
      <c r="Q1812" s="1976"/>
      <c r="R1812" s="2038" t="s">
        <v>5027</v>
      </c>
      <c r="S1812" s="1976"/>
      <c r="T1812" s="1904"/>
      <c r="U1812" s="1904" t="s">
        <v>5058</v>
      </c>
      <c r="V1812" s="1976"/>
      <c r="W1812" s="1976"/>
      <c r="X1812" s="1976"/>
    </row>
    <row r="1813" spans="1:24" ht="23.25">
      <c r="A1813" s="1828"/>
      <c r="B1813" s="2052" t="s">
        <v>3819</v>
      </c>
      <c r="C1813" s="1834"/>
      <c r="D1813" s="1652" t="s">
        <v>4579</v>
      </c>
      <c r="E1813" s="1652"/>
      <c r="F1813" s="1652"/>
      <c r="G1813" s="1920" t="s">
        <v>3397</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4002</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4165</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c r="A1816" s="1937"/>
      <c r="B1816" s="2055" t="s">
        <v>4000</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5">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ht="13.5">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c r="A1819" s="1828" t="s">
        <v>1984</v>
      </c>
      <c r="B1819" s="1631" t="s">
        <v>4004</v>
      </c>
      <c r="C1819" s="1993"/>
      <c r="D1819" s="2041"/>
      <c r="E1819" s="2041"/>
      <c r="F1819" s="1842" t="s">
        <v>3390</v>
      </c>
      <c r="G1819" s="1993"/>
      <c r="H1819" s="1841" t="s">
        <v>3868</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4167</v>
      </c>
      <c r="F1820" s="1904" t="s">
        <v>3660</v>
      </c>
      <c r="G1820" s="1810" t="s">
        <v>3398</v>
      </c>
      <c r="H1820" s="1810"/>
      <c r="I1820" s="1810"/>
      <c r="J1820" s="1810"/>
      <c r="K1820" s="1810"/>
      <c r="L1820" s="1810"/>
      <c r="M1820" s="1810"/>
      <c r="N1820" s="1810"/>
      <c r="O1820" s="1216"/>
      <c r="P1820" s="1900"/>
      <c r="Q1820" s="1216"/>
      <c r="R1820" s="521" t="s">
        <v>2832</v>
      </c>
      <c r="S1820" s="521"/>
      <c r="T1820" s="521" t="str">
        <f>'Part I-Project Information'!$F$38</f>
        <v>Atlanta</v>
      </c>
      <c r="U1820" s="521"/>
      <c r="V1820" s="521"/>
      <c r="W1820" s="521"/>
      <c r="X1820" s="521"/>
    </row>
    <row r="1821" spans="1:24" ht="12.75" customHeight="1">
      <c r="A1821" s="1937"/>
      <c r="B1821" s="1904" t="s">
        <v>4007</v>
      </c>
      <c r="C1821" s="1904"/>
      <c r="D1821" s="1904"/>
      <c r="E1821" s="1904"/>
      <c r="F1821" s="1904"/>
      <c r="G1821" s="1900" t="s">
        <v>4006</v>
      </c>
      <c r="H1821" s="1900"/>
      <c r="I1821" s="1900"/>
      <c r="J1821" s="1900"/>
      <c r="K1821" s="1900"/>
      <c r="L1821" s="1900"/>
      <c r="M1821" s="1900"/>
      <c r="N1821" s="1900"/>
      <c r="O1821" s="1904" t="s">
        <v>3661</v>
      </c>
      <c r="P1821" s="1904"/>
      <c r="Q1821" s="1216"/>
      <c r="R1821" s="521" t="s">
        <v>2833</v>
      </c>
      <c r="S1821" s="521"/>
      <c r="T1821" s="521" t="str">
        <f>'Part I-Project Information'!$J$39</f>
        <v>Fulton</v>
      </c>
      <c r="U1821" s="521"/>
      <c r="V1821" s="521"/>
      <c r="W1821" s="521"/>
      <c r="X1821" s="521"/>
    </row>
    <row r="1822" spans="1:24">
      <c r="A1822" s="1937"/>
      <c r="B1822" s="521" t="s">
        <v>3828</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2834</v>
      </c>
      <c r="S1822" s="521"/>
      <c r="T1822" s="521" t="str">
        <f>'Part I-Project Information'!$O$40</f>
        <v>Atlanta-Sandy Springs-Marietta</v>
      </c>
      <c r="U1822" s="521"/>
      <c r="V1822" s="521"/>
      <c r="W1822" s="521"/>
      <c r="X1822" s="521"/>
    </row>
    <row r="1823" spans="1:24" ht="12.75" customHeight="1">
      <c r="A1823" s="1937"/>
      <c r="B1823" s="1867" t="s">
        <v>4005</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3861</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3862</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3626</v>
      </c>
      <c r="S1825" s="521"/>
      <c r="T1825" s="521" t="str">
        <f>'Part I-Project Information'!$K$40</f>
        <v>Urban</v>
      </c>
      <c r="U1825" s="521"/>
      <c r="V1825" s="521"/>
      <c r="W1825" s="521"/>
      <c r="X1825" s="521"/>
    </row>
    <row r="1826" spans="1:24" ht="13.5">
      <c r="A1826" s="2055"/>
      <c r="B1826" s="1964" t="s">
        <v>3625</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ht="13.5">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1985</v>
      </c>
      <c r="C1828" s="521" t="s">
        <v>4166</v>
      </c>
      <c r="D1828" s="1955"/>
      <c r="E1828" s="1955"/>
      <c r="F1828" s="1955"/>
      <c r="G1828" s="1955"/>
      <c r="H1828" s="2064" t="s">
        <v>1985</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1987</v>
      </c>
      <c r="C1829" s="521" t="s">
        <v>4008</v>
      </c>
      <c r="D1829" s="2051"/>
      <c r="E1829" s="2051"/>
      <c r="F1829" s="2051"/>
      <c r="G1829" s="1216"/>
      <c r="H1829" s="2064" t="s">
        <v>1987</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3883</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c r="A1832" s="1631"/>
      <c r="B1832" s="1866" t="s">
        <v>3754</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5">
      <c r="A1834" s="1631"/>
      <c r="B1834" s="1897" t="s">
        <v>1865</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772</v>
      </c>
      <c r="B1837" s="2764" t="s">
        <v>4014</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4839</v>
      </c>
      <c r="S1837" s="2038"/>
      <c r="T1837" s="1993"/>
      <c r="U1837" s="1993"/>
      <c r="V1837" s="1993"/>
      <c r="W1837" s="1993"/>
      <c r="X1837" s="1993"/>
    </row>
    <row r="1838" spans="1:24" ht="1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4839</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c r="A1840" s="1630"/>
      <c r="B1840" s="1634" t="s">
        <v>5120</v>
      </c>
      <c r="C1840" s="1634"/>
      <c r="D1840" s="1634"/>
      <c r="E1840" s="1634"/>
      <c r="F1840" s="1634"/>
      <c r="G1840" s="1634"/>
      <c r="H1840" s="1634"/>
      <c r="I1840" s="1634"/>
      <c r="J1840" s="1634"/>
      <c r="K1840" s="1943" t="s">
        <v>2509</v>
      </c>
      <c r="L1840" s="1943" t="s">
        <v>2509</v>
      </c>
      <c r="M1840" s="1976"/>
      <c r="N1840" s="1955"/>
      <c r="O1840" s="1976"/>
      <c r="P1840" s="1955"/>
      <c r="Q1840" s="1976"/>
      <c r="R1840" s="2038"/>
      <c r="S1840" s="2038"/>
      <c r="T1840" s="1976"/>
      <c r="U1840" s="1976"/>
      <c r="V1840" s="1976"/>
      <c r="W1840" s="1976"/>
      <c r="X1840" s="1976"/>
    </row>
    <row r="1841" spans="1:24" ht="12.75" customHeight="1">
      <c r="A1841" s="1913"/>
      <c r="B1841" s="1944" t="s">
        <v>2434</v>
      </c>
      <c r="C1841" s="1900" t="s">
        <v>4945</v>
      </c>
      <c r="D1841" s="1900"/>
      <c r="E1841" s="1900"/>
      <c r="F1841" s="1900"/>
      <c r="G1841" s="1900"/>
      <c r="H1841" s="1900"/>
      <c r="I1841" s="1900"/>
      <c r="J1841" s="1944" t="s">
        <v>2434</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2435</v>
      </c>
      <c r="C1843" s="1867" t="s">
        <v>5191</v>
      </c>
      <c r="D1843" s="1867"/>
      <c r="E1843" s="1867"/>
      <c r="F1843" s="1867"/>
      <c r="G1843" s="1867"/>
      <c r="H1843" s="1993"/>
      <c r="I1843" s="1993"/>
      <c r="J1843" s="1937" t="s">
        <v>2435</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2436</v>
      </c>
      <c r="C1844" s="521" t="s">
        <v>4834</v>
      </c>
      <c r="D1844" s="521"/>
      <c r="E1844" s="521"/>
      <c r="F1844" s="521"/>
      <c r="G1844" s="521"/>
      <c r="H1844" s="521"/>
      <c r="I1844" s="1631"/>
      <c r="J1844" s="1937" t="s">
        <v>2436</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2438</v>
      </c>
      <c r="C1845" s="521" t="s">
        <v>4835</v>
      </c>
      <c r="D1845" s="521"/>
      <c r="E1845" s="521"/>
      <c r="F1845" s="521"/>
      <c r="G1845" s="521"/>
      <c r="H1845" s="521"/>
      <c r="I1845" s="1631"/>
      <c r="J1845" s="1937" t="s">
        <v>2438</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2437</v>
      </c>
      <c r="C1846" s="521" t="s">
        <v>4837</v>
      </c>
      <c r="D1846" s="521"/>
      <c r="E1846" s="521"/>
      <c r="F1846" s="521"/>
      <c r="G1846" s="521"/>
      <c r="H1846" s="521"/>
      <c r="I1846" s="1631"/>
      <c r="J1846" s="1937" t="s">
        <v>2437</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2454</v>
      </c>
      <c r="C1847" s="521" t="s">
        <v>4836</v>
      </c>
      <c r="D1847" s="521"/>
      <c r="E1847" s="521"/>
      <c r="F1847" s="521"/>
      <c r="G1847" s="521"/>
      <c r="H1847" s="1631"/>
      <c r="I1847" s="1631"/>
      <c r="J1847" s="1937" t="s">
        <v>2454</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2455</v>
      </c>
      <c r="C1848" s="1867" t="s">
        <v>4943</v>
      </c>
      <c r="D1848" s="1867"/>
      <c r="E1848" s="1867"/>
      <c r="F1848" s="1867"/>
      <c r="G1848" s="1867"/>
      <c r="H1848" s="1867"/>
      <c r="I1848" s="1867"/>
      <c r="J1848" s="1937" t="s">
        <v>2455</v>
      </c>
      <c r="K1848" s="1895">
        <f>'Part IX Scoring Criteria'!K200</f>
        <v>0</v>
      </c>
      <c r="L1848" s="1895"/>
      <c r="M1848" s="1631"/>
      <c r="N1848" s="1631"/>
      <c r="O1848" s="1631"/>
      <c r="P1848" s="1631"/>
      <c r="Q1848" s="1631"/>
      <c r="R1848" s="2038"/>
      <c r="S1848" s="2038"/>
      <c r="T1848" s="1631"/>
      <c r="U1848" s="1631"/>
      <c r="V1848" s="1631"/>
      <c r="W1848" s="1631"/>
      <c r="X1848" s="1631"/>
    </row>
    <row r="1849" spans="1:24" ht="15">
      <c r="A1849" s="1637"/>
      <c r="B1849" s="1937"/>
      <c r="C1849" s="1867"/>
      <c r="D1849" s="1867"/>
      <c r="E1849" s="1867"/>
      <c r="F1849" s="1867"/>
      <c r="G1849" s="1867"/>
      <c r="H1849" s="1867"/>
      <c r="I1849" s="1867"/>
      <c r="J1849" s="1937" t="s">
        <v>4944</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2456</v>
      </c>
      <c r="C1850" s="1900" t="s">
        <v>4840</v>
      </c>
      <c r="D1850" s="1900"/>
      <c r="E1850" s="1900"/>
      <c r="F1850" s="1900"/>
      <c r="G1850" s="1900"/>
      <c r="H1850" s="1900"/>
      <c r="I1850" s="1900"/>
      <c r="J1850" s="1937" t="s">
        <v>2456</v>
      </c>
      <c r="K1850" s="1895">
        <f>'Part IX Scoring Criteria'!K202</f>
        <v>0</v>
      </c>
      <c r="L1850" s="1895"/>
      <c r="M1850" s="1631"/>
      <c r="N1850" s="1631"/>
      <c r="O1850" s="1631"/>
      <c r="P1850" s="1631"/>
      <c r="Q1850" s="1631"/>
      <c r="R1850" s="2038"/>
      <c r="S1850" s="2038"/>
      <c r="T1850" s="1631"/>
      <c r="U1850" s="1631"/>
      <c r="V1850" s="1631"/>
      <c r="W1850" s="1631"/>
      <c r="X1850" s="1631"/>
    </row>
    <row r="1851" spans="1:24" ht="1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1982</v>
      </c>
      <c r="B1853" s="1634" t="s">
        <v>4013</v>
      </c>
      <c r="I1853" s="1216" t="s">
        <v>4838</v>
      </c>
      <c r="M1853" s="1630">
        <v>5</v>
      </c>
      <c r="N1853" s="1937" t="s">
        <v>1982</v>
      </c>
      <c r="O1853" s="2002">
        <f>'Part IX Scoring Criteria'!O205</f>
        <v>0</v>
      </c>
      <c r="P1853" s="2002">
        <f>IF(SUM(P1854:P1855)=$M$207,0,MIN($M$205,SUM(P1854:P1855)))</f>
        <v>0</v>
      </c>
      <c r="Q1853" s="1689"/>
      <c r="X1853" s="1637"/>
    </row>
    <row r="1854" spans="1:24" ht="12.75" customHeight="1">
      <c r="A1854" s="1937"/>
      <c r="B1854" s="2854" t="s">
        <v>1985</v>
      </c>
      <c r="C1854" s="1900" t="s">
        <v>5121</v>
      </c>
      <c r="D1854" s="1900"/>
      <c r="E1854" s="1900"/>
      <c r="F1854" s="1900"/>
      <c r="G1854" s="1900"/>
      <c r="H1854" s="1900"/>
      <c r="I1854" s="1900"/>
      <c r="J1854" s="1900"/>
      <c r="K1854" s="1900"/>
      <c r="L1854" s="1900"/>
      <c r="M1854" s="1948">
        <v>3</v>
      </c>
      <c r="N1854" s="2021" t="s">
        <v>1985</v>
      </c>
      <c r="O1854" s="2806">
        <f>'Part IX Scoring Criteria'!O206</f>
        <v>0</v>
      </c>
      <c r="P1854" s="2806"/>
      <c r="Q1854" s="2839" t="str">
        <f>IF(OR($O1854=$M1854,$O1854=0,$O1854=""),"","*CHECK!*")</f>
        <v/>
      </c>
      <c r="R1854" s="1654" t="s">
        <v>2705</v>
      </c>
    </row>
    <row r="1855" spans="1:24">
      <c r="A1855" s="1937"/>
      <c r="B1855" s="2854" t="s">
        <v>1987</v>
      </c>
      <c r="C1855" s="1921" t="s">
        <v>5192</v>
      </c>
      <c r="D1855" s="1921"/>
      <c r="E1855" s="1921"/>
      <c r="F1855" s="1921"/>
      <c r="G1855" s="1921"/>
      <c r="H1855" s="1921"/>
      <c r="I1855" s="1921"/>
      <c r="J1855" s="1841" t="s">
        <v>3779</v>
      </c>
      <c r="K1855" s="1631"/>
      <c r="L1855" s="1841" t="str">
        <f>'Part I-Project Information'!$N$39</f>
        <v>Yes</v>
      </c>
      <c r="M1855" s="1895">
        <v>2</v>
      </c>
      <c r="N1855" s="2093" t="s">
        <v>1987</v>
      </c>
      <c r="O1855" s="1863">
        <f>'Part IX Scoring Criteria'!O207</f>
        <v>0</v>
      </c>
      <c r="P1855" s="1863"/>
      <c r="Q1855" s="2807" t="str">
        <f>IF(OR($O1855=$M1855,$O1855=0,$O1855=""),"","*CHECK!*")</f>
        <v/>
      </c>
      <c r="R1855" s="1654" t="s">
        <v>2705</v>
      </c>
    </row>
    <row r="1856" spans="1:24" ht="12.75" customHeight="1">
      <c r="A1856" s="1937"/>
      <c r="B1856" s="2854"/>
      <c r="C1856" s="1867" t="s">
        <v>4930</v>
      </c>
      <c r="D1856" s="1867"/>
      <c r="E1856" s="1867"/>
      <c r="F1856" s="1867"/>
      <c r="G1856" s="1867"/>
      <c r="H1856" s="1867"/>
      <c r="I1856" s="1899"/>
      <c r="J1856" s="1841" t="s">
        <v>3575</v>
      </c>
      <c r="K1856" s="1867"/>
      <c r="L1856" s="2078" t="str">
        <f>'Part I-Project Information'!$O$38</f>
        <v>0055.01</v>
      </c>
      <c r="M1856" s="2078"/>
      <c r="N1856" s="1948"/>
      <c r="O1856" s="1948"/>
      <c r="P1856" s="1948"/>
      <c r="Q1856" s="2807"/>
      <c r="R1856" s="1654"/>
    </row>
    <row r="1857" spans="1:24">
      <c r="A1857" s="1937"/>
      <c r="B1857" s="1964"/>
      <c r="C1857" s="1867"/>
      <c r="D1857" s="1867"/>
      <c r="E1857" s="1867"/>
      <c r="F1857" s="1867"/>
      <c r="G1857" s="1867"/>
      <c r="H1857" s="1867"/>
      <c r="J1857" s="1841" t="s">
        <v>3374</v>
      </c>
      <c r="K1857" s="1631"/>
      <c r="L1857" s="521" t="str">
        <f>'Part IV-A-Uses of Funds'!$H$152</f>
        <v>DDA/QCT</v>
      </c>
      <c r="M1857" s="521"/>
    </row>
    <row r="1858" spans="1:24">
      <c r="A1858" s="1828" t="s">
        <v>1984</v>
      </c>
      <c r="B1858" s="1634" t="s">
        <v>4841</v>
      </c>
      <c r="D1858" s="1631"/>
      <c r="F1858" s="2855"/>
      <c r="K1858" s="1941"/>
      <c r="L1858" s="2817" t="str">
        <f>IF(OR($O1858=$M1858,$O1858=0,$O1858=""),"","* * Check Score! * *")</f>
        <v/>
      </c>
      <c r="M1858" s="1630">
        <v>2</v>
      </c>
      <c r="N1858" s="1937" t="s">
        <v>1984</v>
      </c>
      <c r="O1858" s="1863">
        <f>'Part IX Scoring Criteria'!O210</f>
        <v>0</v>
      </c>
      <c r="P1858" s="1863"/>
      <c r="Q1858" s="2807" t="str">
        <f>IF(OR($O1858=$M1858,$O1858=0,$O1858=""),"","*CHECK!*")</f>
        <v/>
      </c>
      <c r="R1858" s="1654" t="s">
        <v>2705</v>
      </c>
    </row>
    <row r="1859" spans="1:24" ht="18.75">
      <c r="A1859" s="1828"/>
      <c r="B1859" s="1993"/>
      <c r="C1859" s="521" t="s">
        <v>2793</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75">
      <c r="A1860" s="1941"/>
      <c r="B1860" s="2013" t="s">
        <v>3780</v>
      </c>
      <c r="C1860" s="521" t="s">
        <v>3858</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75">
      <c r="A1861" s="1941"/>
      <c r="B1861" s="1937" t="s">
        <v>3781</v>
      </c>
      <c r="C1861" s="1841" t="s">
        <v>3859</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3782</v>
      </c>
      <c r="C1862" s="1841" t="s">
        <v>4846</v>
      </c>
      <c r="D1862" s="1631"/>
      <c r="E1862" s="1631"/>
      <c r="F1862" s="1631"/>
      <c r="G1862" s="1631"/>
      <c r="H1862" s="1631"/>
      <c r="I1862" s="1631"/>
      <c r="J1862" s="1895">
        <f>'Part IX Scoring Criteria'!J214</f>
        <v>0</v>
      </c>
      <c r="K1862" s="1867" t="s">
        <v>4843</v>
      </c>
      <c r="L1862" s="1867"/>
      <c r="M1862" s="1867"/>
      <c r="N1862" s="1867"/>
      <c r="O1862" s="1993"/>
      <c r="P1862" s="1993"/>
      <c r="V1862" s="2819"/>
      <c r="W1862" s="2819"/>
    </row>
    <row r="1863" spans="1:24" ht="18.75">
      <c r="A1863" s="1879"/>
      <c r="B1863" s="1937" t="s">
        <v>3784</v>
      </c>
      <c r="C1863" s="1841" t="s">
        <v>4842</v>
      </c>
      <c r="D1863" s="1631"/>
      <c r="E1863" s="1631"/>
      <c r="F1863" s="1631"/>
      <c r="G1863" s="1631"/>
      <c r="H1863" s="1631"/>
      <c r="I1863" s="1631"/>
      <c r="J1863" s="1895">
        <f>'Part IX Scoring Criteria'!J215</f>
        <v>0</v>
      </c>
      <c r="K1863" s="1867"/>
      <c r="L1863" s="1867"/>
      <c r="M1863" s="1867"/>
      <c r="N1863" s="1867"/>
      <c r="O1863" s="2856">
        <f>'Part IX Scoring Criteria'!O215</f>
        <v>0</v>
      </c>
      <c r="P1863" s="2812" t="s">
        <v>3787</v>
      </c>
      <c r="V1863" s="2819"/>
      <c r="W1863" s="2819"/>
    </row>
    <row r="1864" spans="1:24" ht="18.75">
      <c r="A1864" s="1879"/>
      <c r="B1864" s="1937" t="s">
        <v>3785</v>
      </c>
      <c r="C1864" s="1841" t="s">
        <v>4845</v>
      </c>
      <c r="D1864" s="1631"/>
      <c r="E1864" s="1631"/>
      <c r="F1864" s="1631"/>
      <c r="G1864" s="1631"/>
      <c r="H1864" s="1631"/>
      <c r="I1864" s="1631"/>
      <c r="J1864" s="1895">
        <f>'Part IX Scoring Criteria'!J216</f>
        <v>0</v>
      </c>
      <c r="L1864" s="1937" t="s">
        <v>4844</v>
      </c>
      <c r="N1864" s="1937"/>
      <c r="O1864" s="2857">
        <f>'Part IX Scoring Criteria'!O216</f>
        <v>0</v>
      </c>
      <c r="P1864" s="2857">
        <f>'Part IX Scoring Criteria'!P216</f>
        <v>0</v>
      </c>
      <c r="V1864" s="2819"/>
      <c r="W1864" s="2819"/>
    </row>
    <row r="1865" spans="1:24" ht="18.75">
      <c r="A1865" s="1879"/>
      <c r="G1865" s="1921"/>
      <c r="L1865" s="1913"/>
      <c r="N1865" s="1637"/>
      <c r="O1865" s="1637"/>
      <c r="P1865" s="1637"/>
      <c r="V1865" s="2819"/>
      <c r="W1865" s="2819"/>
    </row>
    <row r="1866" spans="1:24" ht="18.75" customHeight="1">
      <c r="A1866" s="2073" t="s">
        <v>4171</v>
      </c>
      <c r="B1866" s="1785" t="s">
        <v>4168</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4169</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4925</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75">
      <c r="B1869" s="521" t="s">
        <v>3453</v>
      </c>
      <c r="G1869" s="521" t="s">
        <v>2628</v>
      </c>
      <c r="H1869" s="521"/>
      <c r="J1869" s="2171">
        <f>'Part IX Scoring Criteria'!J221</f>
        <v>0</v>
      </c>
      <c r="K1869" s="2171">
        <f>'Part IX Scoring Criteria'!K221</f>
        <v>0</v>
      </c>
      <c r="L1869" s="2074"/>
      <c r="M1869" s="2074"/>
      <c r="N1869" s="1637"/>
      <c r="O1869" s="1637"/>
      <c r="P1869" s="1637"/>
      <c r="V1869" s="2819"/>
      <c r="W1869" s="2819"/>
    </row>
    <row r="1870" spans="1:24" ht="18.75">
      <c r="A1870" s="1976"/>
      <c r="B1870" s="1976"/>
      <c r="C1870" s="521" t="s">
        <v>4585</v>
      </c>
      <c r="D1870" s="1899"/>
      <c r="E1870" s="1976"/>
      <c r="F1870" s="1976"/>
      <c r="G1870" s="2074">
        <f>'Part IV-A-Uses of Funds'!$G$132</f>
        <v>32698126.5</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5">
      <c r="A1871" s="1631"/>
      <c r="B1871" s="1866" t="s">
        <v>3754</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5">
      <c r="A1873" s="1631"/>
      <c r="B1873" s="1866" t="s">
        <v>1865</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c r="A1876" s="2828" t="s">
        <v>292</v>
      </c>
      <c r="B1876" s="2764" t="s">
        <v>4017</v>
      </c>
      <c r="C1876" s="1899"/>
      <c r="D1876" s="1899"/>
      <c r="E1876" s="1899"/>
      <c r="F1876" s="1899"/>
      <c r="G1876" s="1899"/>
      <c r="H1876" s="1899"/>
      <c r="I1876" s="1899"/>
      <c r="J1876" s="1899"/>
      <c r="K1876" s="1976"/>
      <c r="L1876" s="1976"/>
      <c r="M1876" s="1630">
        <v>3</v>
      </c>
      <c r="N1876" s="2011"/>
      <c r="O1876" s="2011"/>
      <c r="P1876" s="1863"/>
      <c r="Q1876" s="1630" t="s">
        <v>441</v>
      </c>
      <c r="R1876" s="1654" t="s">
        <v>2705</v>
      </c>
      <c r="S1876" s="1976"/>
      <c r="T1876" s="1976"/>
      <c r="U1876" s="1976"/>
      <c r="V1876" s="1976"/>
      <c r="W1876" s="1976"/>
      <c r="X1876" s="1976"/>
    </row>
    <row r="1877" spans="1:24" ht="15">
      <c r="A1877" s="2828"/>
      <c r="B1877" s="1634" t="s">
        <v>4610</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c r="A1878" s="2828"/>
      <c r="B1878" s="1841" t="s">
        <v>4019</v>
      </c>
      <c r="C1878" s="1899"/>
      <c r="D1878" s="1899"/>
      <c r="E1878" s="1899"/>
      <c r="F1878" s="1899"/>
      <c r="G1878" s="1899"/>
      <c r="H1878" s="1899"/>
      <c r="I1878" s="1899"/>
      <c r="J1878" s="1899"/>
      <c r="K1878" s="1928" t="s">
        <v>3245</v>
      </c>
      <c r="L1878" s="1928" t="s">
        <v>256</v>
      </c>
      <c r="M1878" s="1630"/>
      <c r="N1878" s="2011"/>
      <c r="O1878" s="2011"/>
      <c r="P1878" s="2011"/>
      <c r="Q1878" s="1630"/>
      <c r="R1878" s="1654"/>
      <c r="S1878" s="1976"/>
      <c r="T1878" s="1976"/>
      <c r="U1878" s="1976"/>
      <c r="V1878" s="1976"/>
      <c r="W1878" s="1976"/>
      <c r="X1878" s="1976"/>
    </row>
    <row r="1879" spans="1:24" ht="15">
      <c r="A1879" s="1828"/>
      <c r="B1879" s="1976"/>
      <c r="C1879" s="1216" t="s">
        <v>4853</v>
      </c>
      <c r="D1879" s="1976"/>
      <c r="E1879" s="1976"/>
      <c r="F1879" s="1976"/>
      <c r="G1879" s="1976"/>
      <c r="H1879" s="1976"/>
      <c r="I1879" s="1976"/>
      <c r="J1879" s="1976"/>
      <c r="K1879" s="2002">
        <f>$O$189</f>
        <v>0</v>
      </c>
      <c r="L1879" s="2002">
        <f>$P$189</f>
        <v>0</v>
      </c>
      <c r="M1879" s="1976"/>
      <c r="N1879" s="1937" t="s">
        <v>2434</v>
      </c>
      <c r="O1879" s="1895">
        <f>'Part IX Scoring Criteria'!O231</f>
        <v>0</v>
      </c>
      <c r="P1879" s="1895"/>
      <c r="Q1879" s="1976"/>
      <c r="R1879" s="2817"/>
      <c r="S1879" s="1976"/>
      <c r="T1879" s="1976"/>
      <c r="U1879" s="1976"/>
      <c r="V1879" s="1976"/>
      <c r="W1879" s="1976"/>
      <c r="X1879" s="1976"/>
    </row>
    <row r="1880" spans="1:24" ht="18.75">
      <c r="A1880" s="1828"/>
      <c r="B1880" s="1976"/>
      <c r="C1880" s="1216" t="s">
        <v>4854</v>
      </c>
      <c r="D1880" s="1976"/>
      <c r="E1880" s="1976"/>
      <c r="F1880" s="1976"/>
      <c r="G1880" s="1976"/>
      <c r="H1880" s="1976"/>
      <c r="I1880" s="1976"/>
      <c r="J1880" s="1976"/>
      <c r="K1880" s="2002">
        <f>$O$107</f>
        <v>0</v>
      </c>
      <c r="L1880" s="2002" t="str">
        <f>$P$107</f>
        <v>Other Non-Sr</v>
      </c>
      <c r="M1880" s="1976"/>
      <c r="N1880" s="1937" t="s">
        <v>2435</v>
      </c>
      <c r="O1880" s="1895">
        <f>'Part IX Scoring Criteria'!O232</f>
        <v>0</v>
      </c>
      <c r="P1880" s="1895"/>
      <c r="Q1880" s="1976"/>
      <c r="R1880" s="2819"/>
      <c r="S1880" s="2819"/>
      <c r="T1880" s="1976"/>
      <c r="U1880" s="1976"/>
      <c r="V1880" s="1976"/>
      <c r="W1880" s="1976"/>
      <c r="X1880" s="1976"/>
    </row>
    <row r="1881" spans="1:24" ht="18.75">
      <c r="A1881" s="1976"/>
      <c r="B1881" s="1976"/>
      <c r="C1881" s="1216" t="s">
        <v>4855</v>
      </c>
      <c r="D1881" s="1976"/>
      <c r="E1881" s="1976"/>
      <c r="F1881" s="1976"/>
      <c r="G1881" s="1976"/>
      <c r="H1881" s="1976"/>
      <c r="I1881" s="1976"/>
      <c r="J1881" s="1976"/>
      <c r="K1881" s="1976"/>
      <c r="L1881" s="1976"/>
      <c r="M1881" s="1976"/>
      <c r="N1881" s="1937" t="s">
        <v>2436</v>
      </c>
      <c r="O1881" s="1895">
        <f>'Part IX Scoring Criteria'!O233</f>
        <v>0</v>
      </c>
      <c r="P1881" s="1895"/>
      <c r="Q1881" s="1976"/>
      <c r="R1881" s="2819"/>
      <c r="S1881" s="2819"/>
      <c r="T1881" s="1976"/>
      <c r="U1881" s="1976"/>
      <c r="V1881" s="1976"/>
      <c r="W1881" s="1976"/>
      <c r="X1881" s="1976"/>
    </row>
    <row r="1882" spans="1:24" ht="18.75">
      <c r="A1882" s="1828"/>
      <c r="B1882" s="1976"/>
      <c r="C1882" s="1216" t="s">
        <v>4023</v>
      </c>
      <c r="D1882" s="1976"/>
      <c r="E1882" s="1976"/>
      <c r="F1882" s="1976"/>
      <c r="G1882" s="1976"/>
      <c r="H1882" s="1976"/>
      <c r="I1882" s="1976"/>
      <c r="J1882" s="1976"/>
      <c r="K1882" s="2840">
        <f>'Part I-Project Information'!F1686</f>
        <v>0</v>
      </c>
      <c r="L1882" s="2852"/>
      <c r="M1882" s="1976"/>
      <c r="N1882" s="1937" t="s">
        <v>2437</v>
      </c>
      <c r="O1882" s="1937"/>
      <c r="P1882" s="1895"/>
      <c r="Q1882" s="1976"/>
      <c r="R1882" s="2819"/>
      <c r="S1882" s="2819"/>
      <c r="T1882" s="1976"/>
      <c r="U1882" s="1976"/>
      <c r="V1882" s="1976"/>
      <c r="W1882" s="1976"/>
      <c r="X1882" s="1976"/>
    </row>
    <row r="1883" spans="1:24" ht="18.75">
      <c r="A1883" s="1828"/>
      <c r="B1883" s="1976"/>
      <c r="C1883" s="1216" t="s">
        <v>4947</v>
      </c>
      <c r="D1883" s="1976"/>
      <c r="E1883" s="1976"/>
      <c r="F1883" s="1976"/>
      <c r="G1883" s="1976"/>
      <c r="H1883" s="1976"/>
      <c r="I1883" s="1976"/>
      <c r="J1883" s="1976"/>
      <c r="K1883" s="2002">
        <f>$O$153</f>
        <v>0</v>
      </c>
      <c r="L1883" s="2002">
        <f>$P$153</f>
        <v>0</v>
      </c>
      <c r="M1883" s="1976"/>
      <c r="N1883" s="1937" t="s">
        <v>2438</v>
      </c>
      <c r="O1883" s="1895">
        <f>'Part IX Scoring Criteria'!O235</f>
        <v>0</v>
      </c>
      <c r="P1883" s="1895"/>
      <c r="Q1883" s="1976"/>
      <c r="R1883" s="2819"/>
      <c r="S1883" s="2819"/>
      <c r="T1883" s="1976"/>
      <c r="U1883" s="1976"/>
      <c r="V1883" s="1976"/>
      <c r="W1883" s="1976"/>
      <c r="X1883" s="1976"/>
    </row>
    <row r="1884" spans="1:24" ht="18.75">
      <c r="A1884" s="1828"/>
      <c r="B1884" s="1976"/>
      <c r="C1884" s="1216" t="s">
        <v>4946</v>
      </c>
      <c r="D1884" s="1976"/>
      <c r="E1884" s="1976"/>
      <c r="F1884" s="1976"/>
      <c r="G1884" s="1976"/>
      <c r="H1884" s="1976"/>
      <c r="I1884" s="1976"/>
      <c r="J1884" s="1976"/>
      <c r="K1884" s="2002">
        <f>$O$277</f>
        <v>0</v>
      </c>
      <c r="L1884" s="2002">
        <f>$P$277</f>
        <v>0</v>
      </c>
      <c r="M1884" s="1976"/>
      <c r="N1884" s="1937" t="s">
        <v>2437</v>
      </c>
      <c r="O1884" s="1895">
        <f>'Part IX Scoring Criteria'!O236</f>
        <v>0</v>
      </c>
      <c r="P1884" s="1895"/>
      <c r="Q1884" s="1976"/>
      <c r="R1884" s="2819"/>
      <c r="S1884" s="2819"/>
      <c r="T1884" s="1976"/>
      <c r="U1884" s="1976"/>
      <c r="V1884" s="1976"/>
      <c r="W1884" s="1976"/>
      <c r="X1884" s="1976"/>
    </row>
    <row r="1885" spans="1:24" ht="1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1982</v>
      </c>
      <c r="B1886" s="1634" t="s">
        <v>5122</v>
      </c>
      <c r="D1886" s="1631"/>
      <c r="G1886" s="1964" t="s">
        <v>3783</v>
      </c>
      <c r="Q1886" s="1689"/>
    </row>
    <row r="1887" spans="1:24" ht="12.75" customHeight="1">
      <c r="A1887" s="1937"/>
      <c r="B1887" s="521" t="s">
        <v>3863</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2703</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5193</v>
      </c>
      <c r="S1887" s="1636"/>
      <c r="T1887" s="1631"/>
      <c r="U1887" s="1631"/>
      <c r="V1887" s="1631"/>
      <c r="W1887" s="1631"/>
      <c r="X1887" s="1631"/>
    </row>
    <row r="1888" spans="1:24" ht="18.75">
      <c r="A1888" s="1937"/>
      <c r="B1888" s="521" t="s">
        <v>2193</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1985</v>
      </c>
      <c r="C1890" s="1921" t="s">
        <v>4025</v>
      </c>
      <c r="D1890" s="1921"/>
      <c r="E1890" s="1921"/>
      <c r="F1890" s="1921"/>
      <c r="G1890" s="1921"/>
      <c r="H1890" s="1921"/>
      <c r="I1890" s="1921"/>
      <c r="J1890" s="1921"/>
      <c r="K1890" s="1921"/>
      <c r="L1890" s="1921"/>
      <c r="M1890" s="1921"/>
      <c r="N1890" s="1921"/>
      <c r="O1890" s="1895" t="s">
        <v>2509</v>
      </c>
      <c r="P1890" s="1895" t="s">
        <v>2509</v>
      </c>
      <c r="Q1890" s="1921"/>
      <c r="R1890" s="1636"/>
      <c r="S1890" s="1636"/>
    </row>
    <row r="1891" spans="1:24" ht="18.75" customHeight="1">
      <c r="A1891" s="1895"/>
      <c r="B1891" s="1952"/>
      <c r="C1891" s="1867" t="s">
        <v>4587</v>
      </c>
      <c r="D1891" s="1867"/>
      <c r="E1891" s="1867"/>
      <c r="F1891" s="1867"/>
      <c r="G1891" s="1867"/>
      <c r="H1891" s="1867"/>
      <c r="I1891" s="1867"/>
      <c r="J1891" s="1867"/>
      <c r="K1891" s="1867"/>
      <c r="L1891" s="1867"/>
      <c r="M1891" s="1867"/>
      <c r="N1891" s="2001" t="s">
        <v>1985</v>
      </c>
      <c r="O1891" s="1948">
        <f>'Part IX Scoring Criteria'!O243</f>
        <v>0</v>
      </c>
      <c r="P1891" s="1948"/>
      <c r="Q1891" s="1921"/>
      <c r="R1891" s="1636"/>
      <c r="S1891" s="1636"/>
      <c r="T1891" s="1631"/>
      <c r="U1891" s="1631"/>
      <c r="V1891" s="2819"/>
      <c r="W1891" s="2819"/>
      <c r="X1891" s="1631"/>
    </row>
    <row r="1892" spans="1:24" ht="18.75" customHeight="1">
      <c r="A1892" s="1937"/>
      <c r="B1892" s="1937" t="s">
        <v>2434</v>
      </c>
      <c r="C1892" s="521" t="s">
        <v>4027</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2703</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4029</v>
      </c>
      <c r="P1892" s="1785"/>
      <c r="Q1892" s="1921"/>
      <c r="R1892" s="1636"/>
      <c r="S1892" s="1636"/>
      <c r="T1892" s="1631"/>
      <c r="U1892" s="1631"/>
      <c r="V1892" s="2819"/>
      <c r="W1892" s="2819"/>
      <c r="X1892" s="1631"/>
    </row>
    <row r="1893" spans="1:24" ht="18.75">
      <c r="A1893" s="1937"/>
      <c r="B1893" s="1631"/>
      <c r="C1893" s="521" t="s">
        <v>2193</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2435</v>
      </c>
      <c r="C1894" s="521" t="s">
        <v>4028</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2703</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4029</v>
      </c>
      <c r="P1894" s="1785"/>
      <c r="Q1894" s="1921"/>
      <c r="R1894" s="1636"/>
      <c r="S1894" s="1636"/>
      <c r="T1894" s="1631"/>
      <c r="U1894" s="1631"/>
      <c r="V1894" s="2819"/>
      <c r="W1894" s="2819"/>
      <c r="X1894" s="1631"/>
    </row>
    <row r="1895" spans="1:24" ht="18.75">
      <c r="A1895" s="1937"/>
      <c r="B1895" s="1631"/>
      <c r="C1895" s="521" t="s">
        <v>2193</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1987</v>
      </c>
      <c r="C1896" s="1921" t="s">
        <v>4030</v>
      </c>
      <c r="D1896" s="1921"/>
      <c r="E1896" s="1921"/>
      <c r="F1896" s="1921"/>
      <c r="G1896" s="1964" t="s">
        <v>3783</v>
      </c>
      <c r="H1896" s="1921"/>
      <c r="I1896" s="1921"/>
      <c r="J1896" s="1921"/>
      <c r="K1896" s="1921"/>
      <c r="L1896" s="1921"/>
      <c r="M1896" s="1921"/>
      <c r="N1896" s="1921"/>
      <c r="O1896" s="1895" t="s">
        <v>2509</v>
      </c>
      <c r="P1896" s="1895" t="s">
        <v>2509</v>
      </c>
      <c r="Q1896" s="1921"/>
      <c r="R1896" s="1636"/>
      <c r="S1896" s="1636"/>
    </row>
    <row r="1897" spans="1:24" ht="18.75" customHeight="1">
      <c r="A1897" s="1937"/>
      <c r="B1897" s="2076"/>
      <c r="C1897" s="1900" t="s">
        <v>4588</v>
      </c>
      <c r="D1897" s="1900"/>
      <c r="E1897" s="1900"/>
      <c r="F1897" s="1900"/>
      <c r="G1897" s="1900"/>
      <c r="H1897" s="1900"/>
      <c r="I1897" s="1900"/>
      <c r="J1897" s="1900"/>
      <c r="K1897" s="1900"/>
      <c r="L1897" s="1900"/>
      <c r="M1897" s="1900"/>
      <c r="N1897" s="2001" t="s">
        <v>1987</v>
      </c>
      <c r="O1897" s="1948">
        <f>'Part IX Scoring Criteria'!O249</f>
        <v>0</v>
      </c>
      <c r="P1897" s="1948"/>
      <c r="Q1897" s="1947"/>
      <c r="R1897" s="1636"/>
      <c r="S1897" s="1636"/>
      <c r="V1897" s="2819"/>
      <c r="W1897" s="2819"/>
    </row>
    <row r="1898" spans="1:24" ht="18.75">
      <c r="A1898" s="1937"/>
      <c r="B1898" s="1937" t="s">
        <v>2434</v>
      </c>
      <c r="C1898" s="1952" t="s">
        <v>4136</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75">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75">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75">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2435</v>
      </c>
      <c r="C1902" s="1952" t="s">
        <v>4134</v>
      </c>
      <c r="D1902" s="1899"/>
      <c r="E1902" s="1899"/>
      <c r="F1902" s="1899"/>
      <c r="G1902" s="1899"/>
      <c r="H1902" s="1899"/>
      <c r="I1902" s="1899"/>
      <c r="J1902" s="1899"/>
      <c r="K1902" s="1899"/>
      <c r="L1902" s="1900" t="s">
        <v>4138</v>
      </c>
      <c r="M1902" s="1900"/>
      <c r="N1902" s="1921" t="s">
        <v>4139</v>
      </c>
      <c r="O1902" s="1921"/>
      <c r="P1902" s="1921"/>
      <c r="Q1902" s="1947"/>
      <c r="R1902" s="1636"/>
      <c r="S1902" s="1636"/>
      <c r="V1902" s="2819"/>
      <c r="W1902" s="2819"/>
    </row>
    <row r="1903" spans="1:24" ht="18.75">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75">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75">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2533</v>
      </c>
      <c r="C1906" s="1921" t="s">
        <v>4031</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4035</v>
      </c>
      <c r="D1907" s="1867"/>
      <c r="E1907" s="1867"/>
      <c r="F1907" s="1867"/>
      <c r="G1907" s="1867"/>
      <c r="H1907" s="1867"/>
      <c r="I1907" s="1867"/>
      <c r="J1907" s="1867"/>
      <c r="K1907" s="1867"/>
      <c r="L1907" s="1867"/>
      <c r="M1907" s="1867"/>
      <c r="N1907" s="2001" t="s">
        <v>2533</v>
      </c>
      <c r="O1907" s="1895">
        <f>'Part IX Scoring Criteria'!O259</f>
        <v>0</v>
      </c>
      <c r="P1907" s="1895"/>
      <c r="Q1907" s="1947"/>
      <c r="R1907" s="1631"/>
      <c r="S1907" s="1631"/>
      <c r="T1907" s="1631"/>
      <c r="U1907" s="1631"/>
      <c r="V1907" s="2819"/>
      <c r="W1907" s="2819"/>
      <c r="X1907" s="1631"/>
    </row>
    <row r="1908" spans="1:24">
      <c r="A1908" s="1828"/>
      <c r="B1908" s="2044" t="s">
        <v>1224</v>
      </c>
      <c r="C1908" s="521" t="s">
        <v>3786</v>
      </c>
      <c r="D1908" s="1631"/>
      <c r="Q1908" s="1630"/>
    </row>
    <row r="1909" spans="1:24" ht="18.75" customHeight="1">
      <c r="A1909" s="1937"/>
      <c r="B1909" s="2077"/>
      <c r="C1909" s="1900" t="s">
        <v>4037</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8.75">
      <c r="A1910" s="1937"/>
      <c r="B1910" s="2077"/>
      <c r="C1910" s="1899"/>
      <c r="D1910" s="1899"/>
      <c r="E1910" s="1899"/>
      <c r="F1910" s="1899"/>
      <c r="G1910" s="1952" t="s">
        <v>4948</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2434</v>
      </c>
      <c r="C1911" s="1867" t="s">
        <v>4038</v>
      </c>
      <c r="D1911" s="1867"/>
      <c r="E1911" s="1867"/>
      <c r="F1911" s="1867"/>
      <c r="G1911" s="1867"/>
      <c r="H1911" s="1867"/>
      <c r="I1911" s="1867"/>
      <c r="J1911" s="1867"/>
      <c r="K1911" s="1867"/>
      <c r="L1911" s="1867"/>
      <c r="M1911" s="1867"/>
      <c r="N1911" s="1937" t="s">
        <v>2434</v>
      </c>
      <c r="O1911" s="1895">
        <f>'Part IX Scoring Criteria'!O263</f>
        <v>0</v>
      </c>
      <c r="P1911" s="1895"/>
      <c r="Q1911" s="1947"/>
      <c r="R1911" s="1631"/>
      <c r="S1911" s="1631"/>
      <c r="T1911" s="1631"/>
      <c r="U1911" s="1631"/>
      <c r="V1911" s="2819"/>
      <c r="W1911" s="2819"/>
      <c r="X1911" s="1631"/>
    </row>
    <row r="1912" spans="1:24" ht="18.75" customHeight="1">
      <c r="A1912" s="1937"/>
      <c r="B1912" s="1937" t="s">
        <v>2435</v>
      </c>
      <c r="C1912" s="1867" t="s">
        <v>4847</v>
      </c>
      <c r="D1912" s="1867"/>
      <c r="E1912" s="1867"/>
      <c r="F1912" s="1867"/>
      <c r="G1912" s="1867"/>
      <c r="H1912" s="1867"/>
      <c r="I1912" s="1867"/>
      <c r="J1912" s="1867"/>
      <c r="K1912" s="1867"/>
      <c r="L1912" s="1867"/>
      <c r="M1912" s="1867"/>
      <c r="N1912" s="1937" t="s">
        <v>2435</v>
      </c>
      <c r="O1912" s="1895">
        <f>'Part IX Scoring Criteria'!O264</f>
        <v>0</v>
      </c>
      <c r="P1912" s="1895"/>
      <c r="Q1912" s="1947"/>
      <c r="R1912" s="1631"/>
      <c r="S1912" s="1631"/>
      <c r="T1912" s="1631"/>
      <c r="U1912" s="1631"/>
      <c r="V1912" s="2819"/>
      <c r="W1912" s="2819"/>
      <c r="X1912" s="1631"/>
    </row>
    <row r="1913" spans="1:24">
      <c r="A1913" s="1828"/>
      <c r="B1913" s="2044" t="s">
        <v>1225</v>
      </c>
      <c r="C1913" s="521" t="s">
        <v>4848</v>
      </c>
      <c r="D1913" s="1631"/>
      <c r="N1913" s="2001" t="s">
        <v>1225</v>
      </c>
      <c r="Q1913" s="1630"/>
    </row>
    <row r="1914" spans="1:24" ht="18.75" customHeight="1">
      <c r="A1914" s="1937"/>
      <c r="B1914" s="1937" t="s">
        <v>2434</v>
      </c>
      <c r="C1914" s="1867" t="s">
        <v>4849</v>
      </c>
      <c r="D1914" s="1867"/>
      <c r="E1914" s="1867"/>
      <c r="F1914" s="1867"/>
      <c r="G1914" s="1867"/>
      <c r="H1914" s="1867"/>
      <c r="I1914" s="1867"/>
      <c r="J1914" s="1867"/>
      <c r="K1914" s="1867"/>
      <c r="L1914" s="1867"/>
      <c r="M1914" s="1867"/>
      <c r="N1914" s="1937" t="s">
        <v>2434</v>
      </c>
      <c r="O1914" s="1895">
        <f>'Part IX Scoring Criteria'!O266</f>
        <v>0</v>
      </c>
      <c r="P1914" s="1895"/>
      <c r="Q1914" s="1947"/>
      <c r="R1914" s="1631"/>
      <c r="S1914" s="1631"/>
      <c r="T1914" s="1631"/>
      <c r="U1914" s="1631"/>
      <c r="V1914" s="2819"/>
      <c r="W1914" s="2819"/>
      <c r="X1914" s="1631"/>
    </row>
    <row r="1915" spans="1:24" ht="18.75" customHeight="1">
      <c r="A1915" s="1937"/>
      <c r="B1915" s="1937" t="s">
        <v>2435</v>
      </c>
      <c r="C1915" s="1867" t="s">
        <v>4850</v>
      </c>
      <c r="D1915" s="1867"/>
      <c r="E1915" s="1867"/>
      <c r="F1915" s="1867"/>
      <c r="G1915" s="1867"/>
      <c r="H1915" s="1867"/>
      <c r="I1915" s="1867"/>
      <c r="J1915" s="1867"/>
      <c r="K1915" s="1867"/>
      <c r="L1915" s="1867"/>
      <c r="M1915" s="1867"/>
      <c r="N1915" s="1937" t="s">
        <v>2435</v>
      </c>
      <c r="O1915" s="1895">
        <f>'Part IX Scoring Criteria'!O267</f>
        <v>0</v>
      </c>
      <c r="P1915" s="1895"/>
      <c r="Q1915" s="1947"/>
      <c r="R1915" s="1631"/>
      <c r="S1915" s="1631"/>
      <c r="T1915" s="1631"/>
      <c r="U1915" s="1631"/>
      <c r="V1915" s="2819"/>
      <c r="W1915" s="2819"/>
      <c r="X1915" s="1631"/>
    </row>
    <row r="1916" spans="1:24">
      <c r="A1916" s="1828" t="s">
        <v>1984</v>
      </c>
      <c r="B1916" s="1634" t="s">
        <v>5123</v>
      </c>
      <c r="D1916" s="1631"/>
      <c r="G1916" s="1964" t="s">
        <v>3783</v>
      </c>
      <c r="O1916" s="1895" t="s">
        <v>2509</v>
      </c>
      <c r="P1916" s="1895" t="s">
        <v>2509</v>
      </c>
      <c r="Q1916" s="1689"/>
    </row>
    <row r="1917" spans="1:24" ht="18.75" customHeight="1">
      <c r="B1917" s="2854" t="s">
        <v>1985</v>
      </c>
      <c r="C1917" s="1867" t="s">
        <v>4033</v>
      </c>
      <c r="D1917" s="1867"/>
      <c r="E1917" s="1867"/>
      <c r="F1917" s="1867"/>
      <c r="G1917" s="1867"/>
      <c r="H1917" s="1867"/>
      <c r="I1917" s="1867"/>
      <c r="J1917" s="1867"/>
      <c r="K1917" s="1867"/>
      <c r="L1917" s="1867"/>
      <c r="M1917" s="2079" t="s">
        <v>1984</v>
      </c>
      <c r="N1917" s="2001" t="s">
        <v>1985</v>
      </c>
      <c r="O1917" s="1948">
        <f>'Part IX Scoring Criteria'!O269</f>
        <v>0</v>
      </c>
      <c r="P1917" s="1948"/>
      <c r="Q1917" s="1689"/>
      <c r="V1917" s="2819"/>
      <c r="W1917" s="2819"/>
    </row>
    <row r="1918" spans="1:24" ht="18.75">
      <c r="A1918" s="1937"/>
      <c r="B1918" s="2854" t="s">
        <v>1987</v>
      </c>
      <c r="C1918" s="1841" t="s">
        <v>4851</v>
      </c>
      <c r="D1918" s="1867"/>
      <c r="E1918" s="1867"/>
      <c r="F1918" s="1867"/>
      <c r="G1918" s="1867"/>
      <c r="H1918" s="1867"/>
      <c r="I1918" s="1867"/>
      <c r="J1918" s="1867"/>
      <c r="K1918" s="1867"/>
      <c r="L1918" s="1867"/>
      <c r="M1918" s="1867"/>
      <c r="N1918" s="2001" t="s">
        <v>1987</v>
      </c>
      <c r="O1918" s="1895">
        <f>'Part IX Scoring Criteria'!O270</f>
        <v>0</v>
      </c>
      <c r="P1918" s="1895"/>
      <c r="Q1918" s="1947"/>
      <c r="R1918" s="1631"/>
      <c r="S1918" s="1631"/>
      <c r="T1918" s="1631"/>
      <c r="U1918" s="1631"/>
      <c r="V1918" s="2859"/>
      <c r="W1918" s="2859"/>
      <c r="X1918" s="1631"/>
    </row>
    <row r="1919" spans="1:24" ht="18.75">
      <c r="A1919" s="1937"/>
      <c r="B1919" s="2854" t="s">
        <v>2533</v>
      </c>
      <c r="C1919" s="1841" t="s">
        <v>4852</v>
      </c>
      <c r="D1919" s="1867"/>
      <c r="E1919" s="1867"/>
      <c r="F1919" s="1867"/>
      <c r="G1919" s="1867"/>
      <c r="H1919" s="1867"/>
      <c r="I1919" s="1867"/>
      <c r="J1919" s="1867"/>
      <c r="K1919" s="1867"/>
      <c r="L1919" s="1867"/>
      <c r="M1919" s="1867"/>
      <c r="N1919" s="2001" t="s">
        <v>2533</v>
      </c>
      <c r="O1919" s="1895">
        <f>'Part IX Scoring Criteria'!O271</f>
        <v>0</v>
      </c>
      <c r="P1919" s="1895"/>
      <c r="Q1919" s="1947"/>
      <c r="R1919" s="1631"/>
      <c r="S1919" s="1631"/>
      <c r="T1919" s="1631"/>
      <c r="U1919" s="1631"/>
      <c r="V1919" s="2859"/>
      <c r="W1919" s="2859"/>
      <c r="X1919" s="1631"/>
    </row>
    <row r="1920" spans="1:24" ht="15">
      <c r="A1920" s="1631"/>
      <c r="B1920" s="1866" t="s">
        <v>3754</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5">
      <c r="A1922" s="1631"/>
      <c r="B1922" s="1897" t="s">
        <v>1865</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5">
      <c r="A1925" s="2828" t="s">
        <v>426</v>
      </c>
      <c r="B1925" s="2764" t="s">
        <v>2785</v>
      </c>
      <c r="C1925" s="1993"/>
      <c r="D1925" s="1866"/>
      <c r="E1925" s="1866"/>
      <c r="F1925" s="1993"/>
      <c r="G1925" s="1652" t="s">
        <v>4179</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5">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c r="A1927" s="2860" t="s">
        <v>3601</v>
      </c>
      <c r="B1927" s="1634" t="s">
        <v>4856</v>
      </c>
      <c r="C1927" s="1993"/>
      <c r="D1927" s="1866"/>
      <c r="E1927" s="1866"/>
      <c r="F1927" s="1993"/>
      <c r="G1927" s="1964" t="s">
        <v>4863</v>
      </c>
      <c r="H1927" s="1993"/>
      <c r="J1927" s="2071" t="str">
        <f>'Part I-Project Information'!$O$38</f>
        <v>0055.01</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2793</v>
      </c>
      <c r="C1928" s="1486"/>
      <c r="D1928" s="1486"/>
      <c r="G1928" s="1634" t="str">
        <f>'Part I-Project Information'!$H$105</f>
        <v>N/A - 4% Bond</v>
      </c>
      <c r="M1928" s="1943" t="s">
        <v>4857</v>
      </c>
      <c r="N1928" s="2038"/>
      <c r="O1928" s="1943" t="s">
        <v>2509</v>
      </c>
      <c r="P1928" s="1943" t="s">
        <v>2509</v>
      </c>
    </row>
    <row r="1929" spans="1:24" ht="12.75" customHeight="1">
      <c r="A1929" s="2860"/>
      <c r="B1929" s="2044" t="s">
        <v>1985</v>
      </c>
      <c r="C1929" s="1216" t="s">
        <v>2684</v>
      </c>
      <c r="M1929" s="1637"/>
      <c r="N1929" s="2013" t="s">
        <v>1985</v>
      </c>
      <c r="O1929" s="1895">
        <f>'Part IX Scoring Criteria'!O281</f>
        <v>0</v>
      </c>
      <c r="P1929" s="1895"/>
      <c r="Q1929" s="2861" t="str">
        <f>IF(AND(O1929="Yes",O1932="Yes"),"Only 1 or 4 can be 'Yes'!","")</f>
        <v/>
      </c>
      <c r="R1929" s="2861"/>
    </row>
    <row r="1930" spans="1:24" ht="12.75" customHeight="1">
      <c r="B1930" s="2044" t="s">
        <v>1987</v>
      </c>
      <c r="C1930" s="1216" t="s">
        <v>2738</v>
      </c>
      <c r="G1930" s="1216" t="s">
        <v>2388</v>
      </c>
      <c r="H1930" s="2862" t="str">
        <f>'Part IX Scoring Criteria'!H282</f>
        <v>&lt; Select &gt;</v>
      </c>
      <c r="I1930" s="1216" t="s">
        <v>2739</v>
      </c>
      <c r="L1930" s="521" t="s">
        <v>2737</v>
      </c>
      <c r="M1930" s="521" t="str">
        <f>IF(O1930&gt;H1930,"CHECK ACTUAL PERCENT!!!","")</f>
        <v/>
      </c>
      <c r="N1930" s="2013" t="s">
        <v>1987</v>
      </c>
      <c r="O1930" s="2863">
        <f>'Part IX Scoring Criteria'!O282</f>
        <v>0</v>
      </c>
      <c r="P1930" s="2083"/>
      <c r="Q1930" s="2861"/>
      <c r="R1930" s="2861"/>
    </row>
    <row r="1931" spans="1:24" ht="12.75" customHeight="1">
      <c r="B1931" s="2044" t="s">
        <v>2533</v>
      </c>
      <c r="C1931" s="1216" t="s">
        <v>2389</v>
      </c>
      <c r="G1931" s="1216" t="s">
        <v>2390</v>
      </c>
      <c r="J1931" s="2084" t="s">
        <v>5060</v>
      </c>
      <c r="L1931" s="1841" t="s">
        <v>2731</v>
      </c>
      <c r="M1931" s="1631"/>
      <c r="N1931" s="2013" t="s">
        <v>2533</v>
      </c>
      <c r="O1931" s="1895" t="str">
        <f>'Part IX Scoring Criteria'!O283</f>
        <v>&lt;Select&gt;</v>
      </c>
      <c r="P1931" s="1895" t="s">
        <v>201</v>
      </c>
      <c r="Q1931" s="2861"/>
      <c r="R1931" s="2861"/>
    </row>
    <row r="1932" spans="1:24" ht="12.75" customHeight="1">
      <c r="A1932" s="1913"/>
      <c r="B1932" s="2854" t="s">
        <v>1224</v>
      </c>
      <c r="C1932" s="1900" t="s">
        <v>5194</v>
      </c>
      <c r="D1932" s="1900"/>
      <c r="E1932" s="1900"/>
      <c r="F1932" s="1900"/>
      <c r="G1932" s="1900"/>
      <c r="H1932" s="1900"/>
      <c r="I1932" s="1900"/>
      <c r="J1932" s="2084"/>
      <c r="K1932" s="2084" t="s">
        <v>4040</v>
      </c>
      <c r="L1932" s="1913"/>
      <c r="M1932" s="1633">
        <v>2</v>
      </c>
      <c r="N1932" s="2013" t="s">
        <v>1224</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4096</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749</v>
      </c>
      <c r="B1936" s="2044" t="s">
        <v>4858</v>
      </c>
      <c r="C1936" s="1216"/>
      <c r="G1936" s="1216" t="s">
        <v>4859</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1985</v>
      </c>
      <c r="C1937" s="521" t="s">
        <v>5055</v>
      </c>
      <c r="D1937" s="521"/>
      <c r="G1937" s="521" t="s">
        <v>4860</v>
      </c>
      <c r="H1937" s="1867"/>
      <c r="I1937" s="1867"/>
      <c r="J1937" s="1631"/>
      <c r="K1937" s="1631"/>
      <c r="L1937" s="1631"/>
      <c r="M1937" s="1631"/>
      <c r="N1937" s="2013" t="s">
        <v>1985</v>
      </c>
      <c r="O1937" s="2867">
        <f>'Part IX Scoring Criteria'!O289</f>
        <v>0</v>
      </c>
      <c r="P1937" s="2009"/>
    </row>
    <row r="1938" spans="1:24">
      <c r="A1938" s="1486"/>
      <c r="B1938" s="2044" t="s">
        <v>1987</v>
      </c>
      <c r="C1938" s="521" t="s">
        <v>5056</v>
      </c>
      <c r="D1938" s="521"/>
      <c r="G1938" s="521" t="s">
        <v>4861</v>
      </c>
      <c r="H1938" s="1867"/>
      <c r="I1938" s="1867"/>
      <c r="J1938" s="1631"/>
      <c r="K1938" s="1631"/>
      <c r="L1938" s="1631"/>
      <c r="M1938" s="1631"/>
      <c r="N1938" s="2013" t="s">
        <v>1987</v>
      </c>
      <c r="O1938" s="2867">
        <f>'Part IX Scoring Criteria'!O290</f>
        <v>0</v>
      </c>
      <c r="P1938" s="2009"/>
      <c r="R1938" s="742" t="s">
        <v>5066</v>
      </c>
    </row>
    <row r="1939" spans="1:24">
      <c r="A1939" s="1486"/>
      <c r="B1939" s="2044" t="s">
        <v>2533</v>
      </c>
      <c r="C1939" s="521" t="s">
        <v>5057</v>
      </c>
      <c r="D1939" s="521"/>
      <c r="G1939" s="521" t="s">
        <v>4862</v>
      </c>
      <c r="H1939" s="1867"/>
      <c r="I1939" s="1867"/>
      <c r="J1939" s="1631"/>
      <c r="K1939" s="1631"/>
      <c r="L1939" s="1631"/>
      <c r="M1939" s="1631"/>
      <c r="N1939" s="2013" t="s">
        <v>2533</v>
      </c>
      <c r="O1939" s="2867">
        <f>'Part IX Scoring Criteria'!O291</f>
        <v>0</v>
      </c>
      <c r="P1939" s="2009"/>
    </row>
    <row r="1940" spans="1:24">
      <c r="A1940" s="1486"/>
      <c r="B1940" s="2044"/>
      <c r="C1940" s="1216"/>
      <c r="M1940" s="1630"/>
      <c r="N1940" s="1632"/>
      <c r="O1940" s="1630"/>
      <c r="P1940" s="1630"/>
    </row>
    <row r="1941" spans="1:24">
      <c r="A1941" s="1486" t="s">
        <v>2114</v>
      </c>
      <c r="B1941" s="2044" t="s">
        <v>3602</v>
      </c>
      <c r="C1941" s="1216"/>
      <c r="G1941" s="1895" t="s">
        <v>3606</v>
      </c>
      <c r="H1941" s="2083">
        <f>'Part IX Scoring Criteria'!H293</f>
        <v>0</v>
      </c>
      <c r="J1941" s="1953" t="s">
        <v>4864</v>
      </c>
      <c r="K1941" s="2868" t="str">
        <f>'Part I-Project Information'!$K$94</f>
        <v>Income Averaging</v>
      </c>
      <c r="L1941" s="2868"/>
      <c r="M1941" s="1630">
        <v>1</v>
      </c>
      <c r="N1941" s="1632" t="s">
        <v>2114</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5">
      <c r="A1943" s="1631"/>
      <c r="B1943" s="1897" t="s">
        <v>1865</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c r="A1946" s="2828" t="s">
        <v>362</v>
      </c>
      <c r="B1946" s="2764" t="s">
        <v>4043</v>
      </c>
      <c r="C1946" s="1993"/>
      <c r="D1946" s="1866"/>
      <c r="E1946" s="1866"/>
      <c r="F1946" s="1993"/>
      <c r="G1946" s="1993"/>
      <c r="H1946" s="1652"/>
      <c r="I1946" s="2090" t="s">
        <v>3799</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1982</v>
      </c>
      <c r="B1947" s="1952" t="s">
        <v>3790</v>
      </c>
      <c r="D1947" s="1952"/>
      <c r="E1947" s="1952"/>
      <c r="F1947" s="1952"/>
      <c r="G1947" s="1952"/>
      <c r="H1947" s="1952"/>
      <c r="I1947" s="1952"/>
      <c r="J1947" s="1952"/>
      <c r="K1947" s="1952"/>
      <c r="L1947" s="1952"/>
      <c r="M1947" s="2755" t="str">
        <f>IF(OR(SUM(T1947:T1948)&gt;1,SUM(U1947:U1948)&gt;1),"Only one category can be met by other means!","")</f>
        <v/>
      </c>
      <c r="N1947" s="1937" t="s">
        <v>1982</v>
      </c>
      <c r="O1947" s="1895">
        <f>'Part IX Scoring Criteria'!O299</f>
        <v>0</v>
      </c>
      <c r="P1947" s="1895"/>
      <c r="U1947" s="1943">
        <f>IF(L1947="Yes",1,0)</f>
        <v>0</v>
      </c>
    </row>
    <row r="1948" spans="1:24">
      <c r="A1948" s="1633" t="s">
        <v>1984</v>
      </c>
      <c r="B1948" s="1952" t="s">
        <v>3791</v>
      </c>
      <c r="D1948" s="1952"/>
      <c r="L1948" s="1952"/>
      <c r="M1948" s="2755"/>
      <c r="N1948" s="1937" t="s">
        <v>1984</v>
      </c>
      <c r="O1948" s="1895">
        <f>'Part IX Scoring Criteria'!O300</f>
        <v>0</v>
      </c>
      <c r="P1948" s="1895"/>
      <c r="U1948" s="1943">
        <f>IF(L1948="Yes",1,0)</f>
        <v>0</v>
      </c>
    </row>
    <row r="1949" spans="1:24" ht="15">
      <c r="A1949" s="1631"/>
      <c r="B1949" s="1866" t="s">
        <v>3754</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5">
      <c r="A1951" s="1631"/>
      <c r="B1951" s="1897" t="s">
        <v>1865</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c r="A1954" s="2828" t="s">
        <v>363</v>
      </c>
      <c r="B1954" s="2764" t="s">
        <v>2458</v>
      </c>
      <c r="C1954" s="1976"/>
      <c r="D1954" s="2012"/>
      <c r="E1954" s="2012"/>
      <c r="F1954" s="2012"/>
      <c r="G1954" s="1976"/>
      <c r="H1954" s="1842" t="s">
        <v>4868</v>
      </c>
      <c r="I1954" s="1976"/>
      <c r="J1954" s="521" t="s">
        <v>2793</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1982</v>
      </c>
      <c r="B1955" s="1634" t="s">
        <v>4591</v>
      </c>
      <c r="D1955" s="1631"/>
      <c r="E1955" s="1631"/>
      <c r="F1955" s="1631"/>
      <c r="H1955" s="521" t="s">
        <v>3683</v>
      </c>
      <c r="I1955" s="1216"/>
      <c r="J1955" s="521" t="str">
        <f>'Part I-Project Information'!$O$34</f>
        <v>No</v>
      </c>
      <c r="K1955" s="521"/>
      <c r="L1955" s="1964">
        <f>'Part I-Project Information'!$O$35</f>
        <v>0</v>
      </c>
      <c r="M1955" s="1630">
        <v>3</v>
      </c>
      <c r="N1955" s="1937" t="s">
        <v>1982</v>
      </c>
      <c r="O1955" s="1863">
        <f>'Part IX Scoring Criteria'!O307</f>
        <v>0</v>
      </c>
      <c r="P1955" s="1863"/>
      <c r="Q1955" s="2807" t="str">
        <f>IF(OR($O1955=$M1955,$O1955=0,$O1955=""),"","*CHECK!*")</f>
        <v/>
      </c>
      <c r="R1955" s="1689" t="s">
        <v>2705</v>
      </c>
    </row>
    <row r="1956" spans="1:24" ht="12.75" customHeight="1">
      <c r="A1956" s="1216"/>
      <c r="B1956" s="2854" t="s">
        <v>1985</v>
      </c>
      <c r="C1956" s="1900" t="s">
        <v>5124</v>
      </c>
      <c r="D1956" s="1900"/>
      <c r="E1956" s="1900"/>
      <c r="F1956" s="1900"/>
      <c r="G1956" s="1900"/>
      <c r="H1956" s="1900"/>
      <c r="I1956" s="1900"/>
      <c r="J1956" s="1900"/>
      <c r="K1956" s="1900"/>
      <c r="L1956" s="1900"/>
      <c r="M1956" s="1900"/>
      <c r="N1956" s="2001" t="s">
        <v>1985</v>
      </c>
      <c r="O1956" s="1948">
        <f>'Part IX Scoring Criteria'!O308</f>
        <v>0</v>
      </c>
      <c r="P1956" s="1948"/>
      <c r="Q1956" s="1900" t="s">
        <v>5195</v>
      </c>
      <c r="R1956" s="1900"/>
      <c r="S1956" s="1900"/>
      <c r="T1956" s="1900"/>
      <c r="U1956" s="1900"/>
      <c r="V1956" s="1900"/>
      <c r="W1956" s="1900"/>
      <c r="X1956" s="1900"/>
    </row>
    <row r="1957" spans="1:24">
      <c r="A1957" s="521"/>
      <c r="B1957" s="2044"/>
      <c r="C1957" s="521" t="s">
        <v>3805</v>
      </c>
      <c r="D1957" s="521"/>
      <c r="E1957" s="521"/>
      <c r="F1957" s="521"/>
      <c r="G1957" s="521"/>
      <c r="H1957" s="521"/>
      <c r="I1957" s="1937" t="s">
        <v>4869</v>
      </c>
      <c r="J1957" s="1841">
        <f>'Part IX Scoring Criteria'!J309</f>
        <v>0</v>
      </c>
      <c r="K1957" s="1841" t="s">
        <v>2300</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3860</v>
      </c>
      <c r="D1958" s="521"/>
      <c r="E1958" s="521"/>
      <c r="F1958" s="521"/>
      <c r="G1958" s="521"/>
      <c r="H1958" s="521"/>
      <c r="I1958" s="1937" t="s">
        <v>4869</v>
      </c>
      <c r="J1958" s="1841">
        <f>'Part IX Scoring Criteria'!J310</f>
        <v>0</v>
      </c>
      <c r="K1958" s="1841" t="s">
        <v>2300</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1987</v>
      </c>
      <c r="C1959" s="521" t="s">
        <v>963</v>
      </c>
      <c r="D1959" s="521"/>
      <c r="E1959" s="521"/>
      <c r="F1959" s="521"/>
      <c r="G1959" s="521"/>
      <c r="H1959" s="521"/>
      <c r="I1959" s="521"/>
      <c r="J1959" s="521"/>
      <c r="K1959" s="521"/>
      <c r="L1959" s="521"/>
      <c r="M1959" s="1630"/>
      <c r="N1959" s="2013" t="s">
        <v>1987</v>
      </c>
      <c r="O1959" s="1895">
        <f>'Part IX Scoring Criteria'!O311</f>
        <v>0</v>
      </c>
      <c r="P1959" s="1895"/>
      <c r="Q1959" s="1900"/>
      <c r="R1959" s="1900"/>
      <c r="S1959" s="1900"/>
      <c r="T1959" s="521"/>
      <c r="U1959" s="521"/>
      <c r="V1959" s="521"/>
      <c r="W1959" s="521"/>
      <c r="X1959" s="521"/>
    </row>
    <row r="1960" spans="1:24">
      <c r="A1960" s="521"/>
      <c r="B1960" s="2044" t="s">
        <v>2533</v>
      </c>
      <c r="C1960" s="521" t="s">
        <v>964</v>
      </c>
      <c r="D1960" s="521"/>
      <c r="E1960" s="521"/>
      <c r="F1960" s="521"/>
      <c r="G1960" s="521"/>
      <c r="H1960" s="521"/>
      <c r="I1960" s="521"/>
      <c r="J1960" s="521"/>
      <c r="K1960" s="521"/>
      <c r="L1960" s="521"/>
      <c r="M1960" s="1630"/>
      <c r="N1960" s="2013" t="s">
        <v>2533</v>
      </c>
      <c r="O1960" s="1895">
        <f>'Part IX Scoring Criteria'!O312</f>
        <v>0</v>
      </c>
      <c r="P1960" s="1895"/>
      <c r="Q1960" s="1900"/>
      <c r="R1960" s="1900"/>
      <c r="S1960" s="1900"/>
      <c r="T1960" s="521"/>
      <c r="U1960" s="521"/>
      <c r="V1960" s="521"/>
      <c r="W1960" s="521"/>
      <c r="X1960" s="521"/>
    </row>
    <row r="1961" spans="1:24">
      <c r="A1961" s="521"/>
      <c r="B1961" s="2044" t="s">
        <v>1224</v>
      </c>
      <c r="C1961" s="521" t="s">
        <v>4874</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1984</v>
      </c>
      <c r="B1963" s="1634" t="s">
        <v>4593</v>
      </c>
      <c r="C1963" s="1631"/>
      <c r="D1963" s="1631"/>
      <c r="E1963" s="1631"/>
      <c r="F1963" s="1631"/>
      <c r="G1963" s="1631"/>
      <c r="H1963" s="1842" t="s">
        <v>4870</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4875</v>
      </c>
      <c r="C1964" s="1484"/>
      <c r="D1964" s="1484"/>
      <c r="E1964" s="1484"/>
      <c r="F1964" s="1484"/>
      <c r="G1964" s="1484"/>
      <c r="H1964" s="1484"/>
      <c r="I1964" s="1484"/>
      <c r="J1964" s="1484"/>
      <c r="K1964" s="1484"/>
      <c r="L1964" s="1484"/>
      <c r="M1964" s="1630">
        <v>3</v>
      </c>
      <c r="N1964" s="1937" t="s">
        <v>1984</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1985</v>
      </c>
      <c r="C1965" s="521" t="s">
        <v>5125</v>
      </c>
      <c r="D1965" s="1631"/>
      <c r="E1965" s="1631"/>
      <c r="F1965" s="1631"/>
      <c r="G1965" s="1631"/>
      <c r="H1965" s="1631"/>
      <c r="I1965" s="1631"/>
      <c r="J1965" s="1631"/>
      <c r="K1965" s="1631"/>
      <c r="L1965" s="2817" t="str">
        <f>IF(OR($O1965=$M1965,$O1965=0,$O1965=""),"","* * Check Score! * *")</f>
        <v/>
      </c>
      <c r="M1965" s="1630">
        <v>3</v>
      </c>
      <c r="N1965" s="2093" t="s">
        <v>1985</v>
      </c>
      <c r="O1965" s="1863">
        <f>'Part IX Scoring Criteria'!O317</f>
        <v>0</v>
      </c>
      <c r="P1965" s="1863"/>
      <c r="Q1965" s="2807" t="str">
        <f>IF(OR($O1965=$M1965,$O1965=0,$O1965=""),"","*CHECK!*")</f>
        <v/>
      </c>
      <c r="R1965" s="1689" t="s">
        <v>2705</v>
      </c>
      <c r="S1965" s="1631"/>
      <c r="T1965" s="1631"/>
      <c r="U1965" s="1631"/>
      <c r="V1965" s="1631"/>
      <c r="W1965" s="1631"/>
      <c r="X1965" s="1631"/>
    </row>
    <row r="1966" spans="1:24">
      <c r="A1966" s="1895"/>
      <c r="B1966" s="2854" t="s">
        <v>1987</v>
      </c>
      <c r="C1966" s="1216" t="s">
        <v>5126</v>
      </c>
      <c r="D1966" s="1631"/>
      <c r="E1966" s="1631"/>
      <c r="F1966" s="1631"/>
      <c r="G1966" s="1841"/>
      <c r="H1966" s="1842"/>
      <c r="I1966" s="1841"/>
      <c r="L1966" s="2817" t="str">
        <f>IF(OR($O1966=$M1966,$O1966=0,$O1966=""),"","* * Check Score! * *")</f>
        <v/>
      </c>
      <c r="M1966" s="1637">
        <v>2</v>
      </c>
      <c r="N1966" s="2093" t="s">
        <v>1987</v>
      </c>
      <c r="O1966" s="1863">
        <f>'Part IX Scoring Criteria'!O318</f>
        <v>0</v>
      </c>
      <c r="P1966" s="1863"/>
      <c r="Q1966" s="2807" t="str">
        <f>IF(OR($O1966=$M1966,$O1966=0,$O1966=""),"","*CHECK!*")</f>
        <v/>
      </c>
      <c r="R1966" s="1689" t="s">
        <v>2705</v>
      </c>
    </row>
    <row r="1967" spans="1:24">
      <c r="A1967" s="1633" t="s">
        <v>749</v>
      </c>
      <c r="B1967" s="1634" t="s">
        <v>4596</v>
      </c>
      <c r="C1967" s="1631"/>
      <c r="D1967" s="1631"/>
      <c r="E1967" s="1631"/>
      <c r="F1967" s="1631"/>
      <c r="G1967" s="1631"/>
      <c r="H1967" s="1842" t="s">
        <v>4871</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3610</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1985</v>
      </c>
      <c r="C1969" s="1216" t="s">
        <v>3609</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1985</v>
      </c>
      <c r="O1969" s="1863">
        <f>'Part IX Scoring Criteria'!O321</f>
        <v>0</v>
      </c>
      <c r="P1969" s="1863"/>
      <c r="Q1969" s="2807" t="str">
        <f>IF(OR($O1969=$M1969,$O1969=0,$O1969=""),"","*CHECK!*")</f>
        <v/>
      </c>
      <c r="R1969" s="1689" t="s">
        <v>2705</v>
      </c>
      <c r="S1969" s="1631"/>
      <c r="T1969" s="1631"/>
      <c r="U1969" s="1631"/>
      <c r="V1969" s="1631"/>
      <c r="W1969" s="1631"/>
      <c r="X1969" s="1631"/>
    </row>
    <row r="1970" spans="1:24">
      <c r="A1970" s="1895"/>
      <c r="B1970" s="2854" t="s">
        <v>1987</v>
      </c>
      <c r="C1970" s="521" t="s">
        <v>5127</v>
      </c>
      <c r="D1970" s="1631"/>
      <c r="E1970" s="1631"/>
      <c r="F1970" s="1631"/>
      <c r="G1970" s="1841"/>
      <c r="H1970" s="1842"/>
      <c r="I1970" s="1841"/>
      <c r="K1970" s="1636"/>
      <c r="L1970" s="1636"/>
      <c r="M1970" s="1637">
        <v>3</v>
      </c>
      <c r="N1970" s="2093" t="s">
        <v>1987</v>
      </c>
      <c r="O1970" s="1863">
        <f>'Part IX Scoring Criteria'!O322</f>
        <v>0</v>
      </c>
      <c r="P1970" s="1863"/>
      <c r="Q1970" s="2807" t="str">
        <f>IF(OR($O1970=$M1970,$O1970=0,$O1970=""),"","*CHECK!*")</f>
        <v/>
      </c>
      <c r="R1970" s="1689" t="s">
        <v>2705</v>
      </c>
    </row>
    <row r="1971" spans="1:24">
      <c r="A1971" s="1895"/>
      <c r="B1971" s="2854" t="s">
        <v>2533</v>
      </c>
      <c r="C1971" s="1216" t="s">
        <v>5128</v>
      </c>
      <c r="D1971" s="1631"/>
      <c r="E1971" s="1631"/>
      <c r="F1971" s="1631"/>
      <c r="G1971" s="1841"/>
      <c r="H1971" s="1842"/>
      <c r="I1971" s="1841"/>
      <c r="K1971" s="1636"/>
      <c r="L1971" s="1636"/>
      <c r="M1971" s="1637">
        <v>2</v>
      </c>
      <c r="N1971" s="2093" t="s">
        <v>2533</v>
      </c>
      <c r="O1971" s="1863">
        <f>'Part IX Scoring Criteria'!O323</f>
        <v>0</v>
      </c>
      <c r="P1971" s="1863"/>
      <c r="Q1971" s="2807" t="str">
        <f>IF(OR($O1971=$M1971,$O1971=0,$O1971=""),"","*CHECK!*")</f>
        <v/>
      </c>
      <c r="R1971" s="1689" t="s">
        <v>2705</v>
      </c>
    </row>
    <row r="1972" spans="1:24" ht="15">
      <c r="A1972" s="1631"/>
      <c r="B1972" s="1866" t="s">
        <v>3754</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5">
      <c r="A1974" s="1976"/>
      <c r="B1974" s="1897" t="s">
        <v>1865</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75">
      <c r="N1976" s="1637"/>
      <c r="O1976" s="1637"/>
      <c r="P1976" s="1637"/>
      <c r="T1976" s="2819"/>
      <c r="U1976" s="2819"/>
    </row>
    <row r="1977" spans="1:24" ht="18.75">
      <c r="A1977" s="2828" t="s">
        <v>364</v>
      </c>
      <c r="B1977" s="2764" t="s">
        <v>2826</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8.75">
      <c r="A1978" s="1828" t="s">
        <v>1982</v>
      </c>
      <c r="B1978" s="1634" t="s">
        <v>2232</v>
      </c>
      <c r="C1978" s="1993"/>
      <c r="D1978" s="1842"/>
      <c r="E1978" s="1842"/>
      <c r="F1978" s="1972"/>
      <c r="H1978" s="1993"/>
      <c r="I1978" s="1993"/>
      <c r="J1978" s="1993"/>
      <c r="K1978" s="1993"/>
      <c r="L1978" s="2817"/>
      <c r="M1978" s="1630">
        <v>3</v>
      </c>
      <c r="N1978" s="1937" t="s">
        <v>1982</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75">
      <c r="A1979" s="1828"/>
      <c r="B1979" s="2044" t="s">
        <v>1985</v>
      </c>
      <c r="C1979" s="1841" t="s">
        <v>4876</v>
      </c>
      <c r="D1979" s="1842"/>
      <c r="E1979" s="1842"/>
      <c r="F1979" s="1972"/>
      <c r="H1979" s="1993"/>
      <c r="I1979" s="1993"/>
      <c r="J1979" s="1993"/>
      <c r="K1979" s="1993"/>
      <c r="L1979" s="2817"/>
      <c r="M1979" s="1630">
        <v>3</v>
      </c>
      <c r="N1979" s="2093" t="s">
        <v>1985</v>
      </c>
      <c r="O1979" s="1895">
        <f>'Part IX Scoring Criteria'!O331</f>
        <v>0</v>
      </c>
      <c r="P1979" s="1895"/>
      <c r="Q1979" s="2807"/>
      <c r="R1979" s="1689"/>
      <c r="S1979" s="1993"/>
      <c r="T1979" s="2819"/>
      <c r="U1979" s="2819"/>
      <c r="V1979" s="1993"/>
      <c r="W1979" s="1993"/>
      <c r="X1979" s="1993"/>
    </row>
    <row r="1980" spans="1:24" ht="18.75">
      <c r="A1980" s="1828"/>
      <c r="B1980" s="2854" t="s">
        <v>1987</v>
      </c>
      <c r="C1980" s="1841" t="s">
        <v>4877</v>
      </c>
      <c r="D1980" s="1842"/>
      <c r="E1980" s="1842"/>
      <c r="F1980" s="1972"/>
      <c r="H1980" s="1993"/>
      <c r="I1980" s="1993"/>
      <c r="J1980" s="1993"/>
      <c r="K1980" s="1993"/>
      <c r="L1980" s="2817"/>
      <c r="M1980" s="1630">
        <v>2</v>
      </c>
      <c r="N1980" s="2093" t="s">
        <v>1987</v>
      </c>
      <c r="O1980" s="1895">
        <f>'Part IX Scoring Criteria'!O332</f>
        <v>0</v>
      </c>
      <c r="P1980" s="1895"/>
      <c r="Q1980" s="2807"/>
      <c r="R1980" s="1689"/>
      <c r="S1980" s="1993"/>
      <c r="T1980" s="2819"/>
      <c r="U1980" s="2819"/>
      <c r="V1980" s="1993"/>
      <c r="W1980" s="1993"/>
      <c r="X1980" s="1993"/>
    </row>
    <row r="1981" spans="1:24" ht="18.75">
      <c r="A1981" s="1828"/>
      <c r="B1981" s="2854" t="s">
        <v>2533</v>
      </c>
      <c r="C1981" s="1841" t="s">
        <v>4878</v>
      </c>
      <c r="D1981" s="1842"/>
      <c r="E1981" s="1842"/>
      <c r="F1981" s="1972"/>
      <c r="H1981" s="1993"/>
      <c r="I1981" s="1993"/>
      <c r="J1981" s="1993"/>
      <c r="K1981" s="1937"/>
      <c r="L1981" s="1993"/>
      <c r="M1981" s="1630">
        <v>1</v>
      </c>
      <c r="N1981" s="2093" t="s">
        <v>2533</v>
      </c>
      <c r="O1981" s="1895">
        <f>'Part IX Scoring Criteria'!O333</f>
        <v>0</v>
      </c>
      <c r="P1981" s="1895"/>
      <c r="Q1981" s="1993"/>
      <c r="R1981" s="1845"/>
      <c r="S1981" s="1993"/>
      <c r="T1981" s="2819"/>
      <c r="U1981" s="2819"/>
      <c r="V1981" s="1993"/>
      <c r="W1981" s="1993"/>
      <c r="X1981" s="1993"/>
    </row>
    <row r="1982" spans="1:24" ht="18.75">
      <c r="A1982" s="1828" t="s">
        <v>1984</v>
      </c>
      <c r="B1982" s="1634" t="s">
        <v>2233</v>
      </c>
      <c r="C1982" s="1976"/>
      <c r="D1982" s="521"/>
      <c r="E1982" s="1976"/>
      <c r="F1982" s="1976"/>
      <c r="G1982" s="1976"/>
      <c r="H1982" s="1976"/>
      <c r="I1982" s="1976"/>
      <c r="J1982" s="1976"/>
      <c r="K1982" s="521"/>
      <c r="L1982" s="2817" t="str">
        <f>IF(OR($O1982=$M1982,$O1982=0,$O1982=""),"","* * Check Score! * *")</f>
        <v/>
      </c>
      <c r="M1982" s="1630">
        <v>1</v>
      </c>
      <c r="N1982" s="1937" t="s">
        <v>1984</v>
      </c>
      <c r="O1982" s="1863">
        <f>'Part IX Scoring Criteria'!O334</f>
        <v>0</v>
      </c>
      <c r="P1982" s="1863">
        <f>IF(P1983="Yes",$M$334,0)</f>
        <v>0</v>
      </c>
      <c r="Q1982" s="2807" t="str">
        <f>IF(OR($O1982=$M1982,$O1982=0,$O1982=""),"","*CHECK!*")</f>
        <v/>
      </c>
      <c r="R1982" s="1689" t="s">
        <v>2705</v>
      </c>
      <c r="S1982" s="1976"/>
      <c r="T1982" s="2819"/>
      <c r="U1982" s="2819"/>
      <c r="V1982" s="1976"/>
      <c r="W1982" s="1976"/>
      <c r="X1982" s="1976"/>
    </row>
    <row r="1983" spans="1:24" ht="18.75" customHeight="1">
      <c r="A1983" s="2869"/>
      <c r="B1983" s="1867" t="s">
        <v>4880</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75">
      <c r="A1984" s="1828" t="s">
        <v>749</v>
      </c>
      <c r="B1984" s="1634" t="s">
        <v>4879</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2705</v>
      </c>
      <c r="S1984" s="1976"/>
      <c r="T1984" s="2819"/>
      <c r="U1984" s="2819"/>
      <c r="V1984" s="1976"/>
      <c r="W1984" s="1976"/>
      <c r="X1984" s="1976"/>
    </row>
    <row r="1985" spans="1:24" ht="18.75" customHeight="1">
      <c r="A1985" s="1976"/>
      <c r="B1985" s="1900" t="s">
        <v>5196</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5033</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5">
      <c r="A1987" s="1631"/>
      <c r="B1987" s="1897" t="s">
        <v>1865</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c r="A1990" s="2869" t="s">
        <v>1726</v>
      </c>
      <c r="B1990" s="2764" t="s">
        <v>4051</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5">
      <c r="A1991" s="1828" t="s">
        <v>1982</v>
      </c>
      <c r="B1991" s="1634" t="s">
        <v>4052</v>
      </c>
      <c r="C1991" s="1955"/>
      <c r="D1991" s="1955"/>
      <c r="E1991" s="521"/>
      <c r="F1991" s="1976"/>
      <c r="G1991" s="1849">
        <f>'Part VIII-Threshold Criteria'!I2009</f>
        <v>0</v>
      </c>
      <c r="H1991" s="1976"/>
      <c r="I1991" s="1976"/>
      <c r="J1991" s="1841" t="s">
        <v>2685</v>
      </c>
      <c r="K1991" s="1976"/>
      <c r="L1991" s="521"/>
      <c r="M1991" s="1976"/>
      <c r="N1991" s="1937" t="s">
        <v>1982</v>
      </c>
      <c r="O1991" s="1633" t="str">
        <f>'Part I-Project Information'!$H$100</f>
        <v>No</v>
      </c>
      <c r="P1991" s="1630"/>
      <c r="Q1991" s="1630"/>
      <c r="R1991" s="1689" t="s">
        <v>2705</v>
      </c>
      <c r="S1991" s="1976"/>
      <c r="T1991" s="1976"/>
      <c r="U1991" s="1976"/>
      <c r="V1991" s="1976"/>
      <c r="W1991" s="1976"/>
      <c r="X1991" s="1976"/>
    </row>
    <row r="1992" spans="1:24" ht="15">
      <c r="A1992" s="1828"/>
      <c r="B1992" s="2093" t="s">
        <v>1985</v>
      </c>
      <c r="C1992" s="521" t="s">
        <v>4952</v>
      </c>
      <c r="D1992" s="1631"/>
      <c r="E1992" s="1993"/>
      <c r="F1992" s="1993"/>
      <c r="G1992" s="1993"/>
      <c r="H1992" s="1993"/>
      <c r="I1992" s="1993"/>
      <c r="J1992" s="1993"/>
      <c r="K1992" s="1993"/>
      <c r="L1992" s="1993"/>
      <c r="M1992" s="1993"/>
      <c r="N1992" s="2093" t="s">
        <v>4954</v>
      </c>
      <c r="O1992" s="1895">
        <f>'Part IX Scoring Criteria'!O344</f>
        <v>0</v>
      </c>
      <c r="P1992" s="1895"/>
      <c r="Q1992" s="1993"/>
      <c r="R1992" s="2817"/>
      <c r="S1992" s="1993"/>
      <c r="T1992" s="1993"/>
      <c r="U1992" s="1993"/>
      <c r="V1992" s="1993"/>
      <c r="W1992" s="1993"/>
      <c r="X1992" s="1993"/>
    </row>
    <row r="1993" spans="1:24" ht="15">
      <c r="A1993" s="1828"/>
      <c r="B1993" s="2093"/>
      <c r="C1993" s="521" t="s">
        <v>4953</v>
      </c>
      <c r="D1993" s="1631"/>
      <c r="E1993" s="1993"/>
      <c r="F1993" s="1993"/>
      <c r="G1993" s="1993"/>
      <c r="H1993" s="1993"/>
      <c r="I1993" s="1993"/>
      <c r="J1993" s="1993"/>
      <c r="K1993" s="1993"/>
      <c r="L1993" s="1993"/>
      <c r="M1993" s="1993"/>
      <c r="N1993" s="2093" t="s">
        <v>4955</v>
      </c>
      <c r="O1993" s="1895">
        <f>'Part IX Scoring Criteria'!O345</f>
        <v>0</v>
      </c>
      <c r="P1993" s="1895"/>
      <c r="Q1993" s="1993"/>
      <c r="R1993" s="2817"/>
      <c r="S1993" s="1993"/>
      <c r="T1993" s="1993"/>
      <c r="U1993" s="1993"/>
      <c r="V1993" s="1993"/>
      <c r="W1993" s="1993"/>
      <c r="X1993" s="1993"/>
    </row>
    <row r="1994" spans="1:24" ht="15">
      <c r="A1994" s="1828"/>
      <c r="B1994" s="2093" t="s">
        <v>1987</v>
      </c>
      <c r="C1994" s="521" t="s">
        <v>4069</v>
      </c>
      <c r="D1994" s="1631"/>
      <c r="E1994" s="1993"/>
      <c r="F1994" s="1993"/>
      <c r="G1994" s="1993"/>
      <c r="H1994" s="1993"/>
      <c r="I1994" s="1993"/>
      <c r="J1994" s="1993"/>
      <c r="K1994" s="1993"/>
      <c r="L1994" s="1993"/>
      <c r="M1994" s="1993"/>
      <c r="N1994" s="2093" t="s">
        <v>1987</v>
      </c>
      <c r="O1994" s="1895">
        <f>'Part IX Scoring Criteria'!O346</f>
        <v>0</v>
      </c>
      <c r="P1994" s="1895"/>
      <c r="Q1994" s="1993"/>
      <c r="R1994" s="2817"/>
      <c r="S1994" s="1993"/>
      <c r="T1994" s="1993"/>
      <c r="U1994" s="1993"/>
      <c r="V1994" s="1993"/>
      <c r="W1994" s="1993"/>
      <c r="X1994" s="1993"/>
    </row>
    <row r="1995" spans="1:24" ht="15">
      <c r="A1995" s="1828"/>
      <c r="B1995" s="2093" t="s">
        <v>2533</v>
      </c>
      <c r="C1995" s="521" t="s">
        <v>4956</v>
      </c>
      <c r="D1995" s="1631"/>
      <c r="E1995" s="1993"/>
      <c r="F1995" s="1993"/>
      <c r="G1995" s="1993"/>
      <c r="H1995" s="1993"/>
      <c r="I1995" s="1993"/>
      <c r="J1995" s="1993"/>
      <c r="K1995" s="1993"/>
      <c r="L1995" s="1993"/>
      <c r="M1995" s="1993"/>
      <c r="N1995" s="2093" t="s">
        <v>2533</v>
      </c>
      <c r="O1995" s="1895">
        <f>'Part IX Scoring Criteria'!O347</f>
        <v>0</v>
      </c>
      <c r="P1995" s="1895"/>
      <c r="Q1995" s="1993"/>
      <c r="R1995" s="2817"/>
      <c r="S1995" s="1993"/>
      <c r="T1995" s="1993"/>
      <c r="U1995" s="1993"/>
      <c r="V1995" s="1993"/>
      <c r="W1995" s="1993"/>
      <c r="X1995" s="1993"/>
    </row>
    <row r="1996" spans="1:24" ht="15">
      <c r="A1996" s="1993"/>
      <c r="B1996" s="2093" t="s">
        <v>1224</v>
      </c>
      <c r="C1996" s="521" t="s">
        <v>4881</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5">
      <c r="A1997" s="1828"/>
      <c r="B1997" s="2093" t="s">
        <v>1225</v>
      </c>
      <c r="C1997" s="521" t="s">
        <v>4882</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5">
      <c r="A1998" s="1828"/>
      <c r="B1998" s="2093" t="s">
        <v>1880</v>
      </c>
      <c r="C1998" s="521" t="s">
        <v>4070</v>
      </c>
      <c r="D1998" s="1631"/>
      <c r="E1998" s="1993"/>
      <c r="F1998" s="1993"/>
      <c r="G1998" s="1993"/>
      <c r="H1998" s="1993"/>
      <c r="I1998" s="1993"/>
      <c r="J1998" s="1993"/>
      <c r="K1998" s="1993"/>
      <c r="L1998" s="1993"/>
      <c r="M1998" s="1993"/>
      <c r="N1998" s="2093" t="s">
        <v>1880</v>
      </c>
      <c r="O1998" s="1895">
        <f>'Part IX Scoring Criteria'!O350</f>
        <v>0</v>
      </c>
      <c r="P1998" s="1895"/>
      <c r="Q1998" s="1993"/>
      <c r="R1998" s="2817"/>
      <c r="S1998" s="1993"/>
      <c r="T1998" s="1993"/>
      <c r="U1998" s="1993"/>
      <c r="V1998" s="1993"/>
      <c r="W1998" s="1993"/>
      <c r="X1998" s="1993"/>
    </row>
    <row r="1999" spans="1:24" ht="15">
      <c r="A1999" s="1828" t="s">
        <v>1984</v>
      </c>
      <c r="B1999" s="1634" t="s">
        <v>4053</v>
      </c>
      <c r="C1999" s="1955"/>
      <c r="D1999" s="1955"/>
      <c r="E1999" s="521"/>
      <c r="F1999" s="1976"/>
      <c r="G1999" s="1849">
        <f>'Part I-Project Information'!D1813</f>
        <v>0</v>
      </c>
      <c r="H1999" s="1976"/>
      <c r="I1999" s="1849"/>
      <c r="J1999" s="1976"/>
      <c r="K1999" s="1976"/>
      <c r="L1999" s="1943"/>
      <c r="M1999" s="1943"/>
      <c r="N1999" s="1937" t="s">
        <v>1984</v>
      </c>
      <c r="O1999" s="1976"/>
      <c r="P1999" s="1630"/>
      <c r="Q1999" s="1630"/>
      <c r="R1999" s="1689" t="s">
        <v>2705</v>
      </c>
      <c r="S1999" s="1976"/>
      <c r="T1999" s="1976"/>
      <c r="U1999" s="1976"/>
      <c r="V1999" s="1976"/>
      <c r="W1999" s="1976"/>
      <c r="X1999" s="1976"/>
    </row>
    <row r="2000" spans="1:24" ht="15">
      <c r="A2000" s="2869"/>
      <c r="B2000" s="2093" t="s">
        <v>1985</v>
      </c>
      <c r="C2000" s="521" t="s">
        <v>4952</v>
      </c>
      <c r="D2000" s="521"/>
      <c r="E2000" s="521"/>
      <c r="F2000" s="1993"/>
      <c r="G2000" s="1993"/>
      <c r="H2000" s="1993"/>
      <c r="I2000" s="1993"/>
      <c r="J2000" s="1993"/>
      <c r="K2000" s="1993"/>
      <c r="L2000" s="1993"/>
      <c r="M2000" s="1630"/>
      <c r="N2000" s="2093" t="s">
        <v>4954</v>
      </c>
      <c r="O2000" s="1895">
        <f>'Part IX Scoring Criteria'!O352</f>
        <v>0</v>
      </c>
      <c r="P2000" s="1895"/>
      <c r="Q2000" s="1630"/>
      <c r="R2000" s="1993"/>
      <c r="S2000" s="1993"/>
      <c r="T2000" s="1993"/>
      <c r="U2000" s="1993"/>
      <c r="V2000" s="1993"/>
      <c r="W2000" s="1993"/>
      <c r="X2000" s="1993"/>
    </row>
    <row r="2001" spans="1:24" ht="15">
      <c r="A2001" s="1828"/>
      <c r="B2001" s="2093"/>
      <c r="C2001" s="521" t="s">
        <v>4957</v>
      </c>
      <c r="D2001" s="1631"/>
      <c r="E2001" s="1993"/>
      <c r="F2001" s="1993"/>
      <c r="G2001" s="1993"/>
      <c r="H2001" s="1993"/>
      <c r="I2001" s="1993"/>
      <c r="J2001" s="1993"/>
      <c r="K2001" s="1993"/>
      <c r="L2001" s="1993"/>
      <c r="M2001" s="1993"/>
      <c r="N2001" s="2093" t="s">
        <v>4955</v>
      </c>
      <c r="O2001" s="1895">
        <f>'Part IX Scoring Criteria'!O353</f>
        <v>0</v>
      </c>
      <c r="P2001" s="1895"/>
      <c r="Q2001" s="1993"/>
      <c r="R2001" s="2817"/>
      <c r="S2001" s="1993"/>
      <c r="T2001" s="1993"/>
      <c r="U2001" s="1993"/>
      <c r="V2001" s="1993"/>
      <c r="W2001" s="1993"/>
      <c r="X2001" s="1993"/>
    </row>
    <row r="2002" spans="1:24" ht="15">
      <c r="A2002" s="1828"/>
      <c r="B2002" s="2093" t="s">
        <v>1987</v>
      </c>
      <c r="C2002" s="521" t="s">
        <v>4082</v>
      </c>
      <c r="D2002" s="1631"/>
      <c r="E2002" s="1993"/>
      <c r="F2002" s="1993"/>
      <c r="G2002" s="1993"/>
      <c r="H2002" s="1993"/>
      <c r="I2002" s="1993"/>
      <c r="J2002" s="1993"/>
      <c r="K2002" s="1993"/>
      <c r="L2002" s="1993"/>
      <c r="M2002" s="1993"/>
      <c r="N2002" s="2093" t="s">
        <v>1987</v>
      </c>
      <c r="O2002" s="1895">
        <f>'Part IX Scoring Criteria'!O354</f>
        <v>0</v>
      </c>
      <c r="P2002" s="1895"/>
      <c r="Q2002" s="1993"/>
      <c r="R2002" s="2817"/>
      <c r="S2002" s="1993"/>
      <c r="T2002" s="1993"/>
      <c r="U2002" s="1993"/>
      <c r="V2002" s="1993"/>
      <c r="W2002" s="1993"/>
      <c r="X2002" s="1993"/>
    </row>
    <row r="2003" spans="1:24" ht="15">
      <c r="A2003" s="1993"/>
      <c r="B2003" s="2093" t="s">
        <v>2533</v>
      </c>
      <c r="C2003" s="521" t="s">
        <v>4070</v>
      </c>
      <c r="D2003" s="1631"/>
      <c r="E2003" s="1993"/>
      <c r="F2003" s="1993"/>
      <c r="G2003" s="1993"/>
      <c r="H2003" s="1993"/>
      <c r="I2003" s="1993"/>
      <c r="J2003" s="1993"/>
      <c r="K2003" s="1993"/>
      <c r="L2003" s="1993"/>
      <c r="M2003" s="1993"/>
      <c r="N2003" s="2093" t="s">
        <v>2533</v>
      </c>
      <c r="O2003" s="1895">
        <f>'Part IX Scoring Criteria'!O355</f>
        <v>0</v>
      </c>
      <c r="P2003" s="1895"/>
      <c r="Q2003" s="1993"/>
      <c r="R2003" s="2817"/>
      <c r="S2003" s="1993"/>
      <c r="T2003" s="1993"/>
      <c r="U2003" s="1993"/>
      <c r="V2003" s="1993"/>
      <c r="W2003" s="1993"/>
      <c r="X2003" s="1993"/>
    </row>
    <row r="2004" spans="1:24" ht="15">
      <c r="A2004" s="1976"/>
      <c r="B2004" s="1897" t="s">
        <v>1865</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5">
      <c r="A2007" s="2869" t="s">
        <v>2781</v>
      </c>
      <c r="B2007" s="2764" t="s">
        <v>4054</v>
      </c>
      <c r="C2007" s="1976"/>
      <c r="D2007" s="1976"/>
      <c r="E2007" s="1976"/>
      <c r="F2007" s="1976"/>
      <c r="G2007" s="1976"/>
      <c r="H2007" s="1937" t="s">
        <v>3576</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5">
      <c r="A2008" s="1976"/>
      <c r="B2008" s="1976"/>
      <c r="C2008" s="1900"/>
      <c r="D2008" s="1900"/>
      <c r="E2008" s="1900"/>
      <c r="F2008" s="1900"/>
      <c r="G2008" s="1900"/>
      <c r="H2008" s="1900"/>
      <c r="I2008" s="1921" t="s">
        <v>4883</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5129</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5">
      <c r="A2012" s="1631"/>
      <c r="B2012" s="1866" t="s">
        <v>3754</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5">
      <c r="A2014" s="1631"/>
      <c r="B2014" s="1866" t="s">
        <v>1865</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c r="A2017" s="2828" t="s">
        <v>2250</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5">
      <c r="A2018" s="1828"/>
      <c r="B2018" s="1841" t="s">
        <v>3614</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2705</v>
      </c>
      <c r="S2018" s="1976"/>
      <c r="T2018" s="1976"/>
      <c r="U2018" s="1976"/>
      <c r="V2018" s="1976"/>
      <c r="W2018" s="1976"/>
      <c r="X2018" s="1976"/>
    </row>
    <row r="2019" spans="1:24" ht="15">
      <c r="A2019" s="1828"/>
      <c r="B2019" s="2093" t="s">
        <v>1985</v>
      </c>
      <c r="C2019" s="1216" t="s">
        <v>4899</v>
      </c>
      <c r="D2019" s="1955"/>
      <c r="E2019" s="1216" t="s">
        <v>4900</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5">
      <c r="A2020" s="1828"/>
      <c r="B2020" s="1895"/>
      <c r="C2020" s="1216"/>
      <c r="D2020" s="1955"/>
      <c r="E2020" s="1955" t="s">
        <v>4901</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5">
      <c r="A2021" s="1976"/>
      <c r="B2021" s="2093" t="s">
        <v>1987</v>
      </c>
      <c r="C2021" s="1841" t="s">
        <v>5197</v>
      </c>
      <c r="D2021" s="1993"/>
      <c r="E2021" s="1955"/>
      <c r="F2021" s="521"/>
      <c r="G2021" s="521"/>
      <c r="H2021" s="1976"/>
      <c r="I2021" s="1976"/>
      <c r="J2021" s="1976"/>
      <c r="K2021" s="1976"/>
      <c r="L2021" s="1976"/>
      <c r="M2021" s="1976"/>
      <c r="N2021" s="1937" t="s">
        <v>1982</v>
      </c>
      <c r="O2021" s="1943" t="s">
        <v>2509</v>
      </c>
      <c r="P2021" s="1943" t="s">
        <v>2509</v>
      </c>
      <c r="Q2021" s="1976"/>
      <c r="R2021" s="1976"/>
      <c r="S2021" s="1976"/>
      <c r="T2021" s="1976"/>
      <c r="U2021" s="1976"/>
      <c r="V2021" s="1976"/>
      <c r="W2021" s="1976"/>
      <c r="X2021" s="1976"/>
    </row>
    <row r="2022" spans="1:24">
      <c r="A2022" s="521"/>
      <c r="B2022" s="1937" t="s">
        <v>2434</v>
      </c>
      <c r="C2022" s="1841" t="s">
        <v>4055</v>
      </c>
      <c r="D2022" s="521"/>
      <c r="E2022" s="521"/>
      <c r="F2022" s="521"/>
      <c r="G2022" s="521"/>
      <c r="H2022" s="521"/>
      <c r="I2022" s="521"/>
      <c r="J2022" s="521"/>
      <c r="K2022" s="521"/>
      <c r="L2022" s="521"/>
      <c r="M2022" s="521"/>
      <c r="N2022" s="1937" t="s">
        <v>2434</v>
      </c>
      <c r="O2022" s="1895">
        <f>'Part IX Scoring Criteria'!O374</f>
        <v>0</v>
      </c>
      <c r="P2022" s="1895"/>
      <c r="Q2022" s="521"/>
      <c r="R2022" s="521"/>
      <c r="S2022" s="521"/>
      <c r="T2022" s="521"/>
      <c r="U2022" s="521"/>
      <c r="V2022" s="521"/>
      <c r="W2022" s="521"/>
      <c r="X2022" s="521"/>
    </row>
    <row r="2023" spans="1:24">
      <c r="A2023" s="521"/>
      <c r="B2023" s="1944" t="s">
        <v>2435</v>
      </c>
      <c r="C2023" s="1841" t="s">
        <v>4056</v>
      </c>
      <c r="D2023" s="521"/>
      <c r="E2023" s="521"/>
      <c r="F2023" s="521"/>
      <c r="G2023" s="521"/>
      <c r="H2023" s="521"/>
      <c r="I2023" s="521"/>
      <c r="J2023" s="521"/>
      <c r="K2023" s="521"/>
      <c r="L2023" s="521"/>
      <c r="M2023" s="521"/>
      <c r="N2023" s="1944" t="s">
        <v>2435</v>
      </c>
      <c r="O2023" s="1895">
        <f>'Part IX Scoring Criteria'!O375</f>
        <v>0</v>
      </c>
      <c r="P2023" s="1895"/>
      <c r="Q2023" s="521"/>
      <c r="R2023" s="521"/>
      <c r="S2023" s="521"/>
      <c r="T2023" s="521"/>
      <c r="U2023" s="521"/>
      <c r="V2023" s="521"/>
      <c r="W2023" s="521"/>
      <c r="X2023" s="521"/>
    </row>
    <row r="2024" spans="1:24">
      <c r="A2024" s="521"/>
      <c r="B2024" s="1937" t="s">
        <v>2436</v>
      </c>
      <c r="C2024" s="1841" t="s">
        <v>4884</v>
      </c>
      <c r="D2024" s="521"/>
      <c r="E2024" s="521"/>
      <c r="F2024" s="521"/>
      <c r="G2024" s="521"/>
      <c r="H2024" s="521"/>
      <c r="I2024" s="521"/>
      <c r="J2024" s="521"/>
      <c r="K2024" s="521"/>
      <c r="L2024" s="521"/>
      <c r="M2024" s="521"/>
      <c r="N2024" s="1937" t="s">
        <v>2436</v>
      </c>
      <c r="O2024" s="1895">
        <f>'Part IX Scoring Criteria'!O376</f>
        <v>0</v>
      </c>
      <c r="P2024" s="1895"/>
      <c r="Q2024" s="521"/>
      <c r="R2024" s="521"/>
      <c r="S2024" s="521"/>
      <c r="T2024" s="521"/>
      <c r="U2024" s="521"/>
      <c r="V2024" s="521"/>
      <c r="W2024" s="521"/>
      <c r="X2024" s="521"/>
    </row>
    <row r="2025" spans="1:24">
      <c r="A2025" s="1216"/>
      <c r="B2025" s="2040" t="s">
        <v>3615</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c r="A2027" s="1631"/>
      <c r="B2027" s="1866" t="s">
        <v>3754</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5">
      <c r="A2029" s="1631"/>
      <c r="B2029" s="1866" t="s">
        <v>1865</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5">
      <c r="A2032" s="2828" t="s">
        <v>4100</v>
      </c>
      <c r="B2032" s="2764" t="s">
        <v>4061</v>
      </c>
      <c r="C2032" s="1976"/>
      <c r="D2032" s="1955"/>
      <c r="E2032" s="1955"/>
      <c r="F2032" s="521"/>
      <c r="G2032" s="521"/>
      <c r="H2032" s="1634" t="s">
        <v>2793</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5">
      <c r="A2033" s="1631"/>
      <c r="B2033" s="1841" t="s">
        <v>5198</v>
      </c>
      <c r="C2033" s="1976"/>
      <c r="D2033" s="1976"/>
      <c r="E2033" s="1955"/>
      <c r="F2033" s="521"/>
      <c r="G2033" s="521"/>
      <c r="H2033" s="521"/>
      <c r="I2033" s="521"/>
      <c r="J2033" s="1976"/>
      <c r="K2033" s="1895"/>
      <c r="L2033" s="2096"/>
      <c r="M2033" s="1976"/>
      <c r="N2033" s="1976"/>
      <c r="O2033" s="1895" t="s">
        <v>2509</v>
      </c>
      <c r="P2033" s="1895" t="s">
        <v>2509</v>
      </c>
      <c r="Q2033" s="1976"/>
      <c r="R2033" s="1976"/>
      <c r="S2033" s="1976"/>
      <c r="T2033" s="1976"/>
      <c r="U2033" s="1976"/>
      <c r="V2033" s="1976"/>
      <c r="W2033" s="1976"/>
      <c r="X2033" s="1976"/>
    </row>
    <row r="2034" spans="1:24" ht="15" customHeight="1">
      <c r="A2034" s="1216"/>
      <c r="B2034" s="1937" t="s">
        <v>2434</v>
      </c>
      <c r="C2034" s="521" t="s">
        <v>2827</v>
      </c>
      <c r="D2034" s="1216"/>
      <c r="E2034" s="1955"/>
      <c r="F2034" s="521"/>
      <c r="G2034" s="521"/>
      <c r="H2034" s="521"/>
      <c r="I2034" s="521"/>
      <c r="J2034" s="1976"/>
      <c r="K2034" s="1895"/>
      <c r="L2034" s="1900" t="str">
        <f>IF(OR(O2034="No",O2034="",O2035="No",O2035="",O2036="No",O2036="",O2037="No",O2037=""),"Unmet criterion results in no points!","")</f>
        <v/>
      </c>
      <c r="M2034" s="1900"/>
      <c r="N2034" s="1937" t="s">
        <v>2434</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2435</v>
      </c>
      <c r="C2035" s="521" t="s">
        <v>3808</v>
      </c>
      <c r="D2035" s="1216"/>
      <c r="E2035" s="1216"/>
      <c r="F2035" s="1216"/>
      <c r="G2035" s="1216"/>
      <c r="H2035" s="1216"/>
      <c r="I2035" s="1216"/>
      <c r="J2035" s="1216"/>
      <c r="K2035" s="1216"/>
      <c r="L2035" s="1900"/>
      <c r="M2035" s="1900"/>
      <c r="N2035" s="1937" t="s">
        <v>2435</v>
      </c>
      <c r="O2035" s="1895">
        <f>'Part IX Scoring Criteria'!O387</f>
        <v>0</v>
      </c>
      <c r="P2035" s="1895"/>
      <c r="Q2035" s="1216"/>
      <c r="R2035" s="1900"/>
      <c r="S2035" s="1900"/>
      <c r="T2035" s="1216"/>
      <c r="U2035" s="1216"/>
      <c r="V2035" s="1216"/>
      <c r="W2035" s="1216"/>
      <c r="X2035" s="1216"/>
    </row>
    <row r="2036" spans="1:24">
      <c r="A2036" s="1216"/>
      <c r="B2036" s="1937" t="s">
        <v>2436</v>
      </c>
      <c r="C2036" s="521" t="s">
        <v>3807</v>
      </c>
      <c r="D2036" s="1216"/>
      <c r="E2036" s="1216"/>
      <c r="F2036" s="1216"/>
      <c r="G2036" s="1216"/>
      <c r="H2036" s="1216"/>
      <c r="I2036" s="1216"/>
      <c r="J2036" s="1216"/>
      <c r="K2036" s="1216"/>
      <c r="L2036" s="1900"/>
      <c r="M2036" s="1900"/>
      <c r="N2036" s="1937" t="s">
        <v>2436</v>
      </c>
      <c r="O2036" s="1895">
        <f>'Part IX Scoring Criteria'!O388</f>
        <v>0</v>
      </c>
      <c r="P2036" s="1895"/>
      <c r="Q2036" s="1216"/>
      <c r="R2036" s="1900"/>
      <c r="S2036" s="1900"/>
      <c r="T2036" s="1216"/>
      <c r="U2036" s="1216"/>
      <c r="V2036" s="1216"/>
      <c r="W2036" s="1216"/>
      <c r="X2036" s="1216"/>
    </row>
    <row r="2037" spans="1:24" ht="12.75" customHeight="1">
      <c r="A2037" s="1216"/>
      <c r="B2037" s="1944" t="s">
        <v>2437</v>
      </c>
      <c r="C2037" s="1900" t="s">
        <v>4885</v>
      </c>
      <c r="D2037" s="1900"/>
      <c r="E2037" s="1900"/>
      <c r="F2037" s="1900"/>
      <c r="G2037" s="1900"/>
      <c r="H2037" s="1900"/>
      <c r="I2037" s="1900"/>
      <c r="J2037" s="1900"/>
      <c r="K2037" s="1900"/>
      <c r="L2037" s="1900"/>
      <c r="M2037" s="1900"/>
      <c r="N2037" s="1944" t="s">
        <v>2437</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1982</v>
      </c>
      <c r="B2039" s="1634" t="s">
        <v>4063</v>
      </c>
      <c r="L2039" s="2817" t="str">
        <f>IF(OR($O2039=$M2039,$O2039=0,$O2039=""),"","* * Check Score! * *")</f>
        <v/>
      </c>
      <c r="M2039" s="1633">
        <v>3</v>
      </c>
      <c r="N2039" s="1937" t="s">
        <v>1982</v>
      </c>
      <c r="O2039" s="1863">
        <f>'Part IX Scoring Criteria'!O391</f>
        <v>0</v>
      </c>
      <c r="P2039" s="1863"/>
      <c r="Q2039" s="2807" t="str">
        <f>IF(OR($O2039=$M2039,$O2039=0,$O2039=""),"","*CHECK!*")</f>
        <v/>
      </c>
      <c r="R2039" s="1689" t="s">
        <v>2705</v>
      </c>
    </row>
    <row r="2040" spans="1:24">
      <c r="A2040" s="2872"/>
      <c r="B2040" s="2854" t="s">
        <v>1985</v>
      </c>
      <c r="C2040" s="1921" t="s">
        <v>4888</v>
      </c>
      <c r="D2040" s="1921"/>
      <c r="E2040" s="1921"/>
      <c r="F2040" s="1921"/>
      <c r="G2040" s="1921"/>
      <c r="H2040" s="1921"/>
      <c r="I2040" s="1921"/>
    </row>
    <row r="2041" spans="1:24">
      <c r="A2041" s="2872"/>
      <c r="B2041" s="2021"/>
      <c r="C2041" s="1921" t="s">
        <v>4887</v>
      </c>
      <c r="D2041" s="1921"/>
      <c r="E2041" s="1921"/>
      <c r="F2041" s="1921"/>
      <c r="G2041" s="1921"/>
      <c r="H2041" s="1921"/>
      <c r="I2041" s="1921"/>
      <c r="J2041" s="2039" t="s">
        <v>1989</v>
      </c>
      <c r="K2041" s="2039"/>
      <c r="M2041" s="2039" t="s">
        <v>1989</v>
      </c>
      <c r="N2041" s="2039"/>
      <c r="O2041" s="2039"/>
      <c r="P2041" s="2039"/>
    </row>
    <row r="2042" spans="1:24" ht="15">
      <c r="A2042" s="1941"/>
      <c r="B2042" s="1937" t="s">
        <v>2434</v>
      </c>
      <c r="C2042" s="521" t="s">
        <v>1482</v>
      </c>
      <c r="D2042" s="1976"/>
      <c r="E2042" s="1976"/>
      <c r="F2042" s="1976"/>
      <c r="G2042" s="1976"/>
      <c r="H2042" s="1976"/>
      <c r="I2042" s="1937" t="s">
        <v>2434</v>
      </c>
      <c r="J2042" s="1862">
        <f>'Part IX Scoring Criteria'!J394</f>
        <v>0</v>
      </c>
      <c r="K2042" s="1862">
        <f>'Part IX Scoring Criteria'!K394</f>
        <v>0</v>
      </c>
      <c r="L2042" s="1937" t="s">
        <v>2434</v>
      </c>
      <c r="M2042" s="1862"/>
      <c r="N2042" s="1862"/>
      <c r="O2042" s="1862"/>
      <c r="P2042" s="1862"/>
      <c r="Q2042" s="1976"/>
      <c r="R2042" s="2817"/>
      <c r="S2042" s="1976"/>
      <c r="T2042" s="1976"/>
      <c r="U2042" s="1976"/>
      <c r="V2042" s="1976"/>
      <c r="W2042" s="1976"/>
      <c r="X2042" s="1976"/>
    </row>
    <row r="2043" spans="1:24">
      <c r="A2043" s="1879"/>
      <c r="B2043" s="1944" t="s">
        <v>2435</v>
      </c>
      <c r="C2043" s="521" t="s">
        <v>3621</v>
      </c>
      <c r="I2043" s="1944" t="s">
        <v>2435</v>
      </c>
      <c r="J2043" s="1862">
        <f>'Part IX Scoring Criteria'!J395</f>
        <v>0</v>
      </c>
      <c r="K2043" s="1862">
        <f>'Part IX Scoring Criteria'!K395</f>
        <v>0</v>
      </c>
      <c r="L2043" s="1944" t="s">
        <v>2435</v>
      </c>
      <c r="M2043" s="1862"/>
      <c r="N2043" s="1862"/>
      <c r="O2043" s="1862"/>
      <c r="P2043" s="1862"/>
      <c r="R2043" s="2817"/>
    </row>
    <row r="2044" spans="1:24">
      <c r="B2044" s="1937" t="s">
        <v>2436</v>
      </c>
      <c r="C2044" s="521" t="s">
        <v>2625</v>
      </c>
      <c r="I2044" s="1937" t="s">
        <v>2436</v>
      </c>
      <c r="J2044" s="1862">
        <f>'Part IX Scoring Criteria'!J396</f>
        <v>0</v>
      </c>
      <c r="K2044" s="1862">
        <f>'Part IX Scoring Criteria'!K396</f>
        <v>0</v>
      </c>
      <c r="L2044" s="1937" t="s">
        <v>2436</v>
      </c>
      <c r="M2044" s="1862"/>
      <c r="N2044" s="1862"/>
      <c r="O2044" s="1862"/>
      <c r="P2044" s="1862"/>
      <c r="R2044" s="2817"/>
    </row>
    <row r="2045" spans="1:24">
      <c r="A2045" s="1879"/>
      <c r="B2045" s="1937" t="s">
        <v>2437</v>
      </c>
      <c r="C2045" s="521" t="s">
        <v>3460</v>
      </c>
      <c r="I2045" s="1937" t="s">
        <v>2437</v>
      </c>
      <c r="J2045" s="1862">
        <f>'Part IX Scoring Criteria'!J397</f>
        <v>0</v>
      </c>
      <c r="K2045" s="1862">
        <f>'Part IX Scoring Criteria'!K397</f>
        <v>0</v>
      </c>
      <c r="L2045" s="1937" t="s">
        <v>2437</v>
      </c>
      <c r="M2045" s="1862"/>
      <c r="N2045" s="1862"/>
      <c r="O2045" s="1862"/>
      <c r="P2045" s="1862"/>
      <c r="R2045" s="2817"/>
    </row>
    <row r="2046" spans="1:24" ht="15">
      <c r="A2046" s="1941"/>
      <c r="B2046" s="1944" t="s">
        <v>2438</v>
      </c>
      <c r="C2046" s="521" t="s">
        <v>2730</v>
      </c>
      <c r="D2046" s="1976"/>
      <c r="E2046" s="1976"/>
      <c r="F2046" s="1976"/>
      <c r="G2046" s="1976"/>
      <c r="H2046" s="1976"/>
      <c r="I2046" s="1944" t="s">
        <v>2438</v>
      </c>
      <c r="J2046" s="1862">
        <f>'Part IX Scoring Criteria'!J398</f>
        <v>0</v>
      </c>
      <c r="K2046" s="1862">
        <f>'Part IX Scoring Criteria'!K398</f>
        <v>0</v>
      </c>
      <c r="L2046" s="1944" t="s">
        <v>2438</v>
      </c>
      <c r="M2046" s="1862"/>
      <c r="N2046" s="1862"/>
      <c r="O2046" s="1862"/>
      <c r="P2046" s="1862"/>
      <c r="Q2046" s="1976"/>
      <c r="R2046" s="2817"/>
      <c r="S2046" s="1976"/>
      <c r="T2046" s="1976"/>
      <c r="U2046" s="1976"/>
      <c r="V2046" s="1976"/>
      <c r="W2046" s="1976"/>
      <c r="X2046" s="1976"/>
    </row>
    <row r="2047" spans="1:24">
      <c r="B2047" s="1937" t="s">
        <v>2454</v>
      </c>
      <c r="C2047" s="521" t="s">
        <v>1481</v>
      </c>
      <c r="I2047" s="1937" t="s">
        <v>2454</v>
      </c>
      <c r="J2047" s="1862">
        <f>'Part IX Scoring Criteria'!J399</f>
        <v>0</v>
      </c>
      <c r="K2047" s="1862">
        <f>'Part IX Scoring Criteria'!K399</f>
        <v>0</v>
      </c>
      <c r="L2047" s="1937" t="s">
        <v>2454</v>
      </c>
      <c r="M2047" s="1862"/>
      <c r="N2047" s="1862"/>
      <c r="O2047" s="1862"/>
      <c r="P2047" s="1862"/>
      <c r="R2047" s="2817"/>
    </row>
    <row r="2048" spans="1:24">
      <c r="A2048" s="1879"/>
      <c r="B2048" s="1937" t="s">
        <v>2455</v>
      </c>
      <c r="C2048" s="521" t="s">
        <v>3619</v>
      </c>
      <c r="I2048" s="1937" t="s">
        <v>2455</v>
      </c>
      <c r="J2048" s="1862">
        <f>'Part IX Scoring Criteria'!J400</f>
        <v>0</v>
      </c>
      <c r="K2048" s="1862">
        <f>'Part IX Scoring Criteria'!K400</f>
        <v>0</v>
      </c>
      <c r="L2048" s="1937" t="s">
        <v>2455</v>
      </c>
      <c r="M2048" s="1862"/>
      <c r="N2048" s="1862"/>
      <c r="O2048" s="1862"/>
      <c r="P2048" s="1862"/>
      <c r="R2048" s="2817"/>
    </row>
    <row r="2049" spans="1:24">
      <c r="B2049" s="1937" t="s">
        <v>2456</v>
      </c>
      <c r="C2049" s="521" t="s">
        <v>5087</v>
      </c>
      <c r="I2049" s="1937" t="s">
        <v>2456</v>
      </c>
      <c r="J2049" s="1862">
        <f>'Part IX Scoring Criteria'!J401</f>
        <v>0</v>
      </c>
      <c r="K2049" s="1862">
        <f>'Part IX Scoring Criteria'!K401</f>
        <v>0</v>
      </c>
      <c r="L2049" s="1937" t="s">
        <v>2456</v>
      </c>
      <c r="M2049" s="1862"/>
      <c r="N2049" s="1862"/>
      <c r="O2049" s="1862"/>
      <c r="P2049" s="1862"/>
      <c r="R2049" s="2817"/>
    </row>
    <row r="2050" spans="1:24">
      <c r="B2050" s="1937" t="s">
        <v>2457</v>
      </c>
      <c r="C2050" s="521" t="s">
        <v>4890</v>
      </c>
      <c r="I2050" s="1937" t="s">
        <v>2457</v>
      </c>
      <c r="J2050" s="1862">
        <f>'Part IX Scoring Criteria'!J402</f>
        <v>0</v>
      </c>
      <c r="K2050" s="1862">
        <f>'Part IX Scoring Criteria'!K402</f>
        <v>0</v>
      </c>
      <c r="L2050" s="1937" t="s">
        <v>2457</v>
      </c>
      <c r="M2050" s="1862"/>
      <c r="N2050" s="1862"/>
      <c r="O2050" s="1862"/>
      <c r="P2050" s="1862"/>
      <c r="R2050" s="2817"/>
    </row>
    <row r="2051" spans="1:24">
      <c r="B2051" s="1937" t="s">
        <v>3622</v>
      </c>
      <c r="C2051" s="521" t="s">
        <v>4891</v>
      </c>
      <c r="I2051" s="1937" t="s">
        <v>3622</v>
      </c>
      <c r="J2051" s="1862">
        <f>'Part IX Scoring Criteria'!J403</f>
        <v>0</v>
      </c>
      <c r="K2051" s="1862">
        <f>'Part IX Scoring Criteria'!K403</f>
        <v>0</v>
      </c>
      <c r="L2051" s="1937" t="s">
        <v>3622</v>
      </c>
      <c r="M2051" s="1862"/>
      <c r="N2051" s="1862"/>
      <c r="O2051" s="1862"/>
      <c r="P2051" s="1862"/>
      <c r="R2051" s="2817"/>
    </row>
    <row r="2052" spans="1:24">
      <c r="B2052" s="2098" t="s">
        <v>5130</v>
      </c>
      <c r="H2052" s="1841" t="s">
        <v>2627</v>
      </c>
      <c r="J2052" s="1862">
        <f>SUM(J2042:K2051)</f>
        <v>0</v>
      </c>
      <c r="K2052" s="1862"/>
      <c r="M2052" s="1862">
        <f>SUM($M2042:$M2051)</f>
        <v>0</v>
      </c>
      <c r="N2052" s="1862"/>
      <c r="O2052" s="1862"/>
      <c r="P2052" s="1862"/>
      <c r="R2052" s="2817"/>
    </row>
    <row r="2053" spans="1:24" ht="1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3" t="s">
        <v>1987</v>
      </c>
      <c r="C2054" s="1486" t="s">
        <v>2626</v>
      </c>
      <c r="M2054" s="1647"/>
      <c r="N2054" s="1647"/>
      <c r="P2054" s="1647"/>
    </row>
    <row r="2055" spans="1:24" ht="15" customHeight="1">
      <c r="A2055" s="1631"/>
      <c r="B2055" s="1976"/>
      <c r="C2055" s="1785" t="s">
        <v>5199</v>
      </c>
      <c r="D2055" s="1785"/>
      <c r="E2055" s="1785"/>
      <c r="F2055" s="1841" t="s">
        <v>4934</v>
      </c>
      <c r="G2055" s="1976"/>
      <c r="I2055" s="1823">
        <f>'Part IX Scoring Criteria'!I407</f>
        <v>0</v>
      </c>
      <c r="J2055" s="1862">
        <f>'Part IV-A-Uses of Funds'!$G$132</f>
        <v>32698126.5</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4933</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c r="A2057" s="1976"/>
      <c r="B2057" s="1976"/>
      <c r="C2057" s="1785"/>
      <c r="D2057" s="1785"/>
      <c r="E2057" s="1785"/>
      <c r="F2057" s="1955" t="s">
        <v>4932</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75">
      <c r="A2059" s="1828" t="s">
        <v>1984</v>
      </c>
      <c r="B2059" s="2040" t="s">
        <v>3623</v>
      </c>
      <c r="C2059" s="1993"/>
      <c r="D2059" s="521"/>
      <c r="E2059" s="521"/>
      <c r="F2059" s="1630"/>
      <c r="G2059" s="1993"/>
      <c r="H2059" s="521"/>
      <c r="I2059" s="1630"/>
      <c r="J2059" s="1841"/>
      <c r="K2059" s="1841"/>
      <c r="L2059" s="2817" t="str">
        <f>IF(OR($O2059=$M2059,$O2059=0,$O2059=""),"","* * Check Score! * *")</f>
        <v/>
      </c>
      <c r="M2059" s="1633">
        <v>1</v>
      </c>
      <c r="N2059" s="1937" t="s">
        <v>1984</v>
      </c>
      <c r="O2059" s="1863">
        <f>'Part IX Scoring Criteria'!O411</f>
        <v>0</v>
      </c>
      <c r="P2059" s="1863"/>
      <c r="Q2059" s="1630" t="s">
        <v>441</v>
      </c>
      <c r="R2059" s="1689" t="s">
        <v>2705</v>
      </c>
      <c r="S2059" s="1993"/>
      <c r="T2059" s="1993"/>
      <c r="U2059" s="1993"/>
      <c r="V2059" s="2819"/>
      <c r="W2059" s="2819"/>
      <c r="X2059" s="1993"/>
    </row>
    <row r="2060" spans="1:24" ht="18.75" customHeight="1">
      <c r="A2060" s="1828"/>
      <c r="B2060" s="1944" t="s">
        <v>2434</v>
      </c>
      <c r="C2060" s="1900" t="s">
        <v>4065</v>
      </c>
      <c r="D2060" s="1900"/>
      <c r="E2060" s="1900"/>
      <c r="F2060" s="1900"/>
      <c r="G2060" s="1900"/>
      <c r="H2060" s="1900"/>
      <c r="I2060" s="1900"/>
      <c r="J2060" s="1900"/>
      <c r="K2060" s="1900"/>
      <c r="L2060" s="1900"/>
      <c r="M2060" s="1900"/>
      <c r="N2060" s="1944" t="s">
        <v>2434</v>
      </c>
      <c r="O2060" s="1948">
        <f>'Part IX Scoring Criteria'!O412</f>
        <v>0</v>
      </c>
      <c r="P2060" s="1948"/>
      <c r="Q2060" s="1976"/>
      <c r="R2060" s="1976"/>
      <c r="S2060" s="1976"/>
      <c r="T2060" s="1976"/>
      <c r="U2060" s="1976"/>
      <c r="V2060" s="2819"/>
      <c r="W2060" s="2819"/>
      <c r="X2060" s="1976"/>
    </row>
    <row r="2061" spans="1:24" ht="18.75">
      <c r="A2061" s="1828"/>
      <c r="B2061" s="1937" t="s">
        <v>2435</v>
      </c>
      <c r="C2061" s="521" t="s">
        <v>3800</v>
      </c>
      <c r="D2061" s="521"/>
      <c r="E2061" s="521"/>
      <c r="F2061" s="521"/>
      <c r="G2061" s="521"/>
      <c r="H2061" s="521"/>
      <c r="I2061" s="521"/>
      <c r="J2061" s="521"/>
      <c r="K2061" s="521"/>
      <c r="L2061" s="1976"/>
      <c r="M2061" s="521"/>
      <c r="N2061" s="1944" t="s">
        <v>2435</v>
      </c>
      <c r="O2061" s="1895">
        <f>'Part IX Scoring Criteria'!O413</f>
        <v>0</v>
      </c>
      <c r="P2061" s="1895"/>
      <c r="Q2061" s="1976"/>
      <c r="R2061" s="1976"/>
      <c r="S2061" s="1976"/>
      <c r="T2061" s="1976"/>
      <c r="U2061" s="1976"/>
      <c r="V2061" s="2819"/>
      <c r="W2061" s="2819"/>
      <c r="X2061" s="1976"/>
    </row>
    <row r="2062" spans="1:24">
      <c r="B2062" s="1937" t="s">
        <v>2436</v>
      </c>
      <c r="C2062" s="1216" t="s">
        <v>4893</v>
      </c>
      <c r="N2062" s="1937" t="s">
        <v>2436</v>
      </c>
      <c r="O2062" s="1895">
        <f>'Part IX Scoring Criteria'!O414</f>
        <v>0</v>
      </c>
      <c r="P2062" s="1895"/>
    </row>
    <row r="2063" spans="1:24">
      <c r="B2063" s="1866" t="s">
        <v>3754</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5">
      <c r="A2065" s="1631"/>
      <c r="B2065" s="1671" t="s">
        <v>1865</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c r="A2068" s="2828" t="s">
        <v>4101</v>
      </c>
      <c r="B2068" s="2764" t="s">
        <v>2720</v>
      </c>
      <c r="C2068" s="1976"/>
      <c r="D2068" s="1841"/>
      <c r="E2068" s="1976"/>
      <c r="F2068" s="1976"/>
      <c r="G2068" s="1842" t="s">
        <v>3390</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c r="A2070" s="2869"/>
      <c r="B2070" s="2044" t="s">
        <v>3461</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2831</v>
      </c>
      <c r="K2070" s="2028"/>
      <c r="L2070" s="1823">
        <f>'Part III-Sources of Funds'!$I$51</f>
        <v>0</v>
      </c>
      <c r="M2070" s="2030"/>
      <c r="N2070" s="2030"/>
      <c r="O2070" s="2030"/>
      <c r="P2070" s="2030"/>
      <c r="Q2070" s="1652"/>
      <c r="R2070" s="2028"/>
      <c r="S2070" s="2028"/>
      <c r="T2070" s="2028"/>
      <c r="U2070" s="2028"/>
      <c r="V2070" s="2028"/>
      <c r="W2070" s="2028"/>
      <c r="X2070" s="2028"/>
    </row>
    <row r="2071" spans="1:24" ht="1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c r="A2072" s="2836" t="s">
        <v>1982</v>
      </c>
      <c r="B2072" s="521" t="s">
        <v>5200</v>
      </c>
      <c r="C2072" s="1921"/>
      <c r="D2072" s="1921"/>
      <c r="E2072" s="1921"/>
      <c r="F2072" s="1921"/>
      <c r="G2072" s="1921"/>
      <c r="H2072" s="1921"/>
      <c r="I2072" s="1921"/>
      <c r="J2072" s="2028"/>
      <c r="K2072" s="2028"/>
      <c r="L2072" s="2028"/>
      <c r="M2072" s="2030">
        <v>2</v>
      </c>
      <c r="N2072" s="1944" t="s">
        <v>1982</v>
      </c>
      <c r="O2072" s="1863">
        <f>'Part IX Scoring Criteria'!O424</f>
        <v>0</v>
      </c>
      <c r="P2072" s="1863"/>
      <c r="Q2072" s="2807" t="str">
        <f>IF(OR($O2072=$M2072,$O2072=0,$O2072=""),"","*CHECK!*")</f>
        <v/>
      </c>
      <c r="R2072" s="1689" t="s">
        <v>2705</v>
      </c>
      <c r="S2072" s="2028"/>
      <c r="T2072" s="2028"/>
      <c r="U2072" s="2028"/>
      <c r="V2072" s="2028"/>
      <c r="W2072" s="2028"/>
      <c r="X2072" s="2028"/>
    </row>
    <row r="2073" spans="1:24" ht="15" customHeight="1">
      <c r="A2073" s="2030"/>
      <c r="B2073" s="1867" t="s">
        <v>4194</v>
      </c>
      <c r="C2073" s="1867"/>
      <c r="D2073" s="1867"/>
      <c r="E2073" s="1867"/>
      <c r="F2073" s="1867"/>
      <c r="G2073" s="1867"/>
      <c r="H2073" s="1867"/>
      <c r="I2073" s="1867"/>
      <c r="J2073" s="1867"/>
      <c r="K2073" s="1867"/>
      <c r="L2073" s="1867"/>
      <c r="M2073" s="1890" t="s">
        <v>5201</v>
      </c>
      <c r="N2073" s="1890"/>
      <c r="O2073" s="2028"/>
      <c r="P2073" s="2028"/>
      <c r="Q2073" s="1652"/>
      <c r="R2073" s="2028"/>
      <c r="S2073" s="2028"/>
      <c r="T2073" s="2028"/>
      <c r="U2073" s="2028"/>
      <c r="V2073" s="2028"/>
      <c r="W2073" s="2028"/>
      <c r="X2073" s="2028"/>
    </row>
    <row r="2074" spans="1:24" ht="1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c r="A2075" s="2028"/>
      <c r="B2075" s="1867"/>
      <c r="C2075" s="1867"/>
      <c r="D2075" s="1867"/>
      <c r="E2075" s="1867"/>
      <c r="F2075" s="1867"/>
      <c r="G2075" s="1867"/>
      <c r="H2075" s="1867"/>
      <c r="I2075" s="1867"/>
      <c r="J2075" s="1867"/>
      <c r="K2075" s="1867"/>
      <c r="L2075" s="1867"/>
      <c r="M2075" s="1689" t="s">
        <v>2829</v>
      </c>
      <c r="N2075" s="2030"/>
      <c r="O2075" s="2152">
        <f>'Part VI-Revenues &amp; Expenses'!$O$67</f>
        <v>156</v>
      </c>
      <c r="P2075" s="2152"/>
      <c r="Q2075" s="1652"/>
      <c r="R2075" s="2028"/>
      <c r="S2075" s="2028"/>
      <c r="T2075" s="2028"/>
      <c r="U2075" s="2028"/>
      <c r="V2075" s="2028"/>
      <c r="W2075" s="2028"/>
      <c r="X2075" s="2028"/>
    </row>
    <row r="2076" spans="1:24" ht="15">
      <c r="A2076" s="2028"/>
      <c r="B2076" s="1867"/>
      <c r="C2076" s="1867"/>
      <c r="D2076" s="1867"/>
      <c r="E2076" s="1867"/>
      <c r="F2076" s="1867"/>
      <c r="G2076" s="1867"/>
      <c r="H2076" s="1867"/>
      <c r="I2076" s="1867"/>
      <c r="J2076" s="1867"/>
      <c r="K2076" s="1867"/>
      <c r="L2076" s="1867"/>
      <c r="M2076" s="1689" t="s">
        <v>2830</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c r="A2079" s="2876" t="s">
        <v>5202</v>
      </c>
      <c r="B2079" s="1921" t="s">
        <v>3356</v>
      </c>
      <c r="C2079" s="1921"/>
      <c r="D2079" s="2028"/>
      <c r="E2079" s="2028"/>
      <c r="F2079" s="2028"/>
      <c r="G2079" s="2028"/>
      <c r="H2079" s="1921"/>
      <c r="I2079" s="2028"/>
      <c r="J2079" s="2028"/>
      <c r="K2079" s="2028"/>
      <c r="L2079" s="2028"/>
      <c r="M2079" s="2030">
        <v>2</v>
      </c>
      <c r="N2079" s="1944" t="s">
        <v>1984</v>
      </c>
      <c r="O2079" s="1863">
        <f>'Part IX Scoring Criteria'!O431</f>
        <v>0</v>
      </c>
      <c r="P2079" s="1863"/>
      <c r="Q2079" s="2807" t="str">
        <f>IF(OR($O2079=$M2079,$O2079=0,$O2079=""),"","*CHECK!*")</f>
        <v/>
      </c>
      <c r="R2079" s="1689" t="s">
        <v>2705</v>
      </c>
      <c r="S2079" s="2028"/>
      <c r="T2079" s="2028"/>
      <c r="U2079" s="2028"/>
      <c r="V2079" s="2028"/>
      <c r="W2079" s="2028"/>
      <c r="X2079" s="2028"/>
    </row>
    <row r="2080" spans="1:24" ht="15" customHeight="1">
      <c r="A2080" s="2876"/>
      <c r="B2080" s="1900" t="s">
        <v>5131</v>
      </c>
      <c r="C2080" s="1900"/>
      <c r="D2080" s="1900"/>
      <c r="E2080" s="1900"/>
      <c r="F2080" s="1900"/>
      <c r="G2080" s="1900"/>
      <c r="H2080" s="1900"/>
      <c r="I2080" s="1900"/>
      <c r="J2080" s="1900"/>
      <c r="K2080" s="1900"/>
      <c r="L2080" s="1900"/>
      <c r="M2080" s="2055" t="s">
        <v>4896</v>
      </c>
      <c r="N2080" s="2028"/>
      <c r="O2080" s="2152">
        <f>'Part VI-Revenues &amp; Expenses'!$O$113</f>
        <v>0</v>
      </c>
      <c r="P2080" s="2152"/>
      <c r="Q2080" s="1652"/>
      <c r="R2080" s="2028"/>
      <c r="S2080" s="2028"/>
      <c r="T2080" s="2028"/>
      <c r="U2080" s="2028"/>
      <c r="V2080" s="2028"/>
      <c r="W2080" s="2028"/>
      <c r="X2080" s="2028"/>
    </row>
    <row r="2081" spans="1:24" ht="15">
      <c r="A2081" s="2876"/>
      <c r="B2081" s="1900"/>
      <c r="C2081" s="1900"/>
      <c r="D2081" s="1900"/>
      <c r="E2081" s="1900"/>
      <c r="F2081" s="1900"/>
      <c r="G2081" s="1900"/>
      <c r="H2081" s="1900"/>
      <c r="I2081" s="1900"/>
      <c r="J2081" s="1900"/>
      <c r="K2081" s="1900"/>
      <c r="L2081" s="1900"/>
      <c r="M2081" s="2101" t="s">
        <v>2829</v>
      </c>
      <c r="N2081" s="2030"/>
      <c r="O2081" s="2152">
        <f>'Part VI-Revenues &amp; Expenses'!$O$67</f>
        <v>156</v>
      </c>
      <c r="P2081" s="2152"/>
      <c r="Q2081" s="1652"/>
      <c r="R2081" s="2028"/>
      <c r="S2081" s="2028"/>
      <c r="T2081" s="2028"/>
      <c r="U2081" s="2028"/>
      <c r="V2081" s="2028"/>
      <c r="W2081" s="2028"/>
      <c r="X2081" s="2028"/>
    </row>
    <row r="2082" spans="1:24" ht="15">
      <c r="A2082" s="2876"/>
      <c r="B2082" s="1900"/>
      <c r="C2082" s="1900"/>
      <c r="D2082" s="1900"/>
      <c r="E2082" s="1900"/>
      <c r="F2082" s="1900"/>
      <c r="G2082" s="1900"/>
      <c r="H2082" s="1900"/>
      <c r="I2082" s="1900"/>
      <c r="J2082" s="1900"/>
      <c r="K2082" s="1900"/>
      <c r="L2082" s="1900"/>
      <c r="M2082" s="1689" t="s">
        <v>2830</v>
      </c>
      <c r="N2082" s="2030"/>
      <c r="O2082" s="2875">
        <f>IF(O2081=0,0,L2068/O2081)</f>
        <v>0</v>
      </c>
      <c r="P2082" s="2875"/>
      <c r="Q2082" s="1652"/>
      <c r="R2082" s="2028"/>
      <c r="S2082" s="2028"/>
      <c r="T2082" s="2028"/>
      <c r="U2082" s="2028"/>
      <c r="V2082" s="2028"/>
      <c r="W2082" s="2028"/>
      <c r="X2082" s="2028"/>
    </row>
    <row r="2083" spans="1:24" ht="15">
      <c r="A2083" s="1631"/>
      <c r="B2083" s="1866" t="s">
        <v>3754</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5">
      <c r="A2085" s="1976"/>
      <c r="B2085" s="1897" t="s">
        <v>1865</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c r="A2088" s="2869" t="s">
        <v>4099</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5">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5">
      <c r="A2090" s="2869"/>
      <c r="B2090" s="521" t="s">
        <v>3657</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5">
      <c r="A2091" s="2869"/>
      <c r="B2091" s="521" t="s">
        <v>3658</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5">
      <c r="A2092" s="2869"/>
      <c r="B2092" s="521" t="s">
        <v>3659</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5">
      <c r="A2093" s="1866"/>
      <c r="B2093" s="1866" t="s">
        <v>1865</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5">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4189</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4190</v>
      </c>
      <c r="I2098" s="1631"/>
      <c r="J2098" s="2111"/>
      <c r="K2098" s="2111"/>
      <c r="L2098" s="1976"/>
      <c r="N2098" s="1630"/>
      <c r="O2098" s="2002"/>
      <c r="P2098" s="2002">
        <f>P1990</f>
        <v>0</v>
      </c>
      <c r="Q2098" s="1631"/>
      <c r="R2098" s="1631"/>
      <c r="S2098" s="1631"/>
      <c r="T2098" s="1631"/>
      <c r="U2098" s="1631"/>
      <c r="V2098" s="1631"/>
      <c r="W2098" s="1631"/>
      <c r="X2098" s="1631"/>
    </row>
    <row r="2099" spans="1:24" ht="15">
      <c r="A2099" s="1631"/>
      <c r="B2099" s="1976"/>
      <c r="C2099" s="1976"/>
      <c r="D2099" s="521"/>
      <c r="E2099" s="521"/>
      <c r="F2099" s="1630"/>
      <c r="G2099" s="1976"/>
      <c r="H2099" s="1634" t="s">
        <v>4197</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3688</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hyperlink ref="N67" r:id="rId2"/>
    <hyperlink ref="N230" r:id="rId3"/>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2" bestFit="1" customWidth="1"/>
    <col min="8" max="8" width="12.140625" style="742" bestFit="1" customWidth="1"/>
    <col min="9" max="10" width="14.140625" style="742" bestFit="1" customWidth="1"/>
    <col min="11" max="14" width="9.140625" style="742" bestFit="1" customWidth="1"/>
    <col min="15" max="16" width="12.140625" style="742" bestFit="1" customWidth="1"/>
    <col min="17" max="278" width="9.140625" style="742" bestFit="1" customWidth="1"/>
    <col min="279" max="16384" width="9.140625" style="742"/>
  </cols>
  <sheetData>
    <row r="1" spans="1:16" ht="15.75">
      <c r="A1" s="1643" t="s">
        <v>979</v>
      </c>
    </row>
    <row r="2" spans="1:16" ht="16.5">
      <c r="A2" s="1644" t="str">
        <f>'Part I-Project Information'!F34</f>
        <v>55 Milton</v>
      </c>
    </row>
    <row r="3" spans="1:16" ht="16.5">
      <c r="A3" s="1644" t="str">
        <f>CONCATENATE('Part I-Project Information'!F38,", ", 'Part I-Project Information'!J39," County")</f>
        <v>Atlanta, Fulton County</v>
      </c>
    </row>
    <row r="5" spans="1:16" ht="12.75" customHeight="1">
      <c r="A5" s="1682" t="str">
        <f>'Project Narrative'!$A$5</f>
        <v xml:space="preserve">55 Milton is a Southeast Atlanta BeltLine loop site that was originally submitted as a 9% award in 2018. Prestwick will develop a market quality product consistent with The Manor at Scott’s Crossing and Gateway Capitol View in the City of Atlanta off of Milton Avenue. The multifamily complex will showcase 156 units (46-one bedroom, 63-two bedroom, and 27-three bedroom).  Eighteen (18) of the units will be reserved for persons facing homelessness through the Atlanta Housing HAVEN program.   All units will be in one individual building and there will be an integrated community center. The building’s attractive, modern exterior will consist of brick or stone complemented by hardi-plank façade providing maximum architectural appeal.  The project will seek the Southface Energy Institute’s Earth Craft certification.  
For the enjoyment and convenience of all residents, central common areas will include a community room with a kitchen, fitness center, business center with computer stations, a playground, community garden, wellness room, interior gathering areas and a laundry room. We will also offer a gazebo / picnic area and other green space.  Resident activities will be ongoing and designed to meet the needs of the changing community.  
The site's best amenity, however, might be its location.  The site is located within the Southeast corridor of the Atlanta Beltline.  This is a rapidly changing part of the city that has recently seen land sales increase significantly and multiple market rate multifamily developments approved. The site is within a short walking distance to several parks and other community amenities.
</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303272800, 303033543,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4459</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ht="13.5">
      <c r="A16" s="1647"/>
      <c r="B16" s="1648" t="s">
        <v>2363</v>
      </c>
      <c r="C16" s="1647"/>
      <c r="D16" s="1647"/>
      <c r="E16" s="1647"/>
      <c r="F16" s="1645"/>
      <c r="G16" s="1649" t="s">
        <v>4481</v>
      </c>
      <c r="H16" s="1647"/>
      <c r="I16" s="1647"/>
      <c r="J16" s="1647"/>
      <c r="K16" s="1647"/>
      <c r="L16" s="1645"/>
      <c r="M16" s="1647"/>
      <c r="N16" s="1647"/>
      <c r="O16" s="1647"/>
      <c r="P16" s="1650" t="s">
        <v>3869</v>
      </c>
    </row>
    <row r="17" spans="1:16" ht="14.25" customHeight="1">
      <c r="A17" s="1647"/>
      <c r="B17" s="1631"/>
      <c r="C17" s="1631"/>
      <c r="D17" s="1631"/>
      <c r="E17" s="1631"/>
      <c r="F17" s="1645"/>
      <c r="G17" s="1649" t="s">
        <v>4482</v>
      </c>
      <c r="H17" s="1651"/>
      <c r="I17" s="1651"/>
      <c r="J17" s="1651"/>
      <c r="K17" s="1647"/>
      <c r="L17" s="1647"/>
      <c r="M17" s="1647"/>
      <c r="N17" s="1647"/>
      <c r="O17" s="1628" t="str">
        <f>'Part I-Project Information'!$O$6</f>
        <v>2019-5</v>
      </c>
      <c r="P17" s="1628"/>
    </row>
    <row r="18" spans="1:16">
      <c r="A18" s="1647"/>
      <c r="B18" s="1631"/>
      <c r="C18" s="1631"/>
      <c r="D18" s="1631"/>
      <c r="E18" s="1631"/>
      <c r="F18" s="1628"/>
      <c r="G18" s="1652" t="s">
        <v>3317</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2374</v>
      </c>
      <c r="C20" s="1647"/>
      <c r="D20" s="1653"/>
      <c r="E20" s="1651"/>
      <c r="F20" s="1654" t="s">
        <v>3797</v>
      </c>
      <c r="G20" s="1647"/>
      <c r="H20" s="1647"/>
      <c r="I20" s="1655">
        <f>'Part IV-A-Uses of Funds'!$J$175</f>
        <v>1213455</v>
      </c>
      <c r="J20" s="1655"/>
      <c r="K20" s="1647"/>
      <c r="L20" s="1647" t="s">
        <v>3798</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ht="13.5">
      <c r="A22" s="1648" t="s">
        <v>740</v>
      </c>
      <c r="B22" s="1628" t="s">
        <v>2039</v>
      </c>
      <c r="C22" s="1647"/>
      <c r="D22" s="1647"/>
      <c r="E22" s="1647"/>
      <c r="F22" s="1710" t="str">
        <f>'Part I-Project Information'!$F$11</f>
        <v>4% Credit/TE Bond</v>
      </c>
      <c r="G22" s="1710"/>
      <c r="H22" s="1710"/>
      <c r="I22" s="2114" t="s">
        <v>3714</v>
      </c>
      <c r="J22" s="1628" t="s">
        <v>4483</v>
      </c>
      <c r="K22" s="1628"/>
      <c r="L22" s="1651"/>
      <c r="M22" s="1647"/>
      <c r="N22" s="1647"/>
      <c r="O22" s="1647" t="str">
        <f>'Part I-Project Information'!$O$11</f>
        <v>2019PA-517</v>
      </c>
      <c r="P22" s="1647"/>
    </row>
    <row r="23" spans="1:16" ht="13.5" customHeight="1">
      <c r="A23" s="1645"/>
      <c r="B23" s="1658" t="s">
        <v>4460</v>
      </c>
      <c r="C23" s="1658"/>
      <c r="D23" s="1658"/>
      <c r="E23" s="1647"/>
      <c r="F23" s="1647"/>
      <c r="G23" s="1647"/>
      <c r="H23" s="1651"/>
      <c r="I23" s="1647"/>
      <c r="J23" s="1654" t="s">
        <v>2732</v>
      </c>
      <c r="K23" s="1648"/>
      <c r="L23" s="1647"/>
      <c r="M23" s="1651"/>
      <c r="N23" s="1647"/>
      <c r="O23" s="1710" t="str">
        <f>'Part I-Project Information'!$O$12</f>
        <v>Yes - see Comment</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Yes</v>
      </c>
      <c r="G25" s="1654" t="s">
        <v>3795</v>
      </c>
      <c r="K25" s="1647"/>
      <c r="L25" s="1647"/>
      <c r="M25" s="1647"/>
      <c r="N25" s="1647"/>
      <c r="O25" s="1647"/>
      <c r="P25" s="1647"/>
    </row>
    <row r="26" spans="1:16">
      <c r="A26" s="1645"/>
      <c r="B26" s="1647" t="s">
        <v>3870</v>
      </c>
      <c r="C26" s="1647"/>
      <c r="D26" s="1628"/>
      <c r="E26" s="1647"/>
      <c r="F26" s="2023" t="str">
        <f>'Part I-Project Information'!$F$15</f>
        <v>Milton Terrace</v>
      </c>
      <c r="G26" s="2023"/>
      <c r="H26" s="2023"/>
      <c r="I26" s="2023"/>
      <c r="J26" s="2023"/>
      <c r="K26" s="2023"/>
      <c r="L26" s="1647" t="s">
        <v>3794</v>
      </c>
      <c r="M26" s="1647"/>
      <c r="N26" s="1647"/>
      <c r="O26" s="1647" t="str">
        <f>'Part I-Project Information'!$O$15</f>
        <v>2018-007</v>
      </c>
      <c r="P26" s="1647"/>
    </row>
    <row r="27" spans="1:16">
      <c r="A27" s="1645"/>
      <c r="B27" s="1647" t="s">
        <v>3796</v>
      </c>
      <c r="C27" s="1647"/>
      <c r="D27" s="1647"/>
      <c r="E27" s="1647"/>
      <c r="F27" s="1729" t="str">
        <f>'Part I-Project Information'!F16</f>
        <v>No</v>
      </c>
      <c r="G27" s="1647" t="s">
        <v>3852</v>
      </c>
      <c r="H27" s="1651"/>
      <c r="I27" s="1652"/>
      <c r="J27" s="1654"/>
      <c r="K27" s="1647"/>
      <c r="L27" s="1647"/>
      <c r="M27" s="1851" t="str">
        <f>'Part I-Project Information'!N16</f>
        <v>Qualified w/out Conditions</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3878</v>
      </c>
      <c r="C31" s="1647"/>
      <c r="D31" s="1647"/>
      <c r="E31" s="1647"/>
      <c r="F31" s="1647" t="str">
        <f>'Part I-Project Information'!F20</f>
        <v>Prestwick Development Company</v>
      </c>
      <c r="G31" s="1647">
        <f>'Part I-Project Information'!G20</f>
        <v>0</v>
      </c>
      <c r="H31" s="1647">
        <f>'Part I-Project Information'!H20</f>
        <v>0</v>
      </c>
      <c r="I31" s="1647" t="s">
        <v>1797</v>
      </c>
      <c r="J31" s="1647" t="str">
        <f>'Part I-Project Information'!J20</f>
        <v>Wiley A. Tucker, III</v>
      </c>
      <c r="K31" s="1647">
        <f>'Part I-Project Information'!K20</f>
        <v>0</v>
      </c>
      <c r="L31" s="1647">
        <f>'Part I-Project Information'!L20</f>
        <v>0</v>
      </c>
      <c r="M31" s="1654" t="s">
        <v>1979</v>
      </c>
      <c r="N31" s="1647" t="str">
        <f>'Part I-Project Information'!N20</f>
        <v>Manager</v>
      </c>
      <c r="O31" s="1647">
        <f>'Part I-Project Information'!O20</f>
        <v>0</v>
      </c>
      <c r="P31" s="1647">
        <f>'Part I-Project Information'!P20</f>
        <v>0</v>
      </c>
    </row>
    <row r="32" spans="1:16" ht="12.75" customHeight="1">
      <c r="A32" s="1647"/>
      <c r="B32" s="1654" t="s">
        <v>1980</v>
      </c>
      <c r="C32" s="1647"/>
      <c r="D32" s="1647"/>
      <c r="E32" s="1647"/>
      <c r="F32" s="1647" t="str">
        <f>'Part I-Project Information'!F21</f>
        <v>3715 Northside Parkway Bldg 200 Ste 175</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3877</v>
      </c>
      <c r="N32" s="1659"/>
      <c r="O32" s="1659"/>
      <c r="P32" s="1659"/>
    </row>
    <row r="33" spans="1:16" ht="12.75" customHeight="1">
      <c r="A33" s="1647"/>
      <c r="B33" s="1654" t="s">
        <v>618</v>
      </c>
      <c r="C33" s="1647"/>
      <c r="D33" s="1647"/>
      <c r="E33" s="1647"/>
      <c r="F33" s="1647" t="str">
        <f>'Part I-Project Information'!F22</f>
        <v>Atlanta</v>
      </c>
      <c r="G33" s="1647">
        <f>'Part I-Project Information'!G22</f>
        <v>0</v>
      </c>
      <c r="H33" s="1647">
        <f>'Part I-Project Information'!H22</f>
        <v>0</v>
      </c>
      <c r="I33" s="1654" t="s">
        <v>1799</v>
      </c>
      <c r="J33" s="1680" t="str">
        <f>'Part I-Project Information'!J22</f>
        <v>GA</v>
      </c>
      <c r="K33" s="1647"/>
      <c r="L33" s="1647"/>
      <c r="M33" s="1659"/>
      <c r="N33" s="1659"/>
      <c r="O33" s="1659"/>
      <c r="P33" s="1659"/>
    </row>
    <row r="34" spans="1:16">
      <c r="A34" s="1647"/>
      <c r="B34" s="1654" t="s">
        <v>2228</v>
      </c>
      <c r="C34" s="1647"/>
      <c r="D34" s="1647"/>
      <c r="E34" s="1647"/>
      <c r="F34" s="2115">
        <f>'Part I-Project Information'!F23</f>
        <v>303272800</v>
      </c>
      <c r="G34" s="2115">
        <f>'Part I-Project Information'!G23</f>
        <v>0</v>
      </c>
      <c r="H34" s="2115">
        <f>'Part I-Project Information'!H23</f>
        <v>0</v>
      </c>
      <c r="I34" s="1654" t="s">
        <v>1720</v>
      </c>
      <c r="J34" s="2116">
        <f>'Part I-Project Information'!J23</f>
        <v>4049493871</v>
      </c>
      <c r="K34" s="2116">
        <f>'Part I-Project Information'!K23</f>
        <v>0</v>
      </c>
      <c r="L34" s="1651" t="s">
        <v>1719</v>
      </c>
      <c r="M34" s="1651">
        <f>'Part I-Project Information'!M23</f>
        <v>0</v>
      </c>
      <c r="N34" s="1654" t="s">
        <v>1721</v>
      </c>
      <c r="O34" s="2116">
        <f>'Part I-Project Information'!O23</f>
        <v>4049493871</v>
      </c>
      <c r="P34" s="2116">
        <f>'Part I-Project Information'!P23</f>
        <v>0</v>
      </c>
    </row>
    <row r="35" spans="1:16">
      <c r="A35" s="1647"/>
      <c r="B35" s="1654" t="s">
        <v>1983</v>
      </c>
      <c r="C35" s="1647"/>
      <c r="D35" s="1647"/>
      <c r="E35" s="1647"/>
      <c r="F35" s="1647" t="str">
        <f>'Part I-Project Information'!F24</f>
        <v>jody@prestwickcompanies.com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1978</v>
      </c>
      <c r="O35" s="2116">
        <f>'Part I-Project Information'!O24</f>
        <v>4049663824</v>
      </c>
      <c r="P35" s="2116">
        <f>'Part I-Project Information'!P24</f>
        <v>0</v>
      </c>
    </row>
    <row r="36" spans="1:16">
      <c r="A36" s="1645"/>
      <c r="B36" s="1628" t="s">
        <v>4067</v>
      </c>
      <c r="C36" s="1653"/>
      <c r="D36" s="1647"/>
      <c r="E36" s="1647"/>
      <c r="F36" s="1647"/>
      <c r="G36" s="1647"/>
      <c r="H36" s="1651"/>
      <c r="I36" s="1647"/>
      <c r="J36" s="1653"/>
      <c r="K36" s="1647"/>
      <c r="L36" s="1647"/>
      <c r="M36" s="1647"/>
      <c r="N36" s="1647"/>
      <c r="O36" s="1647"/>
      <c r="P36" s="1660"/>
    </row>
    <row r="37" spans="1:16">
      <c r="A37" s="1647"/>
      <c r="B37" s="1647" t="s">
        <v>3878</v>
      </c>
      <c r="C37" s="1647"/>
      <c r="D37" s="1647"/>
      <c r="E37" s="1647"/>
      <c r="F37" s="1647" t="str">
        <f>'Part I-Project Information'!F26</f>
        <v>Prestwick Development Company</v>
      </c>
      <c r="G37" s="1647">
        <f>'Part I-Project Information'!G26</f>
        <v>0</v>
      </c>
      <c r="H37" s="1647">
        <f>'Part I-Project Information'!H26</f>
        <v>0</v>
      </c>
      <c r="I37" s="1647" t="s">
        <v>1797</v>
      </c>
      <c r="J37" s="1647" t="str">
        <f>'Part I-Project Information'!J26</f>
        <v>Edrick Harris</v>
      </c>
      <c r="K37" s="1647">
        <f>'Part I-Project Information'!K26</f>
        <v>0</v>
      </c>
      <c r="L37" s="1647">
        <f>'Part I-Project Information'!L26</f>
        <v>0</v>
      </c>
      <c r="M37" s="1654" t="s">
        <v>1979</v>
      </c>
      <c r="N37" s="1647" t="str">
        <f>'Part I-Project Information'!N26</f>
        <v>SVP</v>
      </c>
      <c r="O37" s="1647">
        <f>'Part I-Project Information'!O26</f>
        <v>0</v>
      </c>
      <c r="P37" s="1647">
        <f>'Part I-Project Information'!P26</f>
        <v>0</v>
      </c>
    </row>
    <row r="38" spans="1:16" ht="12.75" customHeight="1">
      <c r="A38" s="1647"/>
      <c r="B38" s="1654" t="s">
        <v>1980</v>
      </c>
      <c r="C38" s="1647"/>
      <c r="D38" s="1647"/>
      <c r="E38" s="1647"/>
      <c r="F38" s="1647" t="str">
        <f>'Part I-Project Information'!F27</f>
        <v>3715 Northside Parkway Bldg 200 Ste 175</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3877</v>
      </c>
      <c r="N38" s="1659"/>
      <c r="O38" s="1659"/>
      <c r="P38" s="1659"/>
    </row>
    <row r="39" spans="1:16" ht="12.75" customHeight="1">
      <c r="A39" s="1647"/>
      <c r="B39" s="1654" t="s">
        <v>618</v>
      </c>
      <c r="C39" s="1647"/>
      <c r="D39" s="1647"/>
      <c r="E39" s="1647"/>
      <c r="F39" s="1647" t="str">
        <f>'Part I-Project Information'!F28</f>
        <v>Atlanta</v>
      </c>
      <c r="G39" s="1647">
        <f>'Part I-Project Information'!G28</f>
        <v>0</v>
      </c>
      <c r="H39" s="1647">
        <f>'Part I-Project Information'!H28</f>
        <v>0</v>
      </c>
      <c r="I39" s="1654" t="s">
        <v>1799</v>
      </c>
      <c r="J39" s="1680" t="str">
        <f>'Part I-Project Information'!J28</f>
        <v>GA</v>
      </c>
      <c r="K39" s="1647"/>
      <c r="L39" s="1647"/>
      <c r="M39" s="1659"/>
      <c r="N39" s="1659"/>
      <c r="O39" s="1659"/>
      <c r="P39" s="1659"/>
    </row>
    <row r="40" spans="1:16">
      <c r="A40" s="1647"/>
      <c r="B40" s="1654" t="s">
        <v>2228</v>
      </c>
      <c r="C40" s="1647"/>
      <c r="D40" s="1647"/>
      <c r="E40" s="1647"/>
      <c r="F40" s="2115">
        <f>'Part I-Project Information'!F29</f>
        <v>303272800</v>
      </c>
      <c r="G40" s="2115">
        <f>'Part I-Project Information'!G29</f>
        <v>0</v>
      </c>
      <c r="H40" s="2115">
        <f>'Part I-Project Information'!H29</f>
        <v>0</v>
      </c>
      <c r="I40" s="1654" t="s">
        <v>1720</v>
      </c>
      <c r="J40" s="2116">
        <f>'Part I-Project Information'!J29</f>
        <v>6787050738</v>
      </c>
      <c r="K40" s="2116">
        <f>'Part I-Project Information'!K29</f>
        <v>0</v>
      </c>
      <c r="L40" s="1651" t="s">
        <v>1719</v>
      </c>
      <c r="M40" s="1651">
        <f>'Part I-Project Information'!M29</f>
        <v>0</v>
      </c>
      <c r="N40" s="1654" t="s">
        <v>1721</v>
      </c>
      <c r="O40" s="2116">
        <f>'Part I-Project Information'!O29</f>
        <v>6787050738</v>
      </c>
      <c r="P40" s="2116">
        <f>'Part I-Project Information'!P29</f>
        <v>0</v>
      </c>
    </row>
    <row r="41" spans="1:16">
      <c r="A41" s="1647"/>
      <c r="B41" s="1654" t="s">
        <v>1983</v>
      </c>
      <c r="C41" s="1647"/>
      <c r="D41" s="1647"/>
      <c r="E41" s="1647"/>
      <c r="F41" s="1647" t="str">
        <f>'Part I-Project Information'!F30</f>
        <v>edrick@prestwickcompanies.com</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1978</v>
      </c>
      <c r="O41" s="2116">
        <f>'Part I-Project Information'!O30</f>
        <v>4043177597</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55 Milton</v>
      </c>
      <c r="G45" s="2023">
        <f>'Part I-Project Information'!G34</f>
        <v>0</v>
      </c>
      <c r="H45" s="2023">
        <f>'Part I-Project Information'!H34</f>
        <v>0</v>
      </c>
      <c r="I45" s="2023">
        <f>'Part I-Project Information'!I34</f>
        <v>0</v>
      </c>
      <c r="J45" s="2023">
        <f>'Part I-Project Information'!J34</f>
        <v>0</v>
      </c>
      <c r="K45" s="2023">
        <f>'Part I-Project Information'!K34</f>
        <v>0</v>
      </c>
      <c r="L45" s="1654" t="s">
        <v>2191</v>
      </c>
      <c r="M45" s="1647"/>
      <c r="N45" s="1647"/>
      <c r="O45" s="1647" t="str">
        <f>'Part I-Project Information'!O34</f>
        <v>No</v>
      </c>
      <c r="P45" s="1647">
        <f>'Part I-Project Information'!P34</f>
        <v>0</v>
      </c>
    </row>
    <row r="46" spans="1:16">
      <c r="A46" s="1650"/>
      <c r="B46" s="1647" t="s">
        <v>2698</v>
      </c>
      <c r="C46" s="1647"/>
      <c r="D46" s="1657"/>
      <c r="E46" s="1647"/>
      <c r="F46" s="1647" t="str">
        <f>'Part I-Project Information'!F35</f>
        <v>55 Milton Avenue</v>
      </c>
      <c r="G46" s="1647">
        <f>'Part I-Project Information'!G35</f>
        <v>0</v>
      </c>
      <c r="H46" s="1647">
        <f>'Part I-Project Information'!H35</f>
        <v>0</v>
      </c>
      <c r="I46" s="1647">
        <f>'Part I-Project Information'!I35</f>
        <v>0</v>
      </c>
      <c r="J46" s="1647">
        <f>'Part I-Project Information'!J35</f>
        <v>0</v>
      </c>
      <c r="K46" s="1647">
        <f>'Part I-Project Information'!K35</f>
        <v>0</v>
      </c>
      <c r="L46" s="1647" t="s">
        <v>3682</v>
      </c>
      <c r="M46" s="1647"/>
      <c r="N46" s="1647"/>
      <c r="O46" s="1647">
        <f>'Part I-Project Information'!O35</f>
        <v>0</v>
      </c>
      <c r="P46" s="1647">
        <f>'Part I-Project Information'!P35</f>
        <v>0</v>
      </c>
    </row>
    <row r="47" spans="1:16">
      <c r="A47" s="1650"/>
      <c r="B47" s="1647" t="s">
        <v>4484</v>
      </c>
      <c r="C47" s="1647"/>
      <c r="D47" s="1657"/>
      <c r="E47" s="1647"/>
      <c r="F47" s="1647">
        <f>'Part I-Project Information'!F36</f>
        <v>0</v>
      </c>
      <c r="G47" s="1647">
        <f>'Part I-Project Information'!G36</f>
        <v>0</v>
      </c>
      <c r="H47" s="1647">
        <f>'Part I-Project Information'!H36</f>
        <v>0</v>
      </c>
      <c r="I47" s="1647">
        <f>'Part I-Project Information'!I36</f>
        <v>0</v>
      </c>
      <c r="J47" s="1647">
        <f>'Part I-Project Information'!J36</f>
        <v>0</v>
      </c>
      <c r="K47" s="1647">
        <f>'Part I-Project Information'!K36</f>
        <v>0</v>
      </c>
      <c r="L47" s="1654" t="s">
        <v>2049</v>
      </c>
      <c r="M47" s="1647"/>
      <c r="N47" s="1651" t="str">
        <f>'Part I-Project Information'!N36</f>
        <v>No</v>
      </c>
      <c r="O47" s="1651" t="s">
        <v>3681</v>
      </c>
      <c r="P47" s="1651">
        <f>'Part I-Project Information'!P36</f>
        <v>0</v>
      </c>
    </row>
    <row r="48" spans="1:16">
      <c r="A48" s="1650"/>
      <c r="B48" s="1647" t="s">
        <v>3735</v>
      </c>
      <c r="C48" s="1647"/>
      <c r="D48" s="1657"/>
      <c r="E48" s="1647"/>
      <c r="F48" s="1647" t="s">
        <v>3716</v>
      </c>
      <c r="G48" s="2117">
        <f>'Part I-Project Information'!G37</f>
        <v>33.724460999999998</v>
      </c>
      <c r="H48" s="2117">
        <f>'Part I-Project Information'!H37</f>
        <v>0</v>
      </c>
      <c r="I48" s="1651" t="s">
        <v>3717</v>
      </c>
      <c r="J48" s="2117">
        <f>'Part I-Project Information'!J37</f>
        <v>-84.386662000000001</v>
      </c>
      <c r="K48" s="2117">
        <f>'Part I-Project Information'!K37</f>
        <v>0</v>
      </c>
      <c r="L48" s="1654" t="s">
        <v>2282</v>
      </c>
      <c r="M48" s="1647"/>
      <c r="N48" s="1647"/>
      <c r="O48" s="2118">
        <f>'Part I-Project Information'!O37</f>
        <v>3.43</v>
      </c>
      <c r="P48" s="2118">
        <f>'Part I-Project Information'!P37</f>
        <v>0</v>
      </c>
    </row>
    <row r="49" spans="1:16" ht="16.5">
      <c r="A49" s="1645"/>
      <c r="B49" s="1647" t="s">
        <v>618</v>
      </c>
      <c r="C49" s="1647"/>
      <c r="D49" s="1647"/>
      <c r="E49" s="1647"/>
      <c r="F49" s="1647" t="str">
        <f>'Part I-Project Information'!F38</f>
        <v>Atlanta</v>
      </c>
      <c r="G49" s="1647">
        <f>'Part I-Project Information'!G38</f>
        <v>0</v>
      </c>
      <c r="H49" s="1647">
        <f>'Part I-Project Information'!H38</f>
        <v>0</v>
      </c>
      <c r="I49" s="1661" t="s">
        <v>4485</v>
      </c>
      <c r="J49" s="2115">
        <f>'Part I-Project Information'!J38</f>
        <v>303152303</v>
      </c>
      <c r="K49" s="2115">
        <f>'Part I-Project Information'!K38</f>
        <v>0</v>
      </c>
      <c r="L49" s="1628" t="str">
        <f>IF(AND(NOT(F45=""),NOT(F49="Select from list"),J49=""),"Enter Zip!","")</f>
        <v/>
      </c>
      <c r="M49" s="1662" t="s">
        <v>2905</v>
      </c>
      <c r="N49" s="1647"/>
      <c r="O49" s="2119" t="str">
        <f>'Part I-Project Information'!O38</f>
        <v>0055.01</v>
      </c>
      <c r="P49" s="2120">
        <f>'Part I-Project Information'!P38</f>
        <v>0</v>
      </c>
    </row>
    <row r="50" spans="1:16">
      <c r="A50" s="1645"/>
      <c r="B50" s="1647" t="s">
        <v>3568</v>
      </c>
      <c r="C50" s="1647"/>
      <c r="D50" s="1647"/>
      <c r="E50" s="1647"/>
      <c r="F50" s="1647" t="str">
        <f>'Part I-Project Information'!F39</f>
        <v>Within City Limits</v>
      </c>
      <c r="G50" s="1647">
        <f>'Part I-Project Information'!G39</f>
        <v>0</v>
      </c>
      <c r="H50" s="1647">
        <f>'Part I-Project Information'!H39</f>
        <v>0</v>
      </c>
      <c r="I50" s="1663" t="s">
        <v>619</v>
      </c>
      <c r="J50" s="2023" t="str">
        <f>'Part I-Project Information'!J39</f>
        <v>Fulton</v>
      </c>
      <c r="K50" s="2023">
        <f>'Part I-Project Information'!K39</f>
        <v>0</v>
      </c>
      <c r="L50" s="1647"/>
      <c r="M50" s="1654" t="s">
        <v>451</v>
      </c>
      <c r="N50" s="1664" t="str">
        <f>'Part I-Project Information'!N39</f>
        <v>Yes</v>
      </c>
      <c r="O50" s="1651" t="s">
        <v>452</v>
      </c>
      <c r="P50" s="1664" t="str">
        <f>'Part I-Project Information'!P39</f>
        <v>No</v>
      </c>
    </row>
    <row r="51" spans="1:16">
      <c r="A51" s="1645"/>
      <c r="B51" s="1628"/>
      <c r="C51" s="1647" t="s">
        <v>1558</v>
      </c>
      <c r="D51" s="1647"/>
      <c r="E51" s="1647"/>
      <c r="F51" s="1654">
        <f>'Part I-Project Information'!F40</f>
        <v>0</v>
      </c>
      <c r="G51" s="1647" t="s">
        <v>2780</v>
      </c>
      <c r="H51" s="1647"/>
      <c r="I51" s="1651" t="str">
        <f>'Part I-Project Information'!I40</f>
        <v>No</v>
      </c>
      <c r="J51" s="1651" t="s">
        <v>2800</v>
      </c>
      <c r="K51" s="1651" t="str">
        <f>'Part I-Project Information'!K40</f>
        <v>Urban</v>
      </c>
      <c r="L51" s="1647"/>
      <c r="M51" s="1654" t="s">
        <v>2610</v>
      </c>
      <c r="N51" s="1645" t="str">
        <f>'Part I-Project Information'!N40</f>
        <v>MSA</v>
      </c>
      <c r="O51" s="1647" t="str">
        <f>'Part I-Project Information'!O40</f>
        <v>Atlanta-Sandy Springs-Marietta</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ht="13.5">
      <c r="A53" s="1645"/>
      <c r="B53" s="1647"/>
      <c r="C53" s="1647" t="s">
        <v>4486</v>
      </c>
      <c r="D53" s="1647"/>
      <c r="E53" s="1647"/>
      <c r="F53" s="1665" t="s">
        <v>2761</v>
      </c>
      <c r="G53" s="1665"/>
      <c r="H53" s="1647" t="s">
        <v>736</v>
      </c>
      <c r="I53" s="1647"/>
      <c r="J53" s="1647" t="s">
        <v>737</v>
      </c>
      <c r="K53" s="1647"/>
      <c r="L53" s="1666" t="s">
        <v>4487</v>
      </c>
      <c r="M53" s="1647"/>
      <c r="N53" s="1647"/>
      <c r="O53" s="1647"/>
      <c r="P53" s="1647"/>
    </row>
    <row r="54" spans="1:16">
      <c r="A54" s="1645"/>
      <c r="B54" s="1647" t="s">
        <v>4488</v>
      </c>
      <c r="C54" s="1647"/>
      <c r="D54" s="1628"/>
      <c r="E54" s="1647"/>
      <c r="F54" s="2121">
        <f>'Part I-Project Information'!F43</f>
        <v>5</v>
      </c>
      <c r="G54" s="2121">
        <f>'Part I-Project Information'!G43</f>
        <v>0</v>
      </c>
      <c r="H54" s="2121">
        <f>'Part I-Project Information'!H43</f>
        <v>36</v>
      </c>
      <c r="I54" s="2121">
        <f>'Part I-Project Information'!I43</f>
        <v>0</v>
      </c>
      <c r="J54" s="2121">
        <f>'Part I-Project Information'!J43</f>
        <v>59</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2759</v>
      </c>
      <c r="M55" s="1647"/>
      <c r="N55" s="1668" t="s">
        <v>2758</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City of Atlanta</v>
      </c>
      <c r="G57" s="1779">
        <f>'Part I-Project Information'!G46</f>
        <v>0</v>
      </c>
      <c r="H57" s="1779">
        <f>'Part I-Project Information'!H46</f>
        <v>0</v>
      </c>
      <c r="I57" s="1779">
        <f>'Part I-Project Information'!I46</f>
        <v>0</v>
      </c>
      <c r="J57" s="1779">
        <f>'Part I-Project Information'!J46</f>
        <v>0</v>
      </c>
      <c r="K57" s="1779">
        <f>'Part I-Project Information'!K46</f>
        <v>0</v>
      </c>
      <c r="L57" s="1669" t="s">
        <v>2703</v>
      </c>
      <c r="M57" s="1647" t="str">
        <f>'Part I-Project Information'!M46</f>
        <v>www.atlantaga.gov</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Keisha Lance Bottoms</v>
      </c>
      <c r="G58" s="1779">
        <f>'Part I-Project Information'!G47</f>
        <v>0</v>
      </c>
      <c r="H58" s="1779">
        <f>'Part I-Project Information'!H47</f>
        <v>0</v>
      </c>
      <c r="I58" s="1651" t="s">
        <v>1979</v>
      </c>
      <c r="J58" s="1647" t="str">
        <f>'Part I-Project Information'!J47</f>
        <v>Mayor</v>
      </c>
      <c r="K58" s="1647">
        <f>'Part I-Project Information'!K47</f>
        <v>0</v>
      </c>
      <c r="L58" s="1669"/>
      <c r="M58" s="1647"/>
      <c r="N58" s="1647"/>
      <c r="O58" s="1647"/>
      <c r="P58" s="1647"/>
    </row>
    <row r="59" spans="1:16">
      <c r="A59" s="1645"/>
      <c r="B59" s="1647" t="s">
        <v>1980</v>
      </c>
      <c r="C59" s="1647"/>
      <c r="D59" s="1647"/>
      <c r="E59" s="1647"/>
      <c r="F59" s="1779" t="str">
        <f>'Part I-Project Information'!F48</f>
        <v>55 Trinity Avenue</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Atlanta</v>
      </c>
      <c r="N59" s="1779">
        <f>'Part I-Project Information'!N48</f>
        <v>0</v>
      </c>
      <c r="O59" s="1779">
        <f>'Part I-Project Information'!O48</f>
        <v>0</v>
      </c>
      <c r="P59" s="1779">
        <f>'Part I-Project Information'!P48</f>
        <v>0</v>
      </c>
    </row>
    <row r="60" spans="1:16">
      <c r="A60" s="1645"/>
      <c r="B60" s="1654" t="s">
        <v>2228</v>
      </c>
      <c r="C60" s="1647"/>
      <c r="D60" s="1647"/>
      <c r="E60" s="1647"/>
      <c r="F60" s="2115">
        <f>'Part I-Project Information'!F49</f>
        <v>303033543</v>
      </c>
      <c r="G60" s="2115">
        <f>'Part I-Project Information'!G49</f>
        <v>0</v>
      </c>
      <c r="H60" s="1651" t="s">
        <v>1981</v>
      </c>
      <c r="I60" s="2116">
        <f>'Part I-Project Information'!I49</f>
        <v>4043306100</v>
      </c>
      <c r="J60" s="2116">
        <f>'Part I-Project Information'!J49</f>
        <v>0</v>
      </c>
      <c r="K60" s="2116">
        <f>'Part I-Project Information'!K49</f>
        <v>0</v>
      </c>
      <c r="L60" s="1654" t="s">
        <v>1800</v>
      </c>
      <c r="M60" s="1779" t="str">
        <f>'Part I-Project Information'!M49</f>
        <v>klbottoms@atlantaga.gov</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1982</v>
      </c>
      <c r="C65" s="1628" t="s">
        <v>4489</v>
      </c>
      <c r="D65" s="1647"/>
      <c r="E65" s="1647"/>
      <c r="F65" s="1647"/>
      <c r="G65" s="1647"/>
      <c r="H65" s="1647"/>
      <c r="I65" s="1647"/>
      <c r="J65" s="1647"/>
      <c r="K65" s="1652"/>
      <c r="L65" s="1647"/>
      <c r="M65" s="1667"/>
      <c r="N65" s="1667"/>
      <c r="O65" s="1667"/>
      <c r="P65" s="1667"/>
    </row>
    <row r="66" spans="1:16" ht="13.5">
      <c r="A66" s="1653"/>
      <c r="B66" s="1645"/>
      <c r="C66" s="1647" t="s">
        <v>2294</v>
      </c>
      <c r="D66" s="1647"/>
      <c r="E66" s="1647"/>
      <c r="F66" s="1653"/>
      <c r="G66" s="1653"/>
      <c r="H66" s="1672">
        <f>'Part VI-Revenues &amp; Expenses'!$O$103</f>
        <v>156</v>
      </c>
      <c r="I66" s="1653"/>
      <c r="J66" s="1653"/>
      <c r="K66" s="1654" t="s">
        <v>3673</v>
      </c>
      <c r="L66" s="1647"/>
      <c r="M66" s="1673" t="s">
        <v>3672</v>
      </c>
      <c r="N66" s="1672">
        <f>'Part VI-Revenues &amp; Expenses'!$O$110</f>
        <v>0</v>
      </c>
      <c r="O66" s="1674" t="s">
        <v>3356</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0</v>
      </c>
      <c r="I68" s="1676" t="s">
        <v>2909</v>
      </c>
      <c r="J68" s="1647"/>
      <c r="K68" s="1647" t="s">
        <v>348</v>
      </c>
      <c r="L68" s="1647"/>
      <c r="M68" s="1647"/>
      <c r="N68" s="1647"/>
      <c r="O68" s="1647"/>
      <c r="P68" s="2122">
        <f>'Part I-Project Information'!P56</f>
        <v>0</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1984</v>
      </c>
      <c r="C70" s="1628" t="s">
        <v>2295</v>
      </c>
      <c r="D70" s="1647"/>
      <c r="E70" s="1647"/>
      <c r="F70" s="1647"/>
      <c r="G70" s="1647"/>
      <c r="H70" s="1651" t="str">
        <f>'Part I-Project Information'!H58</f>
        <v>Yes</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2275</v>
      </c>
      <c r="D72" s="1647"/>
      <c r="E72" s="1647"/>
      <c r="F72" s="1647"/>
      <c r="G72" s="1647"/>
      <c r="H72" s="1647"/>
      <c r="I72" s="1678" t="s">
        <v>3564</v>
      </c>
      <c r="J72" s="1650" t="s">
        <v>2114</v>
      </c>
      <c r="K72" s="1679" t="s">
        <v>2301</v>
      </c>
      <c r="L72" s="1647"/>
      <c r="M72" s="1647"/>
      <c r="N72" s="1647"/>
      <c r="O72" s="1647"/>
      <c r="P72" s="1651"/>
    </row>
    <row r="73" spans="1:16">
      <c r="A73" s="1645"/>
      <c r="B73" s="1680"/>
      <c r="C73" s="1653" t="s">
        <v>2276</v>
      </c>
      <c r="D73" s="1647"/>
      <c r="E73" s="1647"/>
      <c r="F73" s="1647"/>
      <c r="G73" s="1647"/>
      <c r="H73" s="1681">
        <f>SUM(H74:H75)</f>
        <v>23</v>
      </c>
      <c r="I73" s="1681">
        <f>SUM(I74:I75)</f>
        <v>18</v>
      </c>
      <c r="J73" s="1645"/>
      <c r="K73" s="1653" t="s">
        <v>2772</v>
      </c>
      <c r="L73" s="1647"/>
      <c r="M73" s="1647"/>
      <c r="N73" s="1647"/>
      <c r="O73" s="1647"/>
      <c r="P73" s="1681">
        <f>'Part VI-Revenues &amp; Expenses'!$O$152</f>
        <v>135422</v>
      </c>
    </row>
    <row r="74" spans="1:16">
      <c r="A74" s="1645"/>
      <c r="B74" s="1653"/>
      <c r="C74" s="1647"/>
      <c r="D74" s="1665" t="s">
        <v>385</v>
      </c>
      <c r="E74" s="1647"/>
      <c r="F74" s="1647"/>
      <c r="G74" s="1647"/>
      <c r="H74" s="1681">
        <f>'Part VI-Revenues &amp; Expenses'!$O$62</f>
        <v>0</v>
      </c>
      <c r="I74" s="1681">
        <f>'Part VI-Revenues &amp; Expenses'!$O$84</f>
        <v>18</v>
      </c>
      <c r="J74" s="1647"/>
      <c r="K74" s="1653" t="s">
        <v>2773</v>
      </c>
      <c r="L74" s="1647"/>
      <c r="M74" s="1647"/>
      <c r="N74" s="1647"/>
      <c r="O74" s="1647"/>
      <c r="P74" s="1681">
        <f>'Part VI-Revenues &amp; Expenses'!$O$153</f>
        <v>0</v>
      </c>
    </row>
    <row r="75" spans="1:16">
      <c r="A75" s="1645"/>
      <c r="B75" s="1647"/>
      <c r="C75" s="1647"/>
      <c r="D75" s="1665" t="s">
        <v>1820</v>
      </c>
      <c r="E75" s="1665"/>
      <c r="F75" s="1647"/>
      <c r="G75" s="1647"/>
      <c r="H75" s="1681">
        <f>'Part VI-Revenues &amp; Expenses'!$O$56</f>
        <v>23</v>
      </c>
      <c r="I75" s="1681">
        <f>'Part VI-Revenues &amp; Expenses'!$O$83</f>
        <v>0</v>
      </c>
      <c r="J75" s="1647"/>
      <c r="K75" s="1653" t="s">
        <v>2774</v>
      </c>
      <c r="L75" s="1647"/>
      <c r="M75" s="1647"/>
      <c r="N75" s="1647"/>
      <c r="O75" s="1647"/>
      <c r="P75" s="1681">
        <f>P73+P74</f>
        <v>135422</v>
      </c>
    </row>
    <row r="76" spans="1:16">
      <c r="A76" s="1645"/>
      <c r="B76" s="1647"/>
      <c r="C76" s="1653" t="s">
        <v>253</v>
      </c>
      <c r="D76" s="1647"/>
      <c r="E76" s="1647"/>
      <c r="F76" s="1647"/>
      <c r="G76" s="1647"/>
      <c r="H76" s="1681">
        <f>'Part VI-Revenues &amp; Expenses'!$O$64</f>
        <v>0</v>
      </c>
      <c r="I76" s="1647"/>
      <c r="J76" s="1645"/>
      <c r="K76" s="1653" t="s">
        <v>2775</v>
      </c>
      <c r="L76" s="1647"/>
      <c r="M76" s="1647"/>
      <c r="N76" s="1647"/>
      <c r="O76" s="1647"/>
      <c r="P76" s="1681">
        <f>'Part VI-Revenues &amp; Expenses'!$O$155</f>
        <v>0</v>
      </c>
    </row>
    <row r="77" spans="1:16">
      <c r="A77" s="1645"/>
      <c r="B77" s="1647"/>
      <c r="C77" s="1653" t="s">
        <v>2406</v>
      </c>
      <c r="D77" s="1647"/>
      <c r="E77" s="1647"/>
      <c r="F77" s="1647"/>
      <c r="G77" s="1647"/>
      <c r="H77" s="1681">
        <f>H73+H76</f>
        <v>23</v>
      </c>
      <c r="I77" s="1647"/>
      <c r="J77" s="1645"/>
      <c r="K77" s="1653" t="s">
        <v>1420</v>
      </c>
      <c r="L77" s="1647"/>
      <c r="M77" s="1647"/>
      <c r="N77" s="1647"/>
      <c r="O77" s="1647"/>
      <c r="P77" s="1681">
        <f>+P75+P76</f>
        <v>135422</v>
      </c>
    </row>
    <row r="78" spans="1:16">
      <c r="A78" s="1645"/>
      <c r="B78" s="1647"/>
      <c r="C78" s="1653" t="s">
        <v>2407</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1793</v>
      </c>
      <c r="D79" s="1647"/>
      <c r="E79" s="1647"/>
      <c r="F79" s="1647"/>
      <c r="G79" s="1647"/>
      <c r="H79" s="1681">
        <f>+H77+H78</f>
        <v>23</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2296</v>
      </c>
      <c r="D81" s="1665" t="s">
        <v>1995</v>
      </c>
      <c r="E81" s="1647"/>
      <c r="F81" s="1647"/>
      <c r="G81" s="1647"/>
      <c r="H81" s="1681">
        <f>'Part I-Project Information'!H74</f>
        <v>1</v>
      </c>
      <c r="I81" s="1647"/>
      <c r="J81" s="1647"/>
      <c r="K81" s="1653" t="s">
        <v>4059</v>
      </c>
      <c r="L81" s="1647"/>
      <c r="M81" s="1647"/>
      <c r="N81" s="1647"/>
      <c r="O81" s="1647"/>
      <c r="P81" s="1681">
        <f>'Part I-Project Information'!P74</f>
        <v>6000</v>
      </c>
    </row>
    <row r="82" spans="1:16">
      <c r="A82" s="1645"/>
      <c r="B82" s="1645"/>
      <c r="C82" s="1647"/>
      <c r="D82" s="1680" t="s">
        <v>1996</v>
      </c>
      <c r="E82" s="1647"/>
      <c r="F82" s="1647"/>
      <c r="G82" s="1647"/>
      <c r="H82" s="1681">
        <f>'Part I-Project Information'!H75</f>
        <v>0</v>
      </c>
      <c r="I82" s="1647"/>
      <c r="J82" s="1647"/>
      <c r="K82" s="1653" t="s">
        <v>252</v>
      </c>
      <c r="L82" s="1647"/>
      <c r="M82" s="1647"/>
      <c r="N82" s="1647"/>
      <c r="O82" s="1647"/>
      <c r="P82" s="1681">
        <f>+P77+P81</f>
        <v>141422</v>
      </c>
    </row>
    <row r="83" spans="1:16">
      <c r="A83" s="1645"/>
      <c r="B83" s="1645"/>
      <c r="C83" s="1647"/>
      <c r="D83" s="1680" t="s">
        <v>1997</v>
      </c>
      <c r="E83" s="1647"/>
      <c r="F83" s="1647"/>
      <c r="G83" s="1647"/>
      <c r="H83" s="1681">
        <f>+H81+H82</f>
        <v>1</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2842</v>
      </c>
      <c r="D85" s="1647"/>
      <c r="E85" s="1647"/>
      <c r="F85" s="1647"/>
      <c r="G85" s="1647"/>
      <c r="H85" s="1681">
        <f>'Part I-Project Information'!H78</f>
        <v>190</v>
      </c>
      <c r="I85" s="1647"/>
      <c r="J85" s="1647"/>
      <c r="K85" s="1682" t="s">
        <v>3853</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1982</v>
      </c>
      <c r="C89" s="1648" t="s">
        <v>4490</v>
      </c>
      <c r="D89" s="1684"/>
      <c r="E89" s="1684"/>
      <c r="F89" s="1647"/>
      <c r="G89" s="1651"/>
      <c r="H89" s="1665" t="str">
        <f>'Part I-Project Information'!H82</f>
        <v>Family</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3872</v>
      </c>
      <c r="I91" s="1682"/>
      <c r="J91" s="1647"/>
      <c r="K91" s="1685" t="s">
        <v>2910</v>
      </c>
      <c r="L91" s="1681">
        <f>'Part I-Project Information'!M84</f>
        <v>0</v>
      </c>
      <c r="M91" s="1685" t="s">
        <v>2911</v>
      </c>
      <c r="N91" s="1681">
        <f>'Part I-Project Information'!O84</f>
        <v>0</v>
      </c>
      <c r="O91" s="1647"/>
      <c r="P91" s="1657" t="s">
        <v>3874</v>
      </c>
    </row>
    <row r="92" spans="1:16">
      <c r="A92" s="1645"/>
      <c r="B92" s="1645"/>
      <c r="C92" s="1647"/>
      <c r="D92" s="1654"/>
      <c r="E92" s="1684"/>
      <c r="F92" s="1647"/>
      <c r="G92" s="1647"/>
      <c r="H92" s="1682"/>
      <c r="I92" s="1682"/>
      <c r="J92" s="1647"/>
      <c r="K92" s="1657" t="s">
        <v>2912</v>
      </c>
      <c r="L92" s="1681">
        <f>'Part I-Project Information'!M85</f>
        <v>0</v>
      </c>
      <c r="M92" s="1657" t="s">
        <v>3873</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1984</v>
      </c>
      <c r="C94" s="1628" t="s">
        <v>1411</v>
      </c>
      <c r="D94" s="1647"/>
      <c r="E94" s="1665"/>
      <c r="F94" s="1680" t="s">
        <v>796</v>
      </c>
      <c r="G94" s="1647"/>
      <c r="H94" s="1681">
        <f>'Part VIII-Threshold Criteria'!K306</f>
        <v>8</v>
      </c>
      <c r="I94" s="1647"/>
      <c r="J94" s="1647"/>
      <c r="K94" s="1647" t="s">
        <v>520</v>
      </c>
      <c r="L94" s="1647"/>
      <c r="M94" s="1647"/>
      <c r="N94" s="1686">
        <f>IF('Part VI-Revenues &amp; Expenses'!$O$67=0,0,H94/'Part VI-Revenues &amp; Expenses'!$O$67)</f>
        <v>5.128205128205128E-2</v>
      </c>
      <c r="O94" s="1657" t="s">
        <v>3695</v>
      </c>
      <c r="P94" s="1687">
        <f>'DCA Underwriting Assumptions'!$Q$139</f>
        <v>0.05</v>
      </c>
    </row>
    <row r="95" spans="1:16">
      <c r="A95" s="1645"/>
      <c r="B95" s="1645"/>
      <c r="C95" s="1647"/>
      <c r="D95" s="1680" t="s">
        <v>2840</v>
      </c>
      <c r="E95" s="1680"/>
      <c r="F95" s="1680" t="s">
        <v>796</v>
      </c>
      <c r="G95" s="1647"/>
      <c r="H95" s="1681" t="e">
        <f>'Part VIII-Threshold Criteria'!#REF!</f>
        <v>#REF!</v>
      </c>
      <c r="I95" s="1647"/>
      <c r="J95" s="1647"/>
      <c r="K95" s="1647" t="s">
        <v>2841</v>
      </c>
      <c r="L95" s="1647"/>
      <c r="M95" s="1647"/>
      <c r="N95" s="1686" t="e">
        <f>IF(H94=0,0,H95/H94)</f>
        <v>#REF!</v>
      </c>
      <c r="O95" s="1657" t="s">
        <v>3695</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1843</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3695</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2376</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1982</v>
      </c>
      <c r="C101" s="1648" t="s">
        <v>2375</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1984</v>
      </c>
      <c r="C103" s="1628" t="s">
        <v>1534</v>
      </c>
      <c r="D103" s="1647"/>
      <c r="E103" s="1647"/>
      <c r="F103" s="1647"/>
      <c r="G103" s="1647"/>
      <c r="H103" s="1647"/>
      <c r="I103" s="1647"/>
      <c r="J103" s="1647"/>
      <c r="K103" s="1654" t="s">
        <v>869</v>
      </c>
      <c r="L103" s="1647"/>
      <c r="M103" s="1647"/>
      <c r="N103" s="1688"/>
      <c r="O103" s="1647"/>
      <c r="P103" s="1651" t="str">
        <f>'Part I-Project Information'!P96</f>
        <v>Select</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2040</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1982</v>
      </c>
      <c r="C107" s="1628" t="s">
        <v>2707</v>
      </c>
      <c r="D107" s="1647"/>
      <c r="E107" s="1647"/>
      <c r="F107" s="1665" t="s">
        <v>2599</v>
      </c>
      <c r="G107" s="1647"/>
      <c r="H107" s="1651" t="str">
        <f>'Part I-Project Information'!H100</f>
        <v>No</v>
      </c>
      <c r="I107" s="1647"/>
      <c r="J107" s="1647"/>
      <c r="K107" s="1665" t="s">
        <v>3897</v>
      </c>
      <c r="L107" s="1651" t="str">
        <f>'Part I-Project Information'!H101</f>
        <v>No</v>
      </c>
      <c r="M107" s="1647"/>
      <c r="N107" s="1647"/>
      <c r="O107" s="1657" t="s">
        <v>3891</v>
      </c>
      <c r="P107" s="1651" t="str">
        <f>'Part I-Project Information'!P100</f>
        <v>No</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1984</v>
      </c>
      <c r="C109" s="1628" t="s">
        <v>2708</v>
      </c>
      <c r="D109" s="1647"/>
      <c r="E109" s="1647"/>
      <c r="F109" s="1654" t="s">
        <v>2678</v>
      </c>
      <c r="G109" s="1647"/>
      <c r="H109" s="1651" t="str">
        <f>'Part I-Project Information'!H103</f>
        <v>No</v>
      </c>
      <c r="I109" s="1689" t="s">
        <v>2709</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2782</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t="str">
        <f>'Part I-Project Information'!E109</f>
        <v>Urban Residential Finance Authority of the City of Atlanta, Georgia</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43545</v>
      </c>
      <c r="P115" s="2123">
        <f>'Part I-Project Information'!P109</f>
        <v>0</v>
      </c>
    </row>
    <row r="116" spans="1:16">
      <c r="A116" s="1647"/>
      <c r="B116" s="1647"/>
      <c r="C116" s="1654" t="s">
        <v>1021</v>
      </c>
      <c r="D116" s="1657"/>
      <c r="E116" s="1647" t="str">
        <f>'Part I-Project Information'!E110</f>
        <v>133 Peachtree Street, NE, Suite 2900</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c r="A117" s="1647"/>
      <c r="B117" s="1647"/>
      <c r="C117" s="1654" t="s">
        <v>618</v>
      </c>
      <c r="D117" s="1647"/>
      <c r="E117" s="1647" t="str">
        <f>'Part I-Project Information'!E111</f>
        <v>Atlanta</v>
      </c>
      <c r="F117" s="1665">
        <f>'Part I-Project Information'!F111</f>
        <v>0</v>
      </c>
      <c r="G117" s="1665">
        <f>'Part I-Project Information'!G111</f>
        <v>0</v>
      </c>
      <c r="H117" s="1651" t="s">
        <v>1799</v>
      </c>
      <c r="I117" s="1651" t="str">
        <f>'Part I-Project Information'!I111</f>
        <v>GA</v>
      </c>
      <c r="J117" s="1651" t="s">
        <v>2228</v>
      </c>
      <c r="K117" s="2115"/>
      <c r="L117" s="1665"/>
      <c r="M117" s="1653" t="s">
        <v>3663</v>
      </c>
      <c r="N117" s="1653"/>
      <c r="O117" s="1766">
        <f>'Part I-Project Information'!O111</f>
        <v>18000000</v>
      </c>
      <c r="P117" s="1766">
        <f>'Part I-Project Information'!P111</f>
        <v>0</v>
      </c>
    </row>
    <row r="118" spans="1:16">
      <c r="A118" s="1647"/>
      <c r="B118" s="1647"/>
      <c r="C118" s="1647" t="s">
        <v>2193</v>
      </c>
      <c r="D118" s="1647"/>
      <c r="E118" s="1647" t="str">
        <f>'Part I-Project Information'!E112</f>
        <v>Dawn Luke</v>
      </c>
      <c r="F118" s="1665">
        <f>'Part I-Project Information'!F112</f>
        <v>0</v>
      </c>
      <c r="G118" s="1665">
        <f>'Part I-Project Information'!G112</f>
        <v>0</v>
      </c>
      <c r="H118" s="1651" t="s">
        <v>1979</v>
      </c>
      <c r="I118" s="1647" t="str">
        <f>'Part I-Project Information'!I112</f>
        <v>SVP</v>
      </c>
      <c r="J118" s="1665">
        <f>'Part I-Project Information'!J112</f>
        <v>0</v>
      </c>
      <c r="K118" s="1665">
        <f>'Part I-Project Information'!K112</f>
        <v>0</v>
      </c>
      <c r="L118" s="1651" t="s">
        <v>1983</v>
      </c>
      <c r="M118" s="1647" t="str">
        <f>'Part I-Project Information'!M112</f>
        <v>dluke@investatlanta.com</v>
      </c>
      <c r="N118" s="1665">
        <f>'Part I-Project Information'!N112</f>
        <v>0</v>
      </c>
      <c r="O118" s="1665">
        <f>'Part I-Project Information'!O112</f>
        <v>0</v>
      </c>
      <c r="P118" s="1665">
        <f>'Part I-Project Information'!P112</f>
        <v>0</v>
      </c>
    </row>
    <row r="119" spans="1:16">
      <c r="A119" s="1647"/>
      <c r="B119" s="1647"/>
      <c r="C119" s="1654" t="s">
        <v>2192</v>
      </c>
      <c r="D119" s="1647"/>
      <c r="E119" s="2116">
        <f>'Part I-Project Information'!E113</f>
        <v>4048804100</v>
      </c>
      <c r="F119" s="2116">
        <f>'Part I-Project Information'!F113</f>
        <v>0</v>
      </c>
      <c r="G119" s="2116">
        <f>'Part I-Project Information'!G113</f>
        <v>0</v>
      </c>
      <c r="H119" s="1651" t="s">
        <v>1802</v>
      </c>
      <c r="I119" s="2116">
        <f>'Part I-Project Information'!I113</f>
        <v>4048809333</v>
      </c>
      <c r="J119" s="1665">
        <f>'Part I-Project Information'!J113</f>
        <v>0</v>
      </c>
      <c r="K119" s="1651" t="s">
        <v>2703</v>
      </c>
      <c r="L119" s="2023" t="str">
        <f>'Part I-Project Information'!L113</f>
        <v>www.investatlanta.com</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2152</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1982</v>
      </c>
      <c r="C125" s="1684" t="s">
        <v>1412</v>
      </c>
      <c r="D125" s="1680"/>
      <c r="E125" s="1680"/>
      <c r="F125" s="1651"/>
      <c r="G125" s="1651"/>
      <c r="H125" s="1661">
        <f>'Part I-Project Information'!H119</f>
        <v>0</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1984</v>
      </c>
      <c r="C127" s="1684" t="s">
        <v>416</v>
      </c>
      <c r="D127" s="1680"/>
      <c r="E127" s="1680"/>
      <c r="F127" s="1651"/>
      <c r="G127" s="1651"/>
      <c r="H127" s="2124">
        <f>'Part I-Project Information'!H121</f>
        <v>0</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2134</v>
      </c>
      <c r="D130" s="1680"/>
      <c r="E130" s="1647"/>
      <c r="F130" s="1680" t="s">
        <v>1134</v>
      </c>
      <c r="G130" s="1651"/>
      <c r="H130" s="1651"/>
      <c r="I130" s="1651" t="s">
        <v>1294</v>
      </c>
      <c r="J130" s="1680" t="s">
        <v>2134</v>
      </c>
      <c r="K130" s="1680"/>
      <c r="L130" s="1647"/>
      <c r="M130" s="1680" t="s">
        <v>1134</v>
      </c>
      <c r="N130" s="1651"/>
      <c r="O130" s="1651"/>
      <c r="P130" s="1651" t="s">
        <v>1294</v>
      </c>
    </row>
    <row r="131" spans="1:16" ht="13.5">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5">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5">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5">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5">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5">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2114</v>
      </c>
      <c r="C138" s="1691" t="s">
        <v>1846</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2134</v>
      </c>
      <c r="D140" s="1680"/>
      <c r="E140" s="1647"/>
      <c r="F140" s="1680" t="s">
        <v>1134</v>
      </c>
      <c r="G140" s="1651"/>
      <c r="H140" s="1651"/>
      <c r="I140" s="1651"/>
      <c r="J140" s="1680" t="s">
        <v>2134</v>
      </c>
      <c r="K140" s="1680"/>
      <c r="L140" s="1647"/>
      <c r="M140" s="1680" t="s">
        <v>1134</v>
      </c>
      <c r="N140" s="1651"/>
      <c r="O140" s="1651"/>
      <c r="P140" s="1651"/>
    </row>
    <row r="141" spans="1:16" ht="13.5">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5">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5">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5">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5">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5">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2417</v>
      </c>
      <c r="C149" s="1647"/>
      <c r="D149" s="1683"/>
      <c r="E149" s="1683"/>
      <c r="F149" s="1683"/>
      <c r="G149" s="1647"/>
      <c r="H149" s="1647"/>
      <c r="I149" s="1651" t="str">
        <f>'Part I-Project Information'!I143</f>
        <v>&lt;&lt;Select&gt;&gt;</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1982</v>
      </c>
      <c r="C151" s="1648" t="s">
        <v>1713</v>
      </c>
      <c r="D151" s="1647"/>
      <c r="E151" s="1647"/>
      <c r="F151" s="1647"/>
      <c r="G151" s="1647"/>
      <c r="H151" s="1647"/>
      <c r="I151" s="1651">
        <f>'Part I-Project Information'!I145</f>
        <v>0</v>
      </c>
      <c r="J151" s="1647"/>
      <c r="K151" s="1647"/>
      <c r="L151" s="1647"/>
      <c r="M151" s="1651"/>
      <c r="N151" s="1647"/>
      <c r="O151" s="1647"/>
      <c r="P151" s="1660"/>
    </row>
    <row r="152" spans="1:16">
      <c r="A152" s="1645"/>
      <c r="B152" s="1645"/>
      <c r="C152" s="1680" t="s">
        <v>2419</v>
      </c>
      <c r="D152" s="1680"/>
      <c r="E152" s="1680"/>
      <c r="F152" s="1651"/>
      <c r="G152" s="1647"/>
      <c r="H152" s="1647"/>
      <c r="I152" s="1651">
        <f>'Part I-Project Information'!I146</f>
        <v>0</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2420</v>
      </c>
      <c r="D154" s="1680"/>
      <c r="E154" s="1680"/>
      <c r="F154" s="1651"/>
      <c r="G154" s="1647"/>
      <c r="H154" s="1647"/>
      <c r="I154" s="1651">
        <f>'Part I-Project Information'!I148</f>
        <v>0</v>
      </c>
      <c r="J154" s="1647"/>
      <c r="K154" s="1653" t="s">
        <v>2244</v>
      </c>
      <c r="L154" s="1647"/>
      <c r="M154" s="1647"/>
      <c r="N154" s="1647"/>
      <c r="O154" s="1647" t="str">
        <f>'Part I-Project Information'!O148</f>
        <v>GA-</v>
      </c>
      <c r="P154" s="1647">
        <f>'Part I-Project Information'!P148</f>
        <v>0</v>
      </c>
    </row>
    <row r="155" spans="1:16">
      <c r="A155" s="1645"/>
      <c r="B155" s="1645"/>
      <c r="C155" s="1680" t="s">
        <v>2418</v>
      </c>
      <c r="D155" s="1647"/>
      <c r="E155" s="1647"/>
      <c r="F155" s="1651"/>
      <c r="G155" s="1647"/>
      <c r="H155" s="1647"/>
      <c r="I155" s="1651">
        <f>'Part I-Project Information'!I149</f>
        <v>0</v>
      </c>
      <c r="J155" s="1647"/>
      <c r="K155" s="1653" t="s">
        <v>2245</v>
      </c>
      <c r="L155" s="1647"/>
      <c r="M155" s="1647"/>
      <c r="N155" s="1647"/>
      <c r="O155" s="1647" t="str">
        <f>'Part I-Project Information'!O149</f>
        <v>GA-</v>
      </c>
      <c r="P155" s="1647">
        <f>'Part I-Project Information'!P149</f>
        <v>0</v>
      </c>
    </row>
    <row r="156" spans="1:16">
      <c r="A156" s="1645"/>
      <c r="B156" s="1645"/>
      <c r="C156" s="1680" t="s">
        <v>2165</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1984</v>
      </c>
      <c r="C158" s="1684" t="s">
        <v>2489</v>
      </c>
      <c r="D158" s="1680"/>
      <c r="E158" s="1680"/>
      <c r="F158" s="1651"/>
      <c r="G158" s="1647"/>
      <c r="H158" s="1647"/>
      <c r="I158" s="1661">
        <f>'Part I-Project Information'!I155</f>
        <v>0</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2700</v>
      </c>
      <c r="D160" s="1680"/>
      <c r="E160" s="1680"/>
      <c r="F160" s="1651"/>
      <c r="G160" s="1651"/>
      <c r="H160" s="1647"/>
      <c r="I160" s="1647"/>
      <c r="J160" s="1647"/>
      <c r="K160" s="1647"/>
      <c r="L160" s="1647"/>
      <c r="M160" s="1647"/>
      <c r="N160" s="1647"/>
      <c r="O160" s="1647"/>
      <c r="P160" s="1660"/>
    </row>
    <row r="161" spans="1:16">
      <c r="A161" s="1645"/>
      <c r="B161" s="1645"/>
      <c r="C161" s="1680" t="s">
        <v>4491</v>
      </c>
      <c r="D161" s="1680"/>
      <c r="E161" s="1680"/>
      <c r="F161" s="1651"/>
      <c r="G161" s="1651"/>
      <c r="H161" s="1647"/>
      <c r="I161" s="1661">
        <f>'Part I-Project Information'!I152</f>
        <v>0</v>
      </c>
      <c r="J161" s="1647"/>
      <c r="K161" s="1680" t="s">
        <v>1535</v>
      </c>
      <c r="L161" s="1680"/>
      <c r="M161" s="1651"/>
      <c r="N161" s="1651"/>
      <c r="O161" s="1661">
        <f>'Part I-Project Information'!O152</f>
        <v>0</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1982</v>
      </c>
      <c r="C165" s="1670" t="s">
        <v>1821</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f>'Part I-Project Information'!I160</f>
        <v>0</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4492</v>
      </c>
      <c r="D168" s="1647"/>
      <c r="E168" s="1647"/>
      <c r="F168" s="1647"/>
      <c r="G168" s="1647"/>
      <c r="H168" s="1681">
        <f>'Part I-Project Information'!I162</f>
        <v>0</v>
      </c>
      <c r="I168" s="1652"/>
      <c r="J168" s="1694" t="s">
        <v>3725</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2228</v>
      </c>
      <c r="J171" s="2115">
        <f>'Part I-Project Information'!G167</f>
        <v>0</v>
      </c>
      <c r="K171" s="2115">
        <f>'Part I-Project Information'!H167</f>
        <v>0</v>
      </c>
      <c r="L171" s="1654" t="s">
        <v>1978</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1984</v>
      </c>
      <c r="C174" s="1684" t="s">
        <v>2701</v>
      </c>
      <c r="D174" s="1684"/>
      <c r="E174" s="1684"/>
      <c r="F174" s="1684"/>
      <c r="G174" s="1684"/>
      <c r="H174" s="1647"/>
      <c r="I174" s="1661">
        <f>'Part I-Project Information'!I171</f>
        <v>0</v>
      </c>
      <c r="J174" s="1665" t="s">
        <v>761</v>
      </c>
      <c r="K174" s="1665"/>
      <c r="L174" s="1661">
        <f>'Part I-Project Information'!L171</f>
        <v>0</v>
      </c>
      <c r="M174" s="1647" t="s">
        <v>2325</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2702</v>
      </c>
      <c r="D176" s="1684"/>
      <c r="E176" s="1684"/>
      <c r="F176" s="1684"/>
      <c r="G176" s="1684"/>
      <c r="H176" s="1647"/>
      <c r="I176" s="1661" t="str">
        <f>'Part I-Project Information'!I172</f>
        <v>Yes</v>
      </c>
      <c r="J176" s="1665" t="s">
        <v>761</v>
      </c>
      <c r="K176" s="1665"/>
      <c r="L176" s="1661">
        <f>'Part I-Project Information'!L172</f>
        <v>2041</v>
      </c>
      <c r="M176" s="1647" t="s">
        <v>2325</v>
      </c>
      <c r="N176" s="1647"/>
      <c r="O176" s="1647"/>
      <c r="P176" s="1736">
        <f>'Part I-Project Information'!P172</f>
        <v>5</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2114</v>
      </c>
      <c r="C180" s="1683" t="s">
        <v>1977</v>
      </c>
      <c r="D180" s="1683"/>
      <c r="E180" s="1683"/>
      <c r="F180" s="1683"/>
      <c r="G180" s="1684"/>
      <c r="H180" s="1647"/>
      <c r="I180" s="1661" t="str">
        <f>'Part I-Project Information'!I176</f>
        <v>No</v>
      </c>
      <c r="J180" s="1696" t="s">
        <v>2752</v>
      </c>
      <c r="K180" s="1647"/>
      <c r="L180" s="1665" t="s">
        <v>4493</v>
      </c>
      <c r="M180" s="1665"/>
      <c r="N180" s="1684"/>
      <c r="O180" s="1684"/>
      <c r="P180" s="1681">
        <f>'Part I-Project Information'!P176</f>
        <v>0</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0</v>
      </c>
    </row>
    <row r="182" spans="1:16">
      <c r="A182" s="1645"/>
      <c r="B182" s="1645"/>
      <c r="C182" s="1647"/>
      <c r="D182" s="1647"/>
      <c r="E182" s="1647"/>
      <c r="F182" s="1647"/>
      <c r="G182" s="1647"/>
      <c r="H182" s="1647"/>
      <c r="I182" s="1647"/>
      <c r="J182" s="1647"/>
      <c r="K182" s="1647"/>
      <c r="L182" s="1647" t="s">
        <v>1791</v>
      </c>
      <c r="M182" s="1647"/>
      <c r="N182" s="1684"/>
      <c r="O182" s="1684"/>
      <c r="P182" s="1697" t="e">
        <f>IF(P180="","",P181/P180)</f>
        <v>#DIV/0!</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2211</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No</v>
      </c>
    </row>
    <row r="185" spans="1:16">
      <c r="A185" s="1645"/>
      <c r="B185" s="1645"/>
      <c r="C185" s="1647" t="s">
        <v>2212</v>
      </c>
      <c r="D185" s="1647"/>
      <c r="E185" s="1647"/>
      <c r="F185" s="1647"/>
      <c r="G185" s="1647"/>
      <c r="H185" s="1647"/>
      <c r="I185" s="1661" t="str">
        <f>'Part I-Project Information'!I181</f>
        <v>No</v>
      </c>
      <c r="J185" s="1647"/>
      <c r="K185" s="1647"/>
      <c r="L185" s="1647" t="s">
        <v>2845</v>
      </c>
      <c r="M185" s="1647"/>
      <c r="N185" s="1647"/>
      <c r="O185" s="1647"/>
      <c r="P185" s="1661" t="str">
        <f>'Part I-Project Information'!P181</f>
        <v>No</v>
      </c>
    </row>
    <row r="186" spans="1:16" ht="13.5">
      <c r="A186" s="1645"/>
      <c r="B186" s="1647"/>
      <c r="C186" s="1647" t="s">
        <v>2721</v>
      </c>
      <c r="D186" s="1647"/>
      <c r="E186" s="1647"/>
      <c r="F186" s="1647"/>
      <c r="G186" s="1647"/>
      <c r="H186" s="1647"/>
      <c r="I186" s="1661" t="str">
        <f>'Part I-Project Information'!I182</f>
        <v>No</v>
      </c>
      <c r="J186" s="1647"/>
      <c r="K186" s="1647"/>
      <c r="L186" s="1647" t="s">
        <v>2689</v>
      </c>
      <c r="M186" s="1647"/>
      <c r="N186" s="2125">
        <f>'Part I-Project Information'!N182</f>
        <v>0</v>
      </c>
      <c r="O186" s="2125">
        <f>'Part I-Project Information'!O182</f>
        <v>0</v>
      </c>
      <c r="P186" s="1661" t="str">
        <f>'Part I-Project Information'!P182</f>
        <v>No</v>
      </c>
    </row>
    <row r="187" spans="1:16" ht="13.5">
      <c r="A187" s="1645"/>
      <c r="B187" s="1645"/>
      <c r="C187" s="1647" t="s">
        <v>1285</v>
      </c>
      <c r="D187" s="1698"/>
      <c r="E187" s="1647"/>
      <c r="F187" s="1647"/>
      <c r="G187" s="1647"/>
      <c r="H187" s="1647"/>
      <c r="I187" s="1661" t="str">
        <f>'Part I-Project Information'!I183</f>
        <v>No</v>
      </c>
      <c r="J187" s="1647"/>
      <c r="K187" s="1628"/>
      <c r="L187" s="1647" t="s">
        <v>3481</v>
      </c>
      <c r="M187" s="1647"/>
      <c r="N187" s="1647"/>
      <c r="O187" s="1647"/>
      <c r="P187" s="1661" t="str">
        <f>'Part I-Project Information'!P183</f>
        <v>No</v>
      </c>
    </row>
    <row r="188" spans="1:16">
      <c r="A188" s="1645"/>
      <c r="B188" s="1628"/>
      <c r="C188" s="1647" t="s">
        <v>1807</v>
      </c>
      <c r="D188" s="1647"/>
      <c r="E188" s="1647"/>
      <c r="F188" s="1647"/>
      <c r="G188" s="1647"/>
      <c r="H188" s="1647"/>
      <c r="I188" s="1661" t="str">
        <f>'Part I-Project Information'!I184</f>
        <v>No</v>
      </c>
      <c r="J188" s="1696" t="s">
        <v>2753</v>
      </c>
      <c r="K188" s="1647"/>
      <c r="L188" s="1647"/>
      <c r="M188" s="1647"/>
      <c r="N188" s="1647"/>
      <c r="O188" s="2126">
        <f>'Part I-Project Information'!O184</f>
        <v>0</v>
      </c>
      <c r="P188" s="2126">
        <f>'Part I-Project Information'!P184</f>
        <v>0</v>
      </c>
    </row>
    <row r="189" spans="1:16">
      <c r="A189" s="1645"/>
      <c r="B189" s="1645"/>
      <c r="C189" s="1647" t="s">
        <v>2902</v>
      </c>
      <c r="D189" s="1647"/>
      <c r="E189" s="1647"/>
      <c r="F189" s="1647"/>
      <c r="G189" s="1647"/>
      <c r="H189" s="1647"/>
      <c r="I189" s="1661" t="str">
        <f>'Part I-Project Information'!I185</f>
        <v>No</v>
      </c>
      <c r="J189" s="1696" t="s">
        <v>2753</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0</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0</v>
      </c>
      <c r="I193" s="2123">
        <f>'Part I-Project Information'!I189</f>
        <v>0</v>
      </c>
      <c r="J193" s="1647"/>
      <c r="K193" s="1647"/>
      <c r="L193" s="1647"/>
      <c r="M193" s="1647"/>
      <c r="N193" s="1647"/>
      <c r="O193" s="1647"/>
      <c r="P193" s="1660"/>
    </row>
    <row r="194" spans="1:19">
      <c r="A194" s="1645"/>
      <c r="B194" s="1645"/>
      <c r="C194" s="1654" t="s">
        <v>2294</v>
      </c>
      <c r="D194" s="1680"/>
      <c r="E194" s="1680"/>
      <c r="F194" s="1651"/>
      <c r="G194" s="1651"/>
      <c r="H194" s="2123">
        <f>'Part I-Project Information'!H190</f>
        <v>44515</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2781</v>
      </c>
      <c r="B196" s="1683"/>
      <c r="C196" s="1679" t="s">
        <v>572</v>
      </c>
      <c r="D196" s="1653"/>
      <c r="E196" s="1653"/>
      <c r="F196" s="1653"/>
      <c r="G196" s="1653"/>
      <c r="H196" s="1653"/>
      <c r="I196" s="1653"/>
      <c r="J196" s="1653"/>
      <c r="K196" s="1653"/>
      <c r="L196" s="1653"/>
      <c r="M196" s="1679" t="s">
        <v>2250</v>
      </c>
      <c r="N196" s="1679" t="s">
        <v>79</v>
      </c>
      <c r="O196" s="1653"/>
      <c r="P196" s="1653"/>
    </row>
    <row r="197" spans="1:19" ht="12.75" customHeight="1">
      <c r="A197" s="1708" t="str">
        <f>'Part I-Project Information'!A193</f>
        <v>The applicant was able to increase density from 136 units to 156 units from the time of pre-application to full application.
Applicant is choosing to extend its right to a qualified contract for five years, in compliance with the Bond Threshold.</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2019-5 55 Milton,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4458</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5">
      <c r="A206" s="1628" t="s">
        <v>616</v>
      </c>
      <c r="B206" s="1648" t="s">
        <v>1857</v>
      </c>
      <c r="C206" s="1648"/>
      <c r="D206" s="1647"/>
      <c r="E206" s="1648"/>
      <c r="F206" s="1648"/>
      <c r="G206" s="1648"/>
      <c r="H206" s="1649" t="s">
        <v>4255</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1982</v>
      </c>
      <c r="C208" s="1648" t="s">
        <v>1853</v>
      </c>
      <c r="D208" s="1647"/>
      <c r="E208" s="1647"/>
      <c r="F208" s="1647"/>
      <c r="G208" s="1647"/>
      <c r="H208" s="1647" t="str">
        <f>'Part II-Development Team'!H5</f>
        <v>Milton Family I, LP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1988</v>
      </c>
      <c r="P208" s="1654"/>
      <c r="Q208" s="1647" t="str">
        <f>'Part II-Development Team'!Q5</f>
        <v>Wiley A. Tucker, III</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3715 Northside Pkwy Bldg 200 Ste 175</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Manager</v>
      </c>
      <c r="R209" s="1647">
        <f>'Part II-Development Team'!R6</f>
        <v>0</v>
      </c>
      <c r="S209" s="1647">
        <f>'Part II-Development Team'!S6</f>
        <v>0</v>
      </c>
    </row>
    <row r="210" spans="1:19">
      <c r="A210" s="1647"/>
      <c r="B210" s="1647"/>
      <c r="C210" s="1647"/>
      <c r="D210" s="1699"/>
      <c r="E210" s="1654" t="s">
        <v>618</v>
      </c>
      <c r="F210" s="1647"/>
      <c r="G210" s="1647"/>
      <c r="H210" s="1647" t="str">
        <f>'Part II-Development Team'!H7</f>
        <v>Atlanta</v>
      </c>
      <c r="I210" s="1647">
        <f>'Part II-Development Team'!I7</f>
        <v>0</v>
      </c>
      <c r="J210" s="1647">
        <f>'Part II-Development Team'!J7</f>
        <v>0</v>
      </c>
      <c r="K210" s="1651" t="s">
        <v>762</v>
      </c>
      <c r="L210" s="1647" t="str">
        <f>'Part II-Development Team'!L7</f>
        <v>83-0567133</v>
      </c>
      <c r="M210" s="1647">
        <f>'Part II-Development Team'!M7</f>
        <v>0</v>
      </c>
      <c r="N210" s="1647">
        <f>'Part II-Development Team'!N7</f>
        <v>0</v>
      </c>
      <c r="O210" s="1654" t="s">
        <v>1721</v>
      </c>
      <c r="P210" s="1647"/>
      <c r="Q210" s="2116">
        <f>'Part II-Development Team'!Q7</f>
        <v>4049493871</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GA</v>
      </c>
      <c r="I211" s="1651" t="s">
        <v>2228</v>
      </c>
      <c r="J211" s="2115">
        <f>'Part II-Development Team'!J8</f>
        <v>303272800</v>
      </c>
      <c r="K211" s="2115">
        <f>'Part II-Development Team'!K8</f>
        <v>0</v>
      </c>
      <c r="L211" s="1647" t="s">
        <v>3687</v>
      </c>
      <c r="M211" s="1647" t="str">
        <f>'Part II-Development Team'!M8</f>
        <v>For Profit</v>
      </c>
      <c r="N211" s="1647">
        <f>'Part II-Development Team'!N8</f>
        <v>0</v>
      </c>
      <c r="O211" s="1654" t="s">
        <v>1978</v>
      </c>
      <c r="P211" s="1647"/>
      <c r="Q211" s="2116">
        <f>'Part II-Development Team'!Q8</f>
        <v>4049663824</v>
      </c>
      <c r="R211" s="2116">
        <f>'Part II-Development Team'!R8</f>
        <v>0</v>
      </c>
      <c r="S211" s="2116">
        <f>'Part II-Development Team'!S8</f>
        <v>0</v>
      </c>
    </row>
    <row r="212" spans="1:19">
      <c r="A212" s="1647"/>
      <c r="B212" s="1647"/>
      <c r="C212" s="1647"/>
      <c r="D212" s="1699"/>
      <c r="E212" s="1654" t="s">
        <v>4256</v>
      </c>
      <c r="F212" s="1647"/>
      <c r="G212" s="1647"/>
      <c r="H212" s="2116">
        <f>'Part II-Development Team'!H9</f>
        <v>4049493871</v>
      </c>
      <c r="I212" s="2116">
        <f>'Part II-Development Team'!I9</f>
        <v>0</v>
      </c>
      <c r="J212" s="1661">
        <f>'Part II-Development Team'!J9</f>
        <v>0</v>
      </c>
      <c r="K212" s="1651" t="s">
        <v>1983</v>
      </c>
      <c r="L212" s="2023" t="str">
        <f>'Part II-Development Team'!L9</f>
        <v>jody@prestwickcompanies.com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5">
      <c r="A213" s="1647"/>
      <c r="B213" s="1647"/>
      <c r="C213" s="1647"/>
      <c r="D213" s="1699"/>
      <c r="E213" s="1649" t="s">
        <v>4255</v>
      </c>
      <c r="F213" s="1647"/>
      <c r="G213" s="1647"/>
      <c r="H213" s="1695"/>
      <c r="I213" s="1647"/>
      <c r="J213" s="1647"/>
      <c r="K213" s="1710"/>
      <c r="L213" s="1647"/>
      <c r="M213" s="1647"/>
      <c r="N213" s="1628" t="s">
        <v>4494</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5">
      <c r="A215" s="1647"/>
      <c r="B215" s="1683" t="s">
        <v>1984</v>
      </c>
      <c r="C215" s="1648" t="s">
        <v>1854</v>
      </c>
      <c r="D215" s="1647"/>
      <c r="E215" s="1647"/>
      <c r="F215" s="1648"/>
      <c r="G215" s="1648"/>
      <c r="H215" s="1648"/>
      <c r="I215" s="1648"/>
      <c r="J215" s="1647"/>
      <c r="K215" s="1647"/>
      <c r="L215" s="1647"/>
      <c r="M215" s="1647"/>
      <c r="N215" s="2127" t="s">
        <v>1284</v>
      </c>
      <c r="O215" s="1647"/>
      <c r="P215" s="1647"/>
      <c r="Q215" s="1647"/>
      <c r="R215" s="1647"/>
      <c r="S215" s="1647"/>
    </row>
    <row r="216" spans="1:19" ht="13.5">
      <c r="A216" s="1647"/>
      <c r="B216" s="1647"/>
      <c r="C216" s="1701" t="s">
        <v>1985</v>
      </c>
      <c r="D216" s="1683" t="s">
        <v>1986</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2115</v>
      </c>
      <c r="E217" s="1647" t="s">
        <v>1855</v>
      </c>
      <c r="F217" s="1647"/>
      <c r="G217" s="1647"/>
      <c r="H217" s="1647" t="str">
        <f>'Part II-Development Team'!H14</f>
        <v>Milton Family I GP,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1988</v>
      </c>
      <c r="P217" s="1654"/>
      <c r="Q217" s="1647" t="str">
        <f>'Part II-Development Team'!Q14</f>
        <v>Wiley A. Tucker, III</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3715 Northside Pkwy Bldg 200 Ste 175</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Manager</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Atlanta</v>
      </c>
      <c r="I219" s="1647">
        <f>'Part II-Development Team'!I16</f>
        <v>0</v>
      </c>
      <c r="J219" s="1647">
        <f>'Part II-Development Team'!J16</f>
        <v>0</v>
      </c>
      <c r="K219" s="1651" t="s">
        <v>2703</v>
      </c>
      <c r="L219" s="1647" t="str">
        <f>'Part II-Development Team'!L16</f>
        <v>N/A</v>
      </c>
      <c r="M219" s="1647">
        <f>'Part II-Development Team'!M16</f>
        <v>0</v>
      </c>
      <c r="N219" s="1647">
        <f>'Part II-Development Team'!N16</f>
        <v>0</v>
      </c>
      <c r="O219" s="1654" t="s">
        <v>1721</v>
      </c>
      <c r="P219" s="1647"/>
      <c r="Q219" s="2116">
        <f>'Part II-Development Team'!Q16</f>
        <v>4049493871</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GA</v>
      </c>
      <c r="I220" s="1647"/>
      <c r="J220" s="1647"/>
      <c r="K220" s="1651" t="s">
        <v>2228</v>
      </c>
      <c r="L220" s="2115">
        <f>'Part II-Development Team'!L17</f>
        <v>303272800</v>
      </c>
      <c r="M220" s="2115">
        <f>'Part II-Development Team'!M17</f>
        <v>0</v>
      </c>
      <c r="N220" s="1647"/>
      <c r="O220" s="1654" t="s">
        <v>1978</v>
      </c>
      <c r="P220" s="1647"/>
      <c r="Q220" s="2116">
        <f>'Part II-Development Team'!Q17</f>
        <v>4049663824</v>
      </c>
      <c r="R220" s="2116">
        <f>'Part II-Development Team'!R17</f>
        <v>0</v>
      </c>
      <c r="S220" s="2116">
        <f>'Part II-Development Team'!S17</f>
        <v>0</v>
      </c>
    </row>
    <row r="221" spans="1:19">
      <c r="A221" s="1647"/>
      <c r="B221" s="1647"/>
      <c r="C221" s="1647"/>
      <c r="D221" s="1699"/>
      <c r="E221" s="1654" t="s">
        <v>4256</v>
      </c>
      <c r="F221" s="1647"/>
      <c r="G221" s="1647"/>
      <c r="H221" s="2116">
        <f>'Part II-Development Team'!H18</f>
        <v>4049493871</v>
      </c>
      <c r="I221" s="2116">
        <f>'Part II-Development Team'!I18</f>
        <v>0</v>
      </c>
      <c r="J221" s="1661">
        <f>'Part II-Development Team'!J18</f>
        <v>0</v>
      </c>
      <c r="K221" s="1651" t="s">
        <v>1983</v>
      </c>
      <c r="L221" s="2023" t="str">
        <f>'Part II-Development Team'!L18</f>
        <v>jody@prestwickcompanies.com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2116</v>
      </c>
      <c r="E223" s="1647" t="s">
        <v>1856</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1988</v>
      </c>
      <c r="P223" s="1654"/>
      <c r="Q223" s="1647">
        <f>'Part II-Development Team'!Q20</f>
        <v>0</v>
      </c>
      <c r="R223" s="1647">
        <f>'Part II-Development Team'!R20</f>
        <v>0</v>
      </c>
      <c r="S223" s="1647">
        <f>'Part II-Development Team'!S20</f>
        <v>0</v>
      </c>
    </row>
    <row r="224" spans="1:19">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c r="A225" s="1647"/>
      <c r="B225" s="1647"/>
      <c r="C225" s="1647"/>
      <c r="D225" s="1699"/>
      <c r="E225" s="1654" t="s">
        <v>618</v>
      </c>
      <c r="F225" s="1647"/>
      <c r="G225" s="1647"/>
      <c r="H225" s="1647">
        <f>'Part II-Development Team'!H22</f>
        <v>0</v>
      </c>
      <c r="I225" s="1647">
        <f>'Part II-Development Team'!I22</f>
        <v>0</v>
      </c>
      <c r="J225" s="1647">
        <f>'Part II-Development Team'!J22</f>
        <v>0</v>
      </c>
      <c r="K225" s="1651" t="s">
        <v>2703</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c r="A226" s="1647"/>
      <c r="B226" s="1647"/>
      <c r="C226" s="1647"/>
      <c r="D226" s="1647"/>
      <c r="E226" s="1654" t="s">
        <v>1799</v>
      </c>
      <c r="F226" s="1647"/>
      <c r="G226" s="1647"/>
      <c r="H226" s="1654">
        <f>'Part II-Development Team'!H23</f>
        <v>0</v>
      </c>
      <c r="I226" s="1647"/>
      <c r="J226" s="1647"/>
      <c r="K226" s="1651" t="s">
        <v>2228</v>
      </c>
      <c r="L226" s="2115">
        <f>'Part II-Development Team'!L23</f>
        <v>0</v>
      </c>
      <c r="M226" s="2115">
        <f>'Part II-Development Team'!M23</f>
        <v>0</v>
      </c>
      <c r="N226" s="1647"/>
      <c r="O226" s="1654" t="s">
        <v>1978</v>
      </c>
      <c r="P226" s="1647"/>
      <c r="Q226" s="2116">
        <f>'Part II-Development Team'!Q23</f>
        <v>0</v>
      </c>
      <c r="R226" s="2116">
        <f>'Part II-Development Team'!R23</f>
        <v>0</v>
      </c>
      <c r="S226" s="2116">
        <f>'Part II-Development Team'!S23</f>
        <v>0</v>
      </c>
    </row>
    <row r="227" spans="1:19">
      <c r="A227" s="1647"/>
      <c r="B227" s="1647"/>
      <c r="C227" s="1647"/>
      <c r="D227" s="1699"/>
      <c r="E227" s="1654" t="s">
        <v>4256</v>
      </c>
      <c r="F227" s="1647"/>
      <c r="G227" s="1647"/>
      <c r="H227" s="2116">
        <f>'Part II-Development Team'!H24</f>
        <v>0</v>
      </c>
      <c r="I227" s="2116">
        <f>'Part II-Development Team'!I24</f>
        <v>0</v>
      </c>
      <c r="J227" s="1661">
        <f>'Part II-Development Team'!J24</f>
        <v>0</v>
      </c>
      <c r="K227" s="1651" t="s">
        <v>1983</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1856</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1988</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2703</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2228</v>
      </c>
      <c r="L232" s="2115">
        <f>'Part II-Development Team'!L29</f>
        <v>0</v>
      </c>
      <c r="M232" s="2115">
        <f>'Part II-Development Team'!M29</f>
        <v>0</v>
      </c>
      <c r="N232" s="1647"/>
      <c r="O232" s="1654" t="s">
        <v>1978</v>
      </c>
      <c r="P232" s="1647"/>
      <c r="Q232" s="2116">
        <f>'Part II-Development Team'!Q29</f>
        <v>0</v>
      </c>
      <c r="R232" s="2116">
        <f>'Part II-Development Team'!R29</f>
        <v>0</v>
      </c>
      <c r="S232" s="2116">
        <f>'Part II-Development Team'!S29</f>
        <v>0</v>
      </c>
    </row>
    <row r="233" spans="1:19">
      <c r="A233" s="1647"/>
      <c r="B233" s="1647"/>
      <c r="C233" s="1647"/>
      <c r="D233" s="1699"/>
      <c r="E233" s="1654" t="s">
        <v>4256</v>
      </c>
      <c r="F233" s="1647"/>
      <c r="G233" s="1647"/>
      <c r="H233" s="2116">
        <f>'Part II-Development Team'!H30</f>
        <v>0</v>
      </c>
      <c r="I233" s="2116">
        <f>'Part II-Development Team'!I30</f>
        <v>0</v>
      </c>
      <c r="J233" s="1661">
        <f>'Part II-Development Team'!J30</f>
        <v>0</v>
      </c>
      <c r="K233" s="1651" t="s">
        <v>1983</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5">
      <c r="A235" s="1647"/>
      <c r="B235" s="1647"/>
      <c r="C235" s="1701" t="s">
        <v>1987</v>
      </c>
      <c r="D235" s="1683" t="s">
        <v>1858</v>
      </c>
      <c r="E235" s="1647"/>
      <c r="F235" s="1647"/>
      <c r="G235" s="1647"/>
      <c r="H235" s="1647"/>
      <c r="I235" s="1647"/>
      <c r="J235" s="1647"/>
      <c r="K235" s="1649" t="s">
        <v>4255</v>
      </c>
      <c r="L235" s="1647"/>
      <c r="M235" s="1647"/>
      <c r="N235" s="1647"/>
      <c r="O235" s="1647"/>
      <c r="P235" s="1647"/>
      <c r="Q235" s="1647"/>
      <c r="R235" s="1647"/>
      <c r="S235" s="1647"/>
    </row>
    <row r="236" spans="1:19">
      <c r="A236" s="1647"/>
      <c r="B236" s="1647"/>
      <c r="C236" s="1647"/>
      <c r="D236" s="1628" t="s">
        <v>2115</v>
      </c>
      <c r="E236" s="1647" t="s">
        <v>750</v>
      </c>
      <c r="F236" s="1647"/>
      <c r="G236" s="1647"/>
      <c r="H236" s="1647" t="str">
        <f>'Part II-Development Team'!H33</f>
        <v>SunTrust Community Capital</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1988</v>
      </c>
      <c r="P236" s="1654"/>
      <c r="Q236" s="1647" t="str">
        <f>'Part II-Development Team'!Q33</f>
        <v>Brian Womble</v>
      </c>
      <c r="R236" s="1647">
        <f>'Part II-Development Team'!R33</f>
        <v>0</v>
      </c>
      <c r="S236" s="1647">
        <f>'Part II-Development Team'!S33</f>
        <v>0</v>
      </c>
    </row>
    <row r="237" spans="1:19">
      <c r="A237" s="1647"/>
      <c r="B237" s="1647"/>
      <c r="C237" s="1647"/>
      <c r="D237" s="1699"/>
      <c r="E237" s="1654" t="s">
        <v>1021</v>
      </c>
      <c r="F237" s="1657"/>
      <c r="G237" s="1647"/>
      <c r="H237" s="1647" t="str">
        <f>'Part II-Development Team'!H34</f>
        <v>1155 Peachtree Street NE Suite 300</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Vice President</v>
      </c>
      <c r="R237" s="1647">
        <f>'Part II-Development Team'!R34</f>
        <v>0</v>
      </c>
      <c r="S237" s="1647">
        <f>'Part II-Development Team'!S34</f>
        <v>0</v>
      </c>
    </row>
    <row r="238" spans="1:19">
      <c r="A238" s="1647"/>
      <c r="B238" s="1647"/>
      <c r="C238" s="1647"/>
      <c r="D238" s="1699"/>
      <c r="E238" s="1654" t="s">
        <v>618</v>
      </c>
      <c r="F238" s="1647"/>
      <c r="G238" s="1647"/>
      <c r="H238" s="1647" t="str">
        <f>'Part II-Development Team'!H35</f>
        <v>Atlanta</v>
      </c>
      <c r="I238" s="1647">
        <f>'Part II-Development Team'!I35</f>
        <v>0</v>
      </c>
      <c r="J238" s="1647">
        <f>'Part II-Development Team'!J35</f>
        <v>0</v>
      </c>
      <c r="K238" s="1651" t="s">
        <v>2703</v>
      </c>
      <c r="L238" s="1647" t="str">
        <f>'Part II-Development Team'!L35</f>
        <v>www.suntrust.com</v>
      </c>
      <c r="M238" s="1647">
        <f>'Part II-Development Team'!M35</f>
        <v>0</v>
      </c>
      <c r="N238" s="1647">
        <f>'Part II-Development Team'!N35</f>
        <v>0</v>
      </c>
      <c r="O238" s="1654" t="s">
        <v>1721</v>
      </c>
      <c r="P238" s="1647"/>
      <c r="Q238" s="2116">
        <f>'Part II-Development Team'!Q35</f>
        <v>4045888775</v>
      </c>
      <c r="R238" s="2116">
        <f>'Part II-Development Team'!R35</f>
        <v>0</v>
      </c>
      <c r="S238" s="2116">
        <f>'Part II-Development Team'!S35</f>
        <v>0</v>
      </c>
    </row>
    <row r="239" spans="1:19">
      <c r="A239" s="1647"/>
      <c r="B239" s="1647"/>
      <c r="C239" s="1647"/>
      <c r="D239" s="1647"/>
      <c r="E239" s="1654" t="s">
        <v>1799</v>
      </c>
      <c r="F239" s="1647"/>
      <c r="G239" s="1647"/>
      <c r="H239" s="1654" t="str">
        <f>'Part II-Development Team'!H36</f>
        <v>GA</v>
      </c>
      <c r="I239" s="1647"/>
      <c r="J239" s="1647"/>
      <c r="K239" s="1651" t="s">
        <v>2228</v>
      </c>
      <c r="L239" s="2115">
        <f>'Part II-Development Team'!L36</f>
        <v>303097629</v>
      </c>
      <c r="M239" s="2115">
        <f>'Part II-Development Team'!M36</f>
        <v>0</v>
      </c>
      <c r="N239" s="1647"/>
      <c r="O239" s="1654" t="s">
        <v>1978</v>
      </c>
      <c r="P239" s="1647"/>
      <c r="Q239" s="2116">
        <f>'Part II-Development Team'!Q36</f>
        <v>7706390087</v>
      </c>
      <c r="R239" s="2116">
        <f>'Part II-Development Team'!R36</f>
        <v>0</v>
      </c>
      <c r="S239" s="2116">
        <f>'Part II-Development Team'!S36</f>
        <v>0</v>
      </c>
    </row>
    <row r="240" spans="1:19">
      <c r="A240" s="1647"/>
      <c r="B240" s="1647"/>
      <c r="C240" s="1647"/>
      <c r="D240" s="1699"/>
      <c r="E240" s="1654" t="s">
        <v>4256</v>
      </c>
      <c r="F240" s="1647"/>
      <c r="G240" s="1647"/>
      <c r="H240" s="2116">
        <f>'Part II-Development Team'!H37</f>
        <v>4045888775</v>
      </c>
      <c r="I240" s="2116">
        <f>'Part II-Development Team'!I37</f>
        <v>0</v>
      </c>
      <c r="J240" s="1661">
        <f>'Part II-Development Team'!J37</f>
        <v>0</v>
      </c>
      <c r="K240" s="1651" t="s">
        <v>1983</v>
      </c>
      <c r="L240" s="2023" t="str">
        <f>'Part II-Development Team'!L37</f>
        <v>brian.womble@suntrust.com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2116</v>
      </c>
      <c r="E242" s="1647" t="s">
        <v>751</v>
      </c>
      <c r="F242" s="1628"/>
      <c r="G242" s="1647"/>
      <c r="H242" s="1647" t="str">
        <f>'Part II-Development Team'!H39</f>
        <v>SunTrust Community Capital</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1988</v>
      </c>
      <c r="P242" s="1654"/>
      <c r="Q242" s="1647" t="str">
        <f>'Part II-Development Team'!Q39</f>
        <v>Brian Womble</v>
      </c>
      <c r="R242" s="1647">
        <f>'Part II-Development Team'!R39</f>
        <v>0</v>
      </c>
      <c r="S242" s="1647">
        <f>'Part II-Development Team'!S39</f>
        <v>0</v>
      </c>
    </row>
    <row r="243" spans="1:19">
      <c r="A243" s="1647"/>
      <c r="B243" s="1647"/>
      <c r="C243" s="1647"/>
      <c r="D243" s="1699"/>
      <c r="E243" s="1654" t="s">
        <v>1021</v>
      </c>
      <c r="F243" s="1657"/>
      <c r="G243" s="1647"/>
      <c r="H243" s="1647" t="str">
        <f>'Part II-Development Team'!H40</f>
        <v>1155 Peachtree Street NE Suite 300</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Vice President</v>
      </c>
      <c r="R243" s="1647">
        <f>'Part II-Development Team'!R40</f>
        <v>0</v>
      </c>
      <c r="S243" s="1647">
        <f>'Part II-Development Team'!S40</f>
        <v>0</v>
      </c>
    </row>
    <row r="244" spans="1:19">
      <c r="A244" s="1647"/>
      <c r="B244" s="1647"/>
      <c r="C244" s="1647"/>
      <c r="D244" s="1699"/>
      <c r="E244" s="1654" t="s">
        <v>618</v>
      </c>
      <c r="F244" s="1647"/>
      <c r="G244" s="1647"/>
      <c r="H244" s="1647" t="str">
        <f>'Part II-Development Team'!H41</f>
        <v>Atlanta</v>
      </c>
      <c r="I244" s="1647">
        <f>'Part II-Development Team'!I41</f>
        <v>0</v>
      </c>
      <c r="J244" s="1647">
        <f>'Part II-Development Team'!J41</f>
        <v>0</v>
      </c>
      <c r="K244" s="1651" t="s">
        <v>2703</v>
      </c>
      <c r="L244" s="1647" t="str">
        <f>'Part II-Development Team'!L41</f>
        <v>www.suntrust.com</v>
      </c>
      <c r="M244" s="1647">
        <f>'Part II-Development Team'!M41</f>
        <v>0</v>
      </c>
      <c r="N244" s="1647">
        <f>'Part II-Development Team'!N41</f>
        <v>0</v>
      </c>
      <c r="O244" s="1654" t="s">
        <v>1721</v>
      </c>
      <c r="P244" s="1647"/>
      <c r="Q244" s="2116">
        <f>'Part II-Development Team'!Q41</f>
        <v>4045888775</v>
      </c>
      <c r="R244" s="2116">
        <f>'Part II-Development Team'!R41</f>
        <v>0</v>
      </c>
      <c r="S244" s="2116">
        <f>'Part II-Development Team'!S41</f>
        <v>0</v>
      </c>
    </row>
    <row r="245" spans="1:19">
      <c r="A245" s="1647"/>
      <c r="B245" s="1647"/>
      <c r="C245" s="1647"/>
      <c r="D245" s="1628"/>
      <c r="E245" s="1654" t="s">
        <v>1799</v>
      </c>
      <c r="F245" s="1647"/>
      <c r="G245" s="1647"/>
      <c r="H245" s="1654" t="str">
        <f>'Part II-Development Team'!H42</f>
        <v>GA</v>
      </c>
      <c r="I245" s="1647"/>
      <c r="J245" s="1647"/>
      <c r="K245" s="1651" t="s">
        <v>2228</v>
      </c>
      <c r="L245" s="2115">
        <f>'Part II-Development Team'!L42</f>
        <v>303097629</v>
      </c>
      <c r="M245" s="2115">
        <f>'Part II-Development Team'!M42</f>
        <v>0</v>
      </c>
      <c r="N245" s="1647"/>
      <c r="O245" s="1654" t="s">
        <v>1978</v>
      </c>
      <c r="P245" s="1647"/>
      <c r="Q245" s="2116">
        <f>'Part II-Development Team'!Q42</f>
        <v>7706390087</v>
      </c>
      <c r="R245" s="2116">
        <f>'Part II-Development Team'!R42</f>
        <v>0</v>
      </c>
      <c r="S245" s="2116">
        <f>'Part II-Development Team'!S42</f>
        <v>0</v>
      </c>
    </row>
    <row r="246" spans="1:19">
      <c r="A246" s="1647"/>
      <c r="B246" s="1647"/>
      <c r="C246" s="1647"/>
      <c r="D246" s="1699"/>
      <c r="E246" s="1654" t="s">
        <v>4256</v>
      </c>
      <c r="F246" s="1647"/>
      <c r="G246" s="1647"/>
      <c r="H246" s="2116">
        <f>'Part II-Development Team'!H43</f>
        <v>4045888775</v>
      </c>
      <c r="I246" s="2116">
        <f>'Part II-Development Team'!I43</f>
        <v>0</v>
      </c>
      <c r="J246" s="1661">
        <f>'Part II-Development Team'!J43</f>
        <v>0</v>
      </c>
      <c r="K246" s="1651" t="s">
        <v>1983</v>
      </c>
      <c r="L246" s="2023" t="str">
        <f>'Part II-Development Team'!L43</f>
        <v>brian.womble@suntrust.com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5">
      <c r="A248" s="1647"/>
      <c r="B248" s="1647"/>
      <c r="C248" s="1702" t="s">
        <v>2533</v>
      </c>
      <c r="D248" s="1683" t="s">
        <v>651</v>
      </c>
      <c r="E248" s="1647"/>
      <c r="F248" s="1647"/>
      <c r="G248" s="1647"/>
      <c r="H248" s="1647"/>
      <c r="I248" s="1647"/>
      <c r="J248" s="1647"/>
      <c r="K248" s="1649" t="s">
        <v>4255</v>
      </c>
      <c r="L248" s="1647"/>
      <c r="M248" s="1647"/>
      <c r="N248" s="1647"/>
      <c r="O248" s="1647"/>
      <c r="P248" s="1647"/>
      <c r="Q248" s="1647"/>
      <c r="R248" s="1647"/>
      <c r="S248" s="1647"/>
    </row>
    <row r="249" spans="1:19">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1988</v>
      </c>
      <c r="P249" s="1654"/>
      <c r="Q249" s="1647">
        <f>'Part II-Development Team'!Q46</f>
        <v>0</v>
      </c>
      <c r="R249" s="1647">
        <f>'Part II-Development Team'!R46</f>
        <v>0</v>
      </c>
      <c r="S249" s="1647">
        <f>'Part II-Development Team'!S46</f>
        <v>0</v>
      </c>
    </row>
    <row r="250" spans="1:19">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c r="A251" s="1647"/>
      <c r="B251" s="1647"/>
      <c r="C251" s="1647"/>
      <c r="D251" s="1699"/>
      <c r="E251" s="1654" t="s">
        <v>618</v>
      </c>
      <c r="F251" s="1647"/>
      <c r="G251" s="1647"/>
      <c r="H251" s="1647">
        <f>'Part II-Development Team'!H48</f>
        <v>0</v>
      </c>
      <c r="I251" s="1647">
        <f>'Part II-Development Team'!I48</f>
        <v>0</v>
      </c>
      <c r="J251" s="1647">
        <f>'Part II-Development Team'!J48</f>
        <v>0</v>
      </c>
      <c r="K251" s="1651" t="s">
        <v>2703</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c r="A252" s="1647"/>
      <c r="B252" s="1647"/>
      <c r="C252" s="1647"/>
      <c r="D252" s="1647"/>
      <c r="E252" s="1654" t="s">
        <v>1799</v>
      </c>
      <c r="F252" s="1647"/>
      <c r="G252" s="1647"/>
      <c r="H252" s="1654">
        <f>'Part II-Development Team'!H49</f>
        <v>0</v>
      </c>
      <c r="I252" s="1647"/>
      <c r="J252" s="1647"/>
      <c r="K252" s="1651" t="s">
        <v>2228</v>
      </c>
      <c r="L252" s="2115">
        <f>'Part II-Development Team'!L49</f>
        <v>0</v>
      </c>
      <c r="M252" s="2115">
        <f>'Part II-Development Team'!M49</f>
        <v>0</v>
      </c>
      <c r="N252" s="1647"/>
      <c r="O252" s="1654" t="s">
        <v>1978</v>
      </c>
      <c r="P252" s="1647"/>
      <c r="Q252" s="2116">
        <f>'Part II-Development Team'!Q49</f>
        <v>0</v>
      </c>
      <c r="R252" s="2116">
        <f>'Part II-Development Team'!R49</f>
        <v>0</v>
      </c>
      <c r="S252" s="2116">
        <f>'Part II-Development Team'!S49</f>
        <v>0</v>
      </c>
    </row>
    <row r="253" spans="1:19">
      <c r="A253" s="1647"/>
      <c r="B253" s="1647"/>
      <c r="C253" s="1647"/>
      <c r="D253" s="1699"/>
      <c r="E253" s="1654" t="s">
        <v>4256</v>
      </c>
      <c r="F253" s="1647"/>
      <c r="G253" s="1647"/>
      <c r="H253" s="2116">
        <f>'Part II-Development Team'!H50</f>
        <v>0</v>
      </c>
      <c r="I253" s="2116">
        <f>'Part II-Development Team'!I50</f>
        <v>0</v>
      </c>
      <c r="J253" s="1661">
        <f>'Part II-Development Team'!J50</f>
        <v>0</v>
      </c>
      <c r="K253" s="1651" t="s">
        <v>1983</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5">
      <c r="A255" s="1628" t="s">
        <v>740</v>
      </c>
      <c r="B255" s="1628" t="s">
        <v>652</v>
      </c>
      <c r="C255" s="1647"/>
      <c r="D255" s="1647"/>
      <c r="E255" s="1647"/>
      <c r="F255" s="1628"/>
      <c r="G255" s="1651"/>
      <c r="H255" s="1651"/>
      <c r="I255" s="1651"/>
      <c r="J255" s="1647"/>
      <c r="K255" s="1649" t="s">
        <v>4255</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1982</v>
      </c>
      <c r="C257" s="1628" t="s">
        <v>282</v>
      </c>
      <c r="D257" s="1647"/>
      <c r="E257" s="1647"/>
      <c r="F257" s="1647"/>
      <c r="G257" s="1647"/>
      <c r="H257" s="1647" t="str">
        <f>'Part II-Development Team'!H54</f>
        <v>Prestwick Development Company, LLC</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1988</v>
      </c>
      <c r="P257" s="1654"/>
      <c r="Q257" s="1647" t="str">
        <f>'Part II-Development Team'!Q54</f>
        <v>Wiley A. Tucker, III</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3715 Northside Pkwy, Bldg 200, Ste 175</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Manager</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Atlanta</v>
      </c>
      <c r="I259" s="1647">
        <f>'Part II-Development Team'!I56</f>
        <v>0</v>
      </c>
      <c r="J259" s="1647">
        <f>'Part II-Development Team'!J56</f>
        <v>0</v>
      </c>
      <c r="K259" s="1651" t="s">
        <v>2703</v>
      </c>
      <c r="L259" s="1647" t="str">
        <f>'Part II-Development Team'!L56</f>
        <v>www.prestwickcompanies.com</v>
      </c>
      <c r="M259" s="1647">
        <f>'Part II-Development Team'!M56</f>
        <v>0</v>
      </c>
      <c r="N259" s="1647">
        <f>'Part II-Development Team'!N56</f>
        <v>0</v>
      </c>
      <c r="O259" s="1654" t="s">
        <v>1721</v>
      </c>
      <c r="P259" s="1647"/>
      <c r="Q259" s="2116">
        <f>'Part II-Development Team'!Q56</f>
        <v>4049493871</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GA</v>
      </c>
      <c r="I260" s="1647"/>
      <c r="J260" s="1647"/>
      <c r="K260" s="1651" t="s">
        <v>2228</v>
      </c>
      <c r="L260" s="2115">
        <f>'Part II-Development Team'!L57</f>
        <v>303272800</v>
      </c>
      <c r="M260" s="2115">
        <f>'Part II-Development Team'!M57</f>
        <v>0</v>
      </c>
      <c r="N260" s="1647"/>
      <c r="O260" s="1654" t="s">
        <v>1978</v>
      </c>
      <c r="P260" s="1647"/>
      <c r="Q260" s="2116">
        <f>'Part II-Development Team'!Q57</f>
        <v>4049663824</v>
      </c>
      <c r="R260" s="2116">
        <f>'Part II-Development Team'!R57</f>
        <v>0</v>
      </c>
      <c r="S260" s="2116">
        <f>'Part II-Development Team'!S57</f>
        <v>0</v>
      </c>
    </row>
    <row r="261" spans="1:19">
      <c r="A261" s="1647"/>
      <c r="B261" s="1647"/>
      <c r="C261" s="1647"/>
      <c r="D261" s="1699"/>
      <c r="E261" s="1654" t="s">
        <v>4256</v>
      </c>
      <c r="F261" s="1647"/>
      <c r="G261" s="1647"/>
      <c r="H261" s="2116">
        <f>'Part II-Development Team'!H58</f>
        <v>4049493871</v>
      </c>
      <c r="I261" s="2116">
        <f>'Part II-Development Team'!I58</f>
        <v>0</v>
      </c>
      <c r="J261" s="1661">
        <f>'Part II-Development Team'!J58</f>
        <v>0</v>
      </c>
      <c r="K261" s="1651" t="s">
        <v>1983</v>
      </c>
      <c r="L261" s="2023" t="str">
        <f>'Part II-Development Team'!L58</f>
        <v>jody@prestwickcompanies.com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1984</v>
      </c>
      <c r="C263" s="1628" t="s">
        <v>283</v>
      </c>
      <c r="D263" s="1647"/>
      <c r="E263" s="1647"/>
      <c r="F263" s="1647"/>
      <c r="G263" s="1647"/>
      <c r="H263" s="1647">
        <f>'Part II-Development Team'!H60</f>
        <v>0</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1988</v>
      </c>
      <c r="P263" s="1654"/>
      <c r="Q263" s="1647">
        <f>'Part II-Development Team'!Q60</f>
        <v>0</v>
      </c>
      <c r="R263" s="1647">
        <f>'Part II-Development Team'!R60</f>
        <v>0</v>
      </c>
      <c r="S263" s="1647">
        <f>'Part II-Development Team'!S60</f>
        <v>0</v>
      </c>
    </row>
    <row r="264" spans="1:19">
      <c r="A264" s="1647"/>
      <c r="B264" s="1647"/>
      <c r="C264" s="1647"/>
      <c r="D264" s="1699"/>
      <c r="E264" s="1654" t="s">
        <v>1021</v>
      </c>
      <c r="F264" s="1657"/>
      <c r="G264" s="1647"/>
      <c r="H264" s="1647">
        <f>'Part II-Development Team'!H61</f>
        <v>0</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f>'Part II-Development Team'!Q61</f>
        <v>0</v>
      </c>
      <c r="R264" s="1647">
        <f>'Part II-Development Team'!R61</f>
        <v>0</v>
      </c>
      <c r="S264" s="1647">
        <f>'Part II-Development Team'!S61</f>
        <v>0</v>
      </c>
    </row>
    <row r="265" spans="1:19">
      <c r="A265" s="1647"/>
      <c r="B265" s="1647"/>
      <c r="C265" s="1647"/>
      <c r="D265" s="1699"/>
      <c r="E265" s="1654" t="s">
        <v>618</v>
      </c>
      <c r="F265" s="1647"/>
      <c r="G265" s="1647"/>
      <c r="H265" s="1647">
        <f>'Part II-Development Team'!H62</f>
        <v>0</v>
      </c>
      <c r="I265" s="1647">
        <f>'Part II-Development Team'!I62</f>
        <v>0</v>
      </c>
      <c r="J265" s="1647">
        <f>'Part II-Development Team'!J62</f>
        <v>0</v>
      </c>
      <c r="K265" s="1651" t="s">
        <v>2703</v>
      </c>
      <c r="L265" s="1647">
        <f>'Part II-Development Team'!L62</f>
        <v>0</v>
      </c>
      <c r="M265" s="1647">
        <f>'Part II-Development Team'!M62</f>
        <v>0</v>
      </c>
      <c r="N265" s="1647">
        <f>'Part II-Development Team'!N62</f>
        <v>0</v>
      </c>
      <c r="O265" s="1654" t="s">
        <v>1721</v>
      </c>
      <c r="P265" s="1647"/>
      <c r="Q265" s="2116">
        <f>'Part II-Development Team'!Q62</f>
        <v>0</v>
      </c>
      <c r="R265" s="2116">
        <f>'Part II-Development Team'!R62</f>
        <v>0</v>
      </c>
      <c r="S265" s="2116">
        <f>'Part II-Development Team'!S62</f>
        <v>0</v>
      </c>
    </row>
    <row r="266" spans="1:19">
      <c r="A266" s="1647"/>
      <c r="B266" s="1647"/>
      <c r="C266" s="1647"/>
      <c r="D266" s="1647"/>
      <c r="E266" s="1654" t="s">
        <v>1799</v>
      </c>
      <c r="F266" s="1647"/>
      <c r="G266" s="1647"/>
      <c r="H266" s="1654">
        <f>'Part II-Development Team'!H63</f>
        <v>0</v>
      </c>
      <c r="I266" s="1647"/>
      <c r="J266" s="1647"/>
      <c r="K266" s="1651" t="s">
        <v>2228</v>
      </c>
      <c r="L266" s="2115">
        <f>'Part II-Development Team'!L63</f>
        <v>0</v>
      </c>
      <c r="M266" s="2115">
        <f>'Part II-Development Team'!M63</f>
        <v>0</v>
      </c>
      <c r="N266" s="1647"/>
      <c r="O266" s="1654" t="s">
        <v>1978</v>
      </c>
      <c r="P266" s="1647"/>
      <c r="Q266" s="2116">
        <f>'Part II-Development Team'!Q63</f>
        <v>0</v>
      </c>
      <c r="R266" s="2116">
        <f>'Part II-Development Team'!R63</f>
        <v>0</v>
      </c>
      <c r="S266" s="2116">
        <f>'Part II-Development Team'!S63</f>
        <v>0</v>
      </c>
    </row>
    <row r="267" spans="1:19">
      <c r="A267" s="1647"/>
      <c r="B267" s="1647"/>
      <c r="C267" s="1647"/>
      <c r="D267" s="1699"/>
      <c r="E267" s="1654" t="s">
        <v>4256</v>
      </c>
      <c r="F267" s="1647"/>
      <c r="G267" s="1647"/>
      <c r="H267" s="2116">
        <f>'Part II-Development Team'!H64</f>
        <v>0</v>
      </c>
      <c r="I267" s="2116">
        <f>'Part II-Development Team'!I64</f>
        <v>0</v>
      </c>
      <c r="J267" s="1661">
        <f>'Part II-Development Team'!J64</f>
        <v>0</v>
      </c>
      <c r="K267" s="1651" t="s">
        <v>1983</v>
      </c>
      <c r="L267" s="2023">
        <f>'Part II-Development Team'!L64</f>
        <v>0</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1988</v>
      </c>
      <c r="P269" s="1654"/>
      <c r="Q269" s="1647">
        <f>'Part II-Development Team'!Q66</f>
        <v>0</v>
      </c>
      <c r="R269" s="1647">
        <f>'Part II-Development Team'!R66</f>
        <v>0</v>
      </c>
      <c r="S269" s="1647">
        <f>'Part II-Development Team'!S66</f>
        <v>0</v>
      </c>
    </row>
    <row r="270" spans="1:19">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c r="A271" s="1647"/>
      <c r="B271" s="1647"/>
      <c r="C271" s="1647"/>
      <c r="D271" s="1699"/>
      <c r="E271" s="1654" t="s">
        <v>618</v>
      </c>
      <c r="F271" s="1647"/>
      <c r="G271" s="1647"/>
      <c r="H271" s="1647">
        <f>'Part II-Development Team'!H68</f>
        <v>0</v>
      </c>
      <c r="I271" s="1647">
        <f>'Part II-Development Team'!I68</f>
        <v>0</v>
      </c>
      <c r="J271" s="1647">
        <f>'Part II-Development Team'!J68</f>
        <v>0</v>
      </c>
      <c r="K271" s="1651" t="s">
        <v>2703</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f>'Part II-Development Team'!H69</f>
        <v>0</v>
      </c>
      <c r="I272" s="1647"/>
      <c r="J272" s="1647"/>
      <c r="K272" s="1651" t="s">
        <v>2228</v>
      </c>
      <c r="L272" s="2115">
        <f>'Part II-Development Team'!L69</f>
        <v>0</v>
      </c>
      <c r="M272" s="2115">
        <f>'Part II-Development Team'!M69</f>
        <v>0</v>
      </c>
      <c r="N272" s="1647"/>
      <c r="O272" s="1654" t="s">
        <v>1978</v>
      </c>
      <c r="P272" s="1647"/>
      <c r="Q272" s="2116">
        <f>'Part II-Development Team'!Q69</f>
        <v>0</v>
      </c>
      <c r="R272" s="2116">
        <f>'Part II-Development Team'!R69</f>
        <v>0</v>
      </c>
      <c r="S272" s="2116">
        <f>'Part II-Development Team'!S69</f>
        <v>0</v>
      </c>
    </row>
    <row r="273" spans="1:19">
      <c r="A273" s="1647"/>
      <c r="B273" s="1647"/>
      <c r="C273" s="1647"/>
      <c r="D273" s="1699"/>
      <c r="E273" s="1654" t="s">
        <v>4256</v>
      </c>
      <c r="F273" s="1647"/>
      <c r="G273" s="1647"/>
      <c r="H273" s="2116">
        <f>'Part II-Development Team'!H70</f>
        <v>0</v>
      </c>
      <c r="I273" s="2116">
        <f>'Part II-Development Team'!I70</f>
        <v>0</v>
      </c>
      <c r="J273" s="1661">
        <f>'Part II-Development Team'!J70</f>
        <v>0</v>
      </c>
      <c r="K273" s="1651" t="s">
        <v>1983</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2114</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1988</v>
      </c>
      <c r="P275" s="1654"/>
      <c r="Q275" s="1647">
        <f>'Part II-Development Team'!Q72</f>
        <v>0</v>
      </c>
      <c r="R275" s="1647">
        <f>'Part II-Development Team'!R72</f>
        <v>0</v>
      </c>
      <c r="S275" s="1647">
        <f>'Part II-Development Team'!S72</f>
        <v>0</v>
      </c>
    </row>
    <row r="276" spans="1:19">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c r="A277" s="1647"/>
      <c r="B277" s="1647"/>
      <c r="C277" s="1647"/>
      <c r="D277" s="1699"/>
      <c r="E277" s="1654" t="s">
        <v>618</v>
      </c>
      <c r="F277" s="1647"/>
      <c r="G277" s="1647"/>
      <c r="H277" s="1647">
        <f>'Part II-Development Team'!H74</f>
        <v>0</v>
      </c>
      <c r="I277" s="1647">
        <f>'Part II-Development Team'!I74</f>
        <v>0</v>
      </c>
      <c r="J277" s="1647">
        <f>'Part II-Development Team'!J74</f>
        <v>0</v>
      </c>
      <c r="K277" s="1651" t="s">
        <v>2703</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f>'Part II-Development Team'!H75</f>
        <v>0</v>
      </c>
      <c r="I278" s="1647"/>
      <c r="J278" s="1647"/>
      <c r="K278" s="1651" t="s">
        <v>2228</v>
      </c>
      <c r="L278" s="2115">
        <f>'Part II-Development Team'!L75</f>
        <v>0</v>
      </c>
      <c r="M278" s="2115">
        <f>'Part II-Development Team'!M75</f>
        <v>0</v>
      </c>
      <c r="N278" s="1647"/>
      <c r="O278" s="1654" t="s">
        <v>1978</v>
      </c>
      <c r="P278" s="1647"/>
      <c r="Q278" s="2116">
        <f>'Part II-Development Team'!Q75</f>
        <v>0</v>
      </c>
      <c r="R278" s="2116">
        <f>'Part II-Development Team'!R75</f>
        <v>0</v>
      </c>
      <c r="S278" s="2116">
        <f>'Part II-Development Team'!S75</f>
        <v>0</v>
      </c>
    </row>
    <row r="279" spans="1:19">
      <c r="A279" s="1647"/>
      <c r="B279" s="1647"/>
      <c r="C279" s="1647"/>
      <c r="D279" s="1699"/>
      <c r="E279" s="1654" t="s">
        <v>4256</v>
      </c>
      <c r="F279" s="1647"/>
      <c r="G279" s="1647"/>
      <c r="H279" s="2116">
        <f>'Part II-Development Team'!H76</f>
        <v>0</v>
      </c>
      <c r="I279" s="2116">
        <f>'Part II-Development Team'!I76</f>
        <v>0</v>
      </c>
      <c r="J279" s="1661">
        <f>'Part II-Development Team'!J76</f>
        <v>0</v>
      </c>
      <c r="K279" s="1651" t="s">
        <v>1983</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5">
      <c r="A281" s="1648" t="s">
        <v>742</v>
      </c>
      <c r="B281" s="1648" t="s">
        <v>285</v>
      </c>
      <c r="C281" s="1654"/>
      <c r="D281" s="1648"/>
      <c r="E281" s="1654"/>
      <c r="F281" s="1648"/>
      <c r="G281" s="1648"/>
      <c r="H281" s="1648"/>
      <c r="I281" s="1648"/>
      <c r="J281" s="1648"/>
      <c r="K281" s="1649" t="s">
        <v>4255</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1982</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1988</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2703</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2228</v>
      </c>
      <c r="L286" s="2115">
        <f>'Part II-Development Team'!L83</f>
        <v>0</v>
      </c>
      <c r="M286" s="2115">
        <f>'Part II-Development Team'!M83</f>
        <v>0</v>
      </c>
      <c r="N286" s="1647"/>
      <c r="O286" s="1654" t="s">
        <v>1978</v>
      </c>
      <c r="P286" s="1647"/>
      <c r="Q286" s="2116">
        <f>'Part II-Development Team'!Q83</f>
        <v>0</v>
      </c>
      <c r="R286" s="2116">
        <f>'Part II-Development Team'!R83</f>
        <v>0</v>
      </c>
      <c r="S286" s="2116">
        <f>'Part II-Development Team'!S83</f>
        <v>0</v>
      </c>
    </row>
    <row r="287" spans="1:19">
      <c r="A287" s="1647"/>
      <c r="B287" s="1647"/>
      <c r="C287" s="1647"/>
      <c r="D287" s="1699"/>
      <c r="E287" s="1654" t="s">
        <v>4256</v>
      </c>
      <c r="F287" s="1647"/>
      <c r="G287" s="1647"/>
      <c r="H287" s="2116">
        <f>'Part II-Development Team'!H84</f>
        <v>0</v>
      </c>
      <c r="I287" s="2116">
        <f>'Part II-Development Team'!I84</f>
        <v>0</v>
      </c>
      <c r="J287" s="1661">
        <f>'Part II-Development Team'!J84</f>
        <v>0</v>
      </c>
      <c r="K287" s="1651" t="s">
        <v>1983</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1984</v>
      </c>
      <c r="C289" s="1628" t="s">
        <v>287</v>
      </c>
      <c r="D289" s="1647"/>
      <c r="E289" s="1647"/>
      <c r="F289" s="1647"/>
      <c r="G289" s="1647"/>
      <c r="H289" s="1647" t="str">
        <f>'Part II-Development Team'!H86</f>
        <v>Prestwick Construction Company, LLC</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1988</v>
      </c>
      <c r="P289" s="1654"/>
      <c r="Q289" s="1647" t="str">
        <f>'Part II-Development Team'!Q86</f>
        <v>Ray Dotson</v>
      </c>
      <c r="R289" s="1647">
        <f>'Part II-Development Team'!R86</f>
        <v>0</v>
      </c>
      <c r="S289" s="1647">
        <f>'Part II-Development Team'!S86</f>
        <v>0</v>
      </c>
    </row>
    <row r="290" spans="1:19">
      <c r="A290" s="1647"/>
      <c r="B290" s="1647"/>
      <c r="C290" s="1647"/>
      <c r="D290" s="1699"/>
      <c r="E290" s="1654" t="s">
        <v>1021</v>
      </c>
      <c r="F290" s="1657"/>
      <c r="G290" s="1647"/>
      <c r="H290" s="1647" t="str">
        <f>'Part II-Development Team'!H87</f>
        <v>3715 Northside Pkwy, Bldg 400, Ste 120</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t="str">
        <f>'Part II-Development Team'!Q87</f>
        <v>President</v>
      </c>
      <c r="R290" s="1647">
        <f>'Part II-Development Team'!R87</f>
        <v>0</v>
      </c>
      <c r="S290" s="1647">
        <f>'Part II-Development Team'!S87</f>
        <v>0</v>
      </c>
    </row>
    <row r="291" spans="1:19">
      <c r="A291" s="1647"/>
      <c r="B291" s="1647"/>
      <c r="C291" s="1647"/>
      <c r="D291" s="1699"/>
      <c r="E291" s="1654" t="s">
        <v>618</v>
      </c>
      <c r="F291" s="1647"/>
      <c r="G291" s="1647"/>
      <c r="H291" s="1647" t="str">
        <f>'Part II-Development Team'!H88</f>
        <v>Atlanta</v>
      </c>
      <c r="I291" s="1647">
        <f>'Part II-Development Team'!I88</f>
        <v>0</v>
      </c>
      <c r="J291" s="1647">
        <f>'Part II-Development Team'!J88</f>
        <v>0</v>
      </c>
      <c r="K291" s="1651" t="s">
        <v>2703</v>
      </c>
      <c r="L291" s="1647" t="str">
        <f>'Part II-Development Team'!L88</f>
        <v>www.prestwickcompanies.com</v>
      </c>
      <c r="M291" s="1647">
        <f>'Part II-Development Team'!M88</f>
        <v>0</v>
      </c>
      <c r="N291" s="1647">
        <f>'Part II-Development Team'!N88</f>
        <v>0</v>
      </c>
      <c r="O291" s="1654" t="s">
        <v>1721</v>
      </c>
      <c r="P291" s="1647"/>
      <c r="Q291" s="2116">
        <f>'Part II-Development Team'!Q88</f>
        <v>4049493882</v>
      </c>
      <c r="R291" s="2116">
        <f>'Part II-Development Team'!R88</f>
        <v>0</v>
      </c>
      <c r="S291" s="2116">
        <f>'Part II-Development Team'!S88</f>
        <v>0</v>
      </c>
    </row>
    <row r="292" spans="1:19">
      <c r="A292" s="1647"/>
      <c r="B292" s="1647"/>
      <c r="C292" s="1647"/>
      <c r="D292" s="1647"/>
      <c r="E292" s="1654" t="s">
        <v>1799</v>
      </c>
      <c r="F292" s="1647"/>
      <c r="G292" s="1647"/>
      <c r="H292" s="1654" t="str">
        <f>'Part II-Development Team'!H89</f>
        <v>GA</v>
      </c>
      <c r="I292" s="1647"/>
      <c r="J292" s="1647"/>
      <c r="K292" s="1651" t="s">
        <v>2228</v>
      </c>
      <c r="L292" s="2115">
        <f>'Part II-Development Team'!L89</f>
        <v>303272800</v>
      </c>
      <c r="M292" s="2115">
        <f>'Part II-Development Team'!M89</f>
        <v>0</v>
      </c>
      <c r="N292" s="1647"/>
      <c r="O292" s="1654" t="s">
        <v>1978</v>
      </c>
      <c r="P292" s="1647"/>
      <c r="Q292" s="2116">
        <f>'Part II-Development Team'!Q89</f>
        <v>4043761063</v>
      </c>
      <c r="R292" s="2116">
        <f>'Part II-Development Team'!R89</f>
        <v>0</v>
      </c>
      <c r="S292" s="2116">
        <f>'Part II-Development Team'!S89</f>
        <v>0</v>
      </c>
    </row>
    <row r="293" spans="1:19">
      <c r="A293" s="1647"/>
      <c r="B293" s="1647"/>
      <c r="C293" s="1647"/>
      <c r="D293" s="1699"/>
      <c r="E293" s="1654" t="s">
        <v>4256</v>
      </c>
      <c r="F293" s="1647"/>
      <c r="G293" s="1647"/>
      <c r="H293" s="2116">
        <f>'Part II-Development Team'!H90</f>
        <v>4049493882</v>
      </c>
      <c r="I293" s="2116">
        <f>'Part II-Development Team'!I90</f>
        <v>0</v>
      </c>
      <c r="J293" s="1661">
        <f>'Part II-Development Team'!J90</f>
        <v>0</v>
      </c>
      <c r="K293" s="1651" t="s">
        <v>1983</v>
      </c>
      <c r="L293" s="2023" t="str">
        <f>'Part II-Development Team'!L90</f>
        <v>ray@prestwickcompanies.com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Elmington Property Management</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1988</v>
      </c>
      <c r="P295" s="1654"/>
      <c r="Q295" s="1647" t="str">
        <f>'Part II-Development Team'!Q92</f>
        <v>Brad Cather</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118 16th Ave S #200</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Vice President</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Nashville</v>
      </c>
      <c r="I297" s="1647">
        <f>'Part II-Development Team'!I94</f>
        <v>0</v>
      </c>
      <c r="J297" s="1647">
        <f>'Part II-Development Team'!J94</f>
        <v>0</v>
      </c>
      <c r="K297" s="1651" t="s">
        <v>2703</v>
      </c>
      <c r="L297" s="1647" t="str">
        <f>'Part II-Development Team'!L94</f>
        <v>www.oneelmington.com</v>
      </c>
      <c r="M297" s="1647">
        <f>'Part II-Development Team'!M94</f>
        <v>0</v>
      </c>
      <c r="N297" s="1647">
        <f>'Part II-Development Team'!N94</f>
        <v>0</v>
      </c>
      <c r="O297" s="1654" t="s">
        <v>1721</v>
      </c>
      <c r="P297" s="1647"/>
      <c r="Q297" s="2116">
        <f>'Part II-Development Team'!Q94</f>
        <v>6154906721</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TN</v>
      </c>
      <c r="I298" s="1647"/>
      <c r="J298" s="1647"/>
      <c r="K298" s="1651" t="s">
        <v>2228</v>
      </c>
      <c r="L298" s="2115">
        <f>'Part II-Development Team'!L95</f>
        <v>372033100</v>
      </c>
      <c r="M298" s="2115">
        <f>'Part II-Development Team'!M95</f>
        <v>0</v>
      </c>
      <c r="N298" s="1647"/>
      <c r="O298" s="1654" t="s">
        <v>1978</v>
      </c>
      <c r="P298" s="1647"/>
      <c r="Q298" s="2116">
        <f>'Part II-Development Team'!Q95</f>
        <v>6159696667</v>
      </c>
      <c r="R298" s="2116">
        <f>'Part II-Development Team'!R95</f>
        <v>0</v>
      </c>
      <c r="S298" s="2116">
        <f>'Part II-Development Team'!S95</f>
        <v>0</v>
      </c>
    </row>
    <row r="299" spans="1:19">
      <c r="A299" s="1647"/>
      <c r="B299" s="1647"/>
      <c r="C299" s="1647"/>
      <c r="D299" s="1699"/>
      <c r="E299" s="1654" t="s">
        <v>4256</v>
      </c>
      <c r="F299" s="1647"/>
      <c r="G299" s="1647"/>
      <c r="H299" s="2116">
        <f>'Part II-Development Team'!H96</f>
        <v>6154906700</v>
      </c>
      <c r="I299" s="2116">
        <f>'Part II-Development Team'!I96</f>
        <v>0</v>
      </c>
      <c r="J299" s="1661">
        <f>'Part II-Development Team'!J96</f>
        <v>0</v>
      </c>
      <c r="K299" s="1651" t="s">
        <v>1983</v>
      </c>
      <c r="L299" s="2023" t="str">
        <f>'Part II-Development Team'!L96</f>
        <v>bcather@elmingtonpm.com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2114</v>
      </c>
      <c r="C301" s="1628" t="s">
        <v>289</v>
      </c>
      <c r="D301" s="1647"/>
      <c r="E301" s="1647"/>
      <c r="F301" s="1647"/>
      <c r="G301" s="1647"/>
      <c r="H301" s="1647" t="str">
        <f>'Part II-Development Team'!H98</f>
        <v>Arnall Golden Gregory</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1988</v>
      </c>
      <c r="P301" s="1654"/>
      <c r="Q301" s="1647" t="str">
        <f>'Part II-Development Team'!Q98</f>
        <v>Jeff Adams</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171 17th Street</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Partner</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Atlanta</v>
      </c>
      <c r="I303" s="1647">
        <f>'Part II-Development Team'!I100</f>
        <v>0</v>
      </c>
      <c r="J303" s="1647">
        <f>'Part II-Development Team'!J100</f>
        <v>0</v>
      </c>
      <c r="K303" s="1651" t="s">
        <v>2703</v>
      </c>
      <c r="L303" s="1647" t="str">
        <f>'Part II-Development Team'!L100</f>
        <v>www.agg.com</v>
      </c>
      <c r="M303" s="1647">
        <f>'Part II-Development Team'!M100</f>
        <v>0</v>
      </c>
      <c r="N303" s="1647">
        <f>'Part II-Development Team'!N100</f>
        <v>0</v>
      </c>
      <c r="O303" s="1654" t="s">
        <v>1721</v>
      </c>
      <c r="P303" s="1647"/>
      <c r="Q303" s="2116">
        <f>'Part II-Development Team'!Q100</f>
        <v>4048737014</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GA</v>
      </c>
      <c r="I304" s="1647"/>
      <c r="J304" s="1647"/>
      <c r="K304" s="1651" t="s">
        <v>2228</v>
      </c>
      <c r="L304" s="2115">
        <f>'Part II-Development Team'!L101</f>
        <v>303631031</v>
      </c>
      <c r="M304" s="2115">
        <f>'Part II-Development Team'!M101</f>
        <v>0</v>
      </c>
      <c r="N304" s="1647"/>
      <c r="O304" s="1654" t="s">
        <v>1978</v>
      </c>
      <c r="P304" s="1647"/>
      <c r="Q304" s="2116">
        <f>'Part II-Development Team'!Q101</f>
        <v>4042340004</v>
      </c>
      <c r="R304" s="2116">
        <f>'Part II-Development Team'!R101</f>
        <v>0</v>
      </c>
      <c r="S304" s="2116">
        <f>'Part II-Development Team'!S101</f>
        <v>0</v>
      </c>
    </row>
    <row r="305" spans="1:19">
      <c r="A305" s="1653"/>
      <c r="B305" s="1653"/>
      <c r="C305" s="1653"/>
      <c r="D305" s="1653"/>
      <c r="E305" s="1654" t="s">
        <v>4256</v>
      </c>
      <c r="F305" s="1647"/>
      <c r="G305" s="1647"/>
      <c r="H305" s="2116">
        <f>'Part II-Development Team'!H102</f>
        <v>4048737014</v>
      </c>
      <c r="I305" s="2116">
        <f>'Part II-Development Team'!I102</f>
        <v>0</v>
      </c>
      <c r="J305" s="1661">
        <f>'Part II-Development Team'!J102</f>
        <v>0</v>
      </c>
      <c r="K305" s="1651" t="s">
        <v>1983</v>
      </c>
      <c r="L305" s="2023" t="str">
        <f>'Part II-Development Team'!L102</f>
        <v>jeff.adams@agg.com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Cohn Reznick</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1988</v>
      </c>
      <c r="P307" s="1654"/>
      <c r="Q307" s="1647" t="str">
        <f>'Part II-Development Team'!Q104</f>
        <v>Julie McNulty</v>
      </c>
      <c r="R307" s="1647">
        <f>'Part II-Development Team'!R104</f>
        <v>0</v>
      </c>
      <c r="S307" s="1647">
        <f>'Part II-Development Team'!S104</f>
        <v>0</v>
      </c>
    </row>
    <row r="308" spans="1:19">
      <c r="A308" s="1647"/>
      <c r="B308" s="1647"/>
      <c r="C308" s="1647"/>
      <c r="D308" s="1699"/>
      <c r="E308" s="1654" t="s">
        <v>1021</v>
      </c>
      <c r="F308" s="1657"/>
      <c r="G308" s="1647"/>
      <c r="H308" s="1647" t="str">
        <f>'Part II-Development Team'!H105</f>
        <v>2560 Lenox Road, Suite 2800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Partner</v>
      </c>
      <c r="R308" s="1647">
        <f>'Part II-Development Team'!R105</f>
        <v>0</v>
      </c>
      <c r="S308" s="1647">
        <f>'Part II-Development Team'!S105</f>
        <v>0</v>
      </c>
    </row>
    <row r="309" spans="1:19">
      <c r="A309" s="1647"/>
      <c r="B309" s="1647"/>
      <c r="C309" s="1647"/>
      <c r="D309" s="1699"/>
      <c r="E309" s="1654" t="s">
        <v>618</v>
      </c>
      <c r="F309" s="1647"/>
      <c r="G309" s="1647"/>
      <c r="H309" s="1647" t="str">
        <f>'Part II-Development Team'!H106</f>
        <v>Atlanta</v>
      </c>
      <c r="I309" s="1647">
        <f>'Part II-Development Team'!I106</f>
        <v>0</v>
      </c>
      <c r="J309" s="1647">
        <f>'Part II-Development Team'!J106</f>
        <v>0</v>
      </c>
      <c r="K309" s="1651" t="s">
        <v>2703</v>
      </c>
      <c r="L309" s="1647" t="str">
        <f>'Part II-Development Team'!L106</f>
        <v>www.cohnreznick.com</v>
      </c>
      <c r="M309" s="1647">
        <f>'Part II-Development Team'!M106</f>
        <v>0</v>
      </c>
      <c r="N309" s="1647">
        <f>'Part II-Development Team'!N106</f>
        <v>0</v>
      </c>
      <c r="O309" s="1654" t="s">
        <v>1721</v>
      </c>
      <c r="P309" s="1647"/>
      <c r="Q309" s="2116">
        <f>'Part II-Development Team'!Q106</f>
        <v>4048479447</v>
      </c>
      <c r="R309" s="2116">
        <f>'Part II-Development Team'!R106</f>
        <v>0</v>
      </c>
      <c r="S309" s="2116">
        <f>'Part II-Development Team'!S106</f>
        <v>0</v>
      </c>
    </row>
    <row r="310" spans="1:19">
      <c r="A310" s="1647"/>
      <c r="B310" s="1647"/>
      <c r="C310" s="1647"/>
      <c r="D310" s="1699"/>
      <c r="E310" s="1654" t="s">
        <v>1799</v>
      </c>
      <c r="F310" s="1647"/>
      <c r="G310" s="1647"/>
      <c r="H310" s="1654" t="str">
        <f>'Part II-Development Team'!H107</f>
        <v>GA</v>
      </c>
      <c r="I310" s="1647"/>
      <c r="J310" s="1647"/>
      <c r="K310" s="1651" t="s">
        <v>2228</v>
      </c>
      <c r="L310" s="2115">
        <f>'Part II-Development Team'!L107</f>
        <v>303264726</v>
      </c>
      <c r="M310" s="2115">
        <f>'Part II-Development Team'!M107</f>
        <v>0</v>
      </c>
      <c r="N310" s="1647"/>
      <c r="O310" s="1654" t="s">
        <v>1978</v>
      </c>
      <c r="P310" s="1647"/>
      <c r="Q310" s="2116">
        <f>'Part II-Development Team'!Q107</f>
        <v>6785760400</v>
      </c>
      <c r="R310" s="2116">
        <f>'Part II-Development Team'!R107</f>
        <v>0</v>
      </c>
      <c r="S310" s="2116">
        <f>'Part II-Development Team'!S107</f>
        <v>0</v>
      </c>
    </row>
    <row r="311" spans="1:19">
      <c r="A311" s="1653"/>
      <c r="B311" s="1653"/>
      <c r="C311" s="1653"/>
      <c r="D311" s="1653"/>
      <c r="E311" s="1654" t="s">
        <v>4256</v>
      </c>
      <c r="F311" s="1647"/>
      <c r="G311" s="1647"/>
      <c r="H311" s="2116">
        <f>'Part II-Development Team'!H108</f>
        <v>4048479447</v>
      </c>
      <c r="I311" s="2116">
        <f>'Part II-Development Team'!I108</f>
        <v>0</v>
      </c>
      <c r="J311" s="1661">
        <f>'Part II-Development Team'!J108</f>
        <v>0</v>
      </c>
      <c r="K311" s="1651" t="s">
        <v>1983</v>
      </c>
      <c r="L311" s="2023" t="str">
        <f>'Part II-Development Team'!L108</f>
        <v>julie.mcnulty@cohnreznick.com</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Geheber Lewis Associates LLC</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1988</v>
      </c>
      <c r="P313" s="1654"/>
      <c r="Q313" s="1647" t="str">
        <f>'Part II-Development Team'!Q110</f>
        <v>Fred Geheber</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643 11th Street</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Partner</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Atlanta</v>
      </c>
      <c r="I315" s="1647">
        <f>'Part II-Development Team'!I112</f>
        <v>0</v>
      </c>
      <c r="J315" s="1647">
        <f>'Part II-Development Team'!J112</f>
        <v>0</v>
      </c>
      <c r="K315" s="1651" t="s">
        <v>2703</v>
      </c>
      <c r="L315" s="1647" t="str">
        <f>'Part II-Development Team'!L112</f>
        <v>www.ghatl.com</v>
      </c>
      <c r="M315" s="1647">
        <f>'Part II-Development Team'!M112</f>
        <v>0</v>
      </c>
      <c r="N315" s="1647">
        <f>'Part II-Development Team'!N112</f>
        <v>0</v>
      </c>
      <c r="O315" s="1654" t="s">
        <v>1721</v>
      </c>
      <c r="P315" s="1647"/>
      <c r="Q315" s="2116">
        <f>'Part II-Development Team'!Q112</f>
        <v>4042281958</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GA</v>
      </c>
      <c r="I316" s="1647"/>
      <c r="J316" s="1647"/>
      <c r="K316" s="1651" t="s">
        <v>2228</v>
      </c>
      <c r="L316" s="2115">
        <f>'Part II-Development Team'!L113</f>
        <v>303185419</v>
      </c>
      <c r="M316" s="2115">
        <f>'Part II-Development Team'!M113</f>
        <v>0</v>
      </c>
      <c r="N316" s="1647"/>
      <c r="O316" s="1654" t="s">
        <v>1978</v>
      </c>
      <c r="P316" s="1647"/>
      <c r="Q316" s="2116">
        <f>'Part II-Development Team'!Q113</f>
        <v>4047979944</v>
      </c>
      <c r="R316" s="2116">
        <f>'Part II-Development Team'!R113</f>
        <v>0</v>
      </c>
      <c r="S316" s="2116">
        <f>'Part II-Development Team'!S113</f>
        <v>0</v>
      </c>
    </row>
    <row r="317" spans="1:19">
      <c r="A317" s="1647"/>
      <c r="B317" s="1647"/>
      <c r="C317" s="1647"/>
      <c r="D317" s="1699"/>
      <c r="E317" s="1654" t="s">
        <v>4256</v>
      </c>
      <c r="F317" s="1647"/>
      <c r="G317" s="1647"/>
      <c r="H317" s="2116">
        <f>'Part II-Development Team'!H114</f>
        <v>4042281958</v>
      </c>
      <c r="I317" s="2116">
        <f>'Part II-Development Team'!I114</f>
        <v>0</v>
      </c>
      <c r="J317" s="1661">
        <f>'Part II-Development Team'!J114</f>
        <v>0</v>
      </c>
      <c r="K317" s="1651" t="s">
        <v>1983</v>
      </c>
      <c r="L317" s="2023" t="str">
        <f>'Part II-Development Team'!L114</f>
        <v>fgeheber@glaatl.com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2602</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1982</v>
      </c>
      <c r="C320" s="1628" t="s">
        <v>4495</v>
      </c>
      <c r="D320" s="1647"/>
      <c r="E320" s="1647"/>
      <c r="F320" s="1647"/>
      <c r="G320" s="1647"/>
      <c r="H320" s="1647">
        <f>'Part II-Development Team'!H117</f>
        <v>0</v>
      </c>
      <c r="I320" s="1647">
        <f>'Part II-Development Team'!I117</f>
        <v>0</v>
      </c>
      <c r="J320" s="1647">
        <f>'Part II-Development Team'!J117</f>
        <v>0</v>
      </c>
      <c r="K320" s="1651" t="s">
        <v>2473</v>
      </c>
      <c r="L320" s="1647">
        <f>'Part II-Development Team'!L117</f>
        <v>0</v>
      </c>
      <c r="M320" s="1647">
        <f>'Part II-Development Team'!M117</f>
        <v>0</v>
      </c>
      <c r="N320" s="1647">
        <f>'Part II-Development Team'!N117</f>
        <v>0</v>
      </c>
      <c r="O320" s="1654" t="s">
        <v>3578</v>
      </c>
      <c r="P320" s="1647"/>
      <c r="Q320" s="1647">
        <f>'Part II-Development Team'!Q117</f>
        <v>0</v>
      </c>
      <c r="R320" s="1647">
        <f>'Part II-Development Team'!R117</f>
        <v>0</v>
      </c>
      <c r="S320" s="1647">
        <f>'Part II-Development Team'!S117</f>
        <v>0</v>
      </c>
    </row>
    <row r="321" spans="1:19">
      <c r="A321" s="1647"/>
      <c r="B321" s="1647"/>
      <c r="C321" s="1647"/>
      <c r="D321" s="1699"/>
      <c r="E321" s="1654" t="s">
        <v>1021</v>
      </c>
      <c r="F321" s="1657"/>
      <c r="G321" s="1647"/>
      <c r="H321" s="1647">
        <f>'Part II-Development Team'!H118</f>
        <v>0</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f>'Part II-Development Team'!Q118</f>
        <v>0</v>
      </c>
      <c r="R321" s="1647">
        <f>'Part II-Development Team'!R118</f>
        <v>0</v>
      </c>
      <c r="S321" s="1647">
        <f>'Part II-Development Team'!S118</f>
        <v>0</v>
      </c>
    </row>
    <row r="322" spans="1:19">
      <c r="A322" s="1647"/>
      <c r="B322" s="1647"/>
      <c r="C322" s="1647"/>
      <c r="D322" s="1699"/>
      <c r="E322" s="1654" t="s">
        <v>1799</v>
      </c>
      <c r="F322" s="1647"/>
      <c r="G322" s="1647"/>
      <c r="H322" s="1654">
        <f>'Part II-Development Team'!H119</f>
        <v>0</v>
      </c>
      <c r="I322" s="1651" t="s">
        <v>2228</v>
      </c>
      <c r="J322" s="2115">
        <f>'Part II-Development Team'!J119</f>
        <v>0</v>
      </c>
      <c r="K322" s="2115">
        <f>'Part II-Development Team'!K119</f>
        <v>0</v>
      </c>
      <c r="L322" s="1651" t="s">
        <v>1983</v>
      </c>
      <c r="M322" s="2023">
        <f>'Part II-Development Team'!M119</f>
        <v>0</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1984</v>
      </c>
      <c r="C323" s="1628" t="s">
        <v>2835</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3880</v>
      </c>
      <c r="B324" s="1703"/>
      <c r="C324" s="1703"/>
      <c r="D324" s="1703"/>
      <c r="E324" s="1703"/>
      <c r="F324" s="1661" t="s">
        <v>2509</v>
      </c>
      <c r="G324" s="1658" t="s">
        <v>3477</v>
      </c>
      <c r="H324" s="1658"/>
      <c r="I324" s="1658"/>
      <c r="J324" s="1658"/>
      <c r="K324" s="1658"/>
      <c r="L324" s="1658"/>
      <c r="M324" s="1658"/>
      <c r="N324" s="1658"/>
      <c r="O324" s="1658"/>
      <c r="P324" s="1658"/>
      <c r="Q324" s="1658"/>
      <c r="R324" s="1658"/>
      <c r="S324" s="1658"/>
    </row>
    <row r="325" spans="1:19" ht="12.75" customHeight="1">
      <c r="A325" s="1647"/>
      <c r="B325" s="1692"/>
      <c r="C325" s="1704" t="s">
        <v>1985</v>
      </c>
      <c r="D325" s="1682" t="s">
        <v>2836</v>
      </c>
      <c r="E325" s="1682"/>
      <c r="F325" s="2129" t="str">
        <f>'Part II-Development Team'!F122</f>
        <v>Yes</v>
      </c>
      <c r="G325" s="1890" t="str">
        <f>'Part II-Development Team'!G122</f>
        <v>The members of the Developer entity, Prestwick Development, LLC are also members of Prestwick Construction Company, LLC.</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1987</v>
      </c>
      <c r="D326" s="1682" t="s">
        <v>2901</v>
      </c>
      <c r="E326" s="1682"/>
      <c r="F326" s="2129" t="str">
        <f>'Part II-Development Team'!F123</f>
        <v>Yes</v>
      </c>
      <c r="G326" s="1890" t="str">
        <f>'Part II-Development Team'!G123</f>
        <v>The members of the Developer entity, Prestwick Development, LLC are also members of the land seller, Prestwick Land Holdings, LLC.</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2533</v>
      </c>
      <c r="D327" s="1682" t="s">
        <v>2877</v>
      </c>
      <c r="E327" s="1682"/>
      <c r="F327" s="2129" t="str">
        <f>'Part II-Development Team'!F124</f>
        <v>Yes</v>
      </c>
      <c r="G327" s="1890" t="str">
        <f>'Part II-Development Team'!G124</f>
        <v>The members of the General Partner entity, Milton Family I GP, LLC are also members of Prestwick Construction Company, LLC.</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2837</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3465</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1880</v>
      </c>
      <c r="D330" s="1682" t="s">
        <v>3466</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2838</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Other (Indicate here the two roles involved)</v>
      </c>
      <c r="E332" s="1682">
        <f>'Part II-Development Team'!E130</f>
        <v>0</v>
      </c>
      <c r="F332" s="2129" t="str">
        <f>'Part II-Development Team'!F130</f>
        <v>Select</v>
      </c>
      <c r="G332" s="1890">
        <f>'Part II-Development Team'!G130</f>
        <v>0</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4496</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2839</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3447</v>
      </c>
      <c r="F336" s="1682"/>
      <c r="G336" s="1682"/>
      <c r="H336" s="1682"/>
      <c r="I336" s="1682"/>
      <c r="J336" s="1682" t="s">
        <v>3448</v>
      </c>
      <c r="K336" s="1705" t="s">
        <v>4497</v>
      </c>
      <c r="L336" s="1705" t="s">
        <v>4498</v>
      </c>
      <c r="M336" s="1705" t="s">
        <v>4499</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4500</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2509</v>
      </c>
      <c r="J340" s="1682"/>
      <c r="K340" s="1705"/>
      <c r="L340" s="1705"/>
      <c r="M340" s="1661" t="s">
        <v>2509</v>
      </c>
      <c r="N340" s="1665" t="s">
        <v>2906</v>
      </c>
      <c r="O340" s="1665"/>
      <c r="P340" s="1665"/>
      <c r="Q340" s="1665"/>
      <c r="R340" s="1665"/>
      <c r="S340" s="1665"/>
    </row>
    <row r="341" spans="1:19" ht="13.5" customHeight="1">
      <c r="A341" s="1708" t="s">
        <v>3442</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Yes</v>
      </c>
      <c r="N341" s="1890" t="str">
        <f>'Part II-Development Team'!N139</f>
        <v xml:space="preserve">Members of Prestwick Development Company, LLC are also members of both the GP entity and members of Prestwick Construction Company, the contractor </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3443</v>
      </c>
      <c r="B342" s="1708"/>
      <c r="C342" s="1708"/>
      <c r="D342" s="1708"/>
      <c r="E342" s="1890">
        <f>'Part II-Development Team'!E140</f>
        <v>0</v>
      </c>
      <c r="F342" s="1890">
        <f>'Part II-Development Team'!F140</f>
        <v>0</v>
      </c>
      <c r="G342" s="1890">
        <f>'Part II-Development Team'!G140</f>
        <v>0</v>
      </c>
      <c r="H342" s="1890">
        <f>'Part II-Development Team'!H140</f>
        <v>0</v>
      </c>
      <c r="I342" s="2129">
        <f>'Part II-Development Team'!I140</f>
        <v>0</v>
      </c>
      <c r="J342" s="2129">
        <f>'Part II-Development Team'!J140</f>
        <v>0</v>
      </c>
      <c r="K342" s="2130">
        <f>'Part II-Development Team'!K140</f>
        <v>0</v>
      </c>
      <c r="L342" s="2131">
        <f>'Part II-Development Team'!L140</f>
        <v>0</v>
      </c>
      <c r="M342" s="2129">
        <f>'Part II-Development Team'!M140</f>
        <v>0</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3444</v>
      </c>
      <c r="B343" s="1708"/>
      <c r="C343" s="1708"/>
      <c r="D343" s="1708"/>
      <c r="E343" s="1890">
        <f>'Part II-Development Team'!E141</f>
        <v>0</v>
      </c>
      <c r="F343" s="1890">
        <f>'Part II-Development Team'!F141</f>
        <v>0</v>
      </c>
      <c r="G343" s="1890">
        <f>'Part II-Development Team'!G141</f>
        <v>0</v>
      </c>
      <c r="H343" s="1890">
        <f>'Part II-Development Team'!H141</f>
        <v>0</v>
      </c>
      <c r="I343" s="2129">
        <f>'Part II-Development Team'!I141</f>
        <v>0</v>
      </c>
      <c r="J343" s="2129">
        <f>'Part II-Development Team'!J141</f>
        <v>0</v>
      </c>
      <c r="K343" s="2130">
        <f>'Part II-Development Team'!K141</f>
        <v>0</v>
      </c>
      <c r="L343" s="2131">
        <f>'Part II-Development Team'!L141</f>
        <v>0</v>
      </c>
      <c r="M343" s="2129">
        <f>'Part II-Development Team'!M141</f>
        <v>0</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3445</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0.98980000000000001</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3446</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2894</v>
      </c>
      <c r="B346" s="1708"/>
      <c r="C346" s="1708"/>
      <c r="D346" s="1708"/>
      <c r="E346" s="1890">
        <f>'Part II-Development Team'!E144</f>
        <v>0</v>
      </c>
      <c r="F346" s="1890">
        <f>'Part II-Development Team'!F144</f>
        <v>0</v>
      </c>
      <c r="G346" s="1890">
        <f>'Part II-Development Team'!G144</f>
        <v>0</v>
      </c>
      <c r="H346" s="1890">
        <f>'Part II-Development Team'!H144</f>
        <v>0</v>
      </c>
      <c r="I346" s="2129">
        <f>'Part II-Development Team'!I144</f>
        <v>0</v>
      </c>
      <c r="J346" s="2129">
        <f>'Part II-Development Team'!J144</f>
        <v>0</v>
      </c>
      <c r="K346" s="2130">
        <f>'Part II-Development Team'!K144</f>
        <v>0</v>
      </c>
      <c r="L346" s="2131">
        <f>'Part II-Development Team'!L144</f>
        <v>0</v>
      </c>
      <c r="M346" s="2129">
        <f>'Part II-Development Team'!M144</f>
        <v>0</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165.75">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Yes</v>
      </c>
      <c r="N347" s="1890" t="str">
        <f>'Part II-Development Team'!N145</f>
        <v xml:space="preserve">Members of Prestwick Development Company, LLC are also members of both the GP entity and members of Prestwick Construction Company, the contractor </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2895</v>
      </c>
      <c r="B348" s="1708"/>
      <c r="C348" s="1708"/>
      <c r="D348" s="1708"/>
      <c r="E348" s="1890">
        <f>'Part II-Development Team'!E146</f>
        <v>0</v>
      </c>
      <c r="F348" s="1890">
        <f>'Part II-Development Team'!F146</f>
        <v>0</v>
      </c>
      <c r="G348" s="1890">
        <f>'Part II-Development Team'!G146</f>
        <v>0</v>
      </c>
      <c r="H348" s="1890">
        <f>'Part II-Development Team'!H146</f>
        <v>0</v>
      </c>
      <c r="I348" s="2129">
        <f>'Part II-Development Team'!I146</f>
        <v>0</v>
      </c>
      <c r="J348" s="2129">
        <f>'Part II-Development Team'!J146</f>
        <v>0</v>
      </c>
      <c r="K348" s="2130">
        <f>'Part II-Development Team'!K146</f>
        <v>0</v>
      </c>
      <c r="L348" s="2131">
        <f>'Part II-Development Team'!L146</f>
        <v>0</v>
      </c>
      <c r="M348" s="2129">
        <f>'Part II-Development Team'!M146</f>
        <v>0</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2896</v>
      </c>
      <c r="B349" s="1708"/>
      <c r="C349" s="1708"/>
      <c r="D349" s="1708"/>
      <c r="E349" s="1890">
        <f>'Part II-Development Team'!E147</f>
        <v>0</v>
      </c>
      <c r="F349" s="1890">
        <f>'Part II-Development Team'!F147</f>
        <v>0</v>
      </c>
      <c r="G349" s="1890">
        <f>'Part II-Development Team'!G147</f>
        <v>0</v>
      </c>
      <c r="H349" s="1890">
        <f>'Part II-Development Team'!H147</f>
        <v>0</v>
      </c>
      <c r="I349" s="2129">
        <f>'Part II-Development Team'!I147</f>
        <v>0</v>
      </c>
      <c r="J349" s="2129">
        <f>'Part II-Development Team'!J147</f>
        <v>0</v>
      </c>
      <c r="K349" s="2130">
        <f>'Part II-Development Team'!K147</f>
        <v>0</v>
      </c>
      <c r="L349" s="2131">
        <f>'Part II-Development Team'!L147</f>
        <v>0</v>
      </c>
      <c r="M349" s="2129">
        <f>'Part II-Development Team'!M147</f>
        <v>0</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2898</v>
      </c>
      <c r="B350" s="1708"/>
      <c r="C350" s="1708"/>
      <c r="D350" s="1708"/>
      <c r="E350" s="1890">
        <f>'Part II-Development Team'!E148</f>
        <v>0</v>
      </c>
      <c r="F350" s="1890">
        <f>'Part II-Development Team'!F148</f>
        <v>0</v>
      </c>
      <c r="G350" s="1890">
        <f>'Part II-Development Team'!G148</f>
        <v>0</v>
      </c>
      <c r="H350" s="1890">
        <f>'Part II-Development Team'!H148</f>
        <v>0</v>
      </c>
      <c r="I350" s="2129">
        <f>'Part II-Development Team'!I148</f>
        <v>0</v>
      </c>
      <c r="J350" s="2129">
        <f>'Part II-Development Team'!J148</f>
        <v>0</v>
      </c>
      <c r="K350" s="2130">
        <f>'Part II-Development Team'!K148</f>
        <v>0</v>
      </c>
      <c r="L350" s="2131">
        <f>'Part II-Development Team'!L148</f>
        <v>0</v>
      </c>
      <c r="M350" s="2129">
        <f>'Part II-Development Team'!M148</f>
        <v>0</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2897</v>
      </c>
      <c r="B351" s="1708"/>
      <c r="C351" s="1708"/>
      <c r="D351" s="1708"/>
      <c r="E351" s="1890">
        <f>'Part II-Development Team'!E149</f>
        <v>0</v>
      </c>
      <c r="F351" s="1890">
        <f>'Part II-Development Team'!F149</f>
        <v>0</v>
      </c>
      <c r="G351" s="1890">
        <f>'Part II-Development Team'!G149</f>
        <v>0</v>
      </c>
      <c r="H351" s="1890">
        <f>'Part II-Development Team'!H149</f>
        <v>0</v>
      </c>
      <c r="I351" s="2129">
        <f>'Part II-Development Team'!I149</f>
        <v>0</v>
      </c>
      <c r="J351" s="2129">
        <f>'Part II-Development Team'!J149</f>
        <v>0</v>
      </c>
      <c r="K351" s="2130">
        <f>'Part II-Development Team'!K149</f>
        <v>0</v>
      </c>
      <c r="L351" s="2131">
        <f>'Part II-Development Team'!L149</f>
        <v>0</v>
      </c>
      <c r="M351" s="2129">
        <f>'Part II-Development Team'!M149</f>
        <v>0</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65.75">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Yes</v>
      </c>
      <c r="N352" s="1890" t="str">
        <f>'Part II-Development Team'!N150</f>
        <v xml:space="preserve">Members of Prestwick Development Company, LLC are also members of both the GP entity and members of Prestwick Construction Company, the contractor </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2899</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0.99990000000000001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t="str">
        <f>'Part II-Development Team'!A154</f>
        <v xml:space="preserve">Members of Prestwick Development Company, LLC are also members of both the GP entity and members of Prestwick Construction Company, LLC, the contractor for the project.  </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2019-5 55 Milton, Atlanta, Fulton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ht="13.5">
      <c r="A366" s="1628" t="s">
        <v>616</v>
      </c>
      <c r="B366" s="1679" t="s">
        <v>2490</v>
      </c>
      <c r="C366" s="1647"/>
      <c r="D366" s="1647"/>
      <c r="E366" s="1647"/>
      <c r="F366" s="1647"/>
      <c r="G366" s="1647"/>
      <c r="H366" s="1710"/>
      <c r="I366" s="1710"/>
      <c r="J366" s="1647"/>
      <c r="K366" s="1710"/>
      <c r="L366" s="1710"/>
      <c r="M366" s="1710"/>
      <c r="N366" s="1710"/>
      <c r="O366" s="1710"/>
      <c r="P366" s="1710"/>
      <c r="Q366" s="1710"/>
    </row>
    <row r="367" spans="1:19" ht="13.5">
      <c r="A367" s="1679"/>
      <c r="B367" s="1645"/>
      <c r="C367" s="1679"/>
      <c r="D367" s="1647"/>
      <c r="E367" s="1647"/>
      <c r="F367" s="1647"/>
      <c r="G367" s="1647"/>
      <c r="H367" s="1710"/>
      <c r="I367" s="1710"/>
      <c r="J367" s="1710"/>
      <c r="K367" s="1710"/>
      <c r="L367" s="1710"/>
      <c r="M367" s="1710"/>
      <c r="N367" s="1710"/>
      <c r="O367" s="1710"/>
      <c r="P367" s="1710"/>
      <c r="Q367" s="1710"/>
    </row>
    <row r="368" spans="1:19" ht="13.5">
      <c r="A368" s="1645"/>
      <c r="B368" s="1651" t="str">
        <f>'Part III-Sources of Funds'!B5</f>
        <v>Yes</v>
      </c>
      <c r="C368" s="1654" t="s">
        <v>2409</v>
      </c>
      <c r="D368" s="1647"/>
      <c r="E368" s="1710"/>
      <c r="F368" s="1710"/>
      <c r="G368" s="1710"/>
      <c r="H368" s="1651" t="str">
        <f>'Part III-Sources of Funds'!L11</f>
        <v>No</v>
      </c>
      <c r="I368" s="1654" t="s">
        <v>1537</v>
      </c>
      <c r="J368" s="1710"/>
      <c r="K368" s="1710"/>
      <c r="L368" s="1651" t="str">
        <f>'Part III-Sources of Funds'!B11</f>
        <v>No</v>
      </c>
      <c r="M368" s="1647" t="s">
        <v>3887</v>
      </c>
      <c r="N368" s="1710"/>
      <c r="O368" s="1710"/>
      <c r="P368" s="1710"/>
      <c r="Q368" s="1710"/>
    </row>
    <row r="369" spans="1:17" ht="13.5">
      <c r="A369" s="1645"/>
      <c r="B369" s="1651" t="str">
        <f>'Part III-Sources of Funds'!B6</f>
        <v>No</v>
      </c>
      <c r="C369" s="1654" t="s">
        <v>550</v>
      </c>
      <c r="D369" s="1647"/>
      <c r="E369" s="1710"/>
      <c r="F369" s="1710"/>
      <c r="G369" s="1710"/>
      <c r="H369" s="1651" t="str">
        <f>'Part III-Sources of Funds'!L12</f>
        <v>No</v>
      </c>
      <c r="I369" s="1654" t="s">
        <v>549</v>
      </c>
      <c r="J369" s="1710"/>
      <c r="K369" s="1710"/>
      <c r="L369" s="1651" t="str">
        <f>'Part III-Sources of Funds'!E8</f>
        <v>No</v>
      </c>
      <c r="M369" s="1654" t="s">
        <v>2600</v>
      </c>
      <c r="N369" s="1710"/>
      <c r="O369" s="1710"/>
      <c r="P369" s="1710"/>
      <c r="Q369" s="1710"/>
    </row>
    <row r="370" spans="1:17" ht="13.5">
      <c r="A370" s="1647"/>
      <c r="B370" s="1651" t="str">
        <f>'Part III-Sources of Funds'!E14</f>
        <v>Yes</v>
      </c>
      <c r="C370" s="1654" t="s">
        <v>3884</v>
      </c>
      <c r="D370" s="1710"/>
      <c r="E370" s="1710"/>
      <c r="F370" s="1766">
        <f>'Part III-Sources of Funds'!I14</f>
        <v>17500000</v>
      </c>
      <c r="G370" s="1766">
        <f>'Part III-Sources of Funds'!J14</f>
        <v>0</v>
      </c>
      <c r="H370" s="1651" t="str">
        <f>'Part III-Sources of Funds'!L13</f>
        <v>No</v>
      </c>
      <c r="I370" s="1654" t="s">
        <v>3680</v>
      </c>
      <c r="J370" s="1710"/>
      <c r="K370" s="1710"/>
      <c r="L370" s="1651" t="str">
        <f>'Part III-Sources of Funds'!B8</f>
        <v>No</v>
      </c>
      <c r="M370" s="1654" t="s">
        <v>2601</v>
      </c>
      <c r="N370" s="1710"/>
      <c r="O370" s="1710"/>
      <c r="P370" s="1710"/>
      <c r="Q370" s="1710"/>
    </row>
    <row r="371" spans="1:17" ht="13.5">
      <c r="A371" s="1645"/>
      <c r="B371" s="1651" t="str">
        <f>'Part III-Sources of Funds'!B14</f>
        <v>No</v>
      </c>
      <c r="C371" s="1654" t="s">
        <v>1803</v>
      </c>
      <c r="D371" s="1647"/>
      <c r="E371" s="1710"/>
      <c r="F371" s="1710"/>
      <c r="G371" s="1710"/>
      <c r="H371" s="1651" t="str">
        <f>'Part III-Sources of Funds'!L14</f>
        <v>No</v>
      </c>
      <c r="I371" s="1647" t="s">
        <v>2609</v>
      </c>
      <c r="J371" s="1710"/>
      <c r="K371" s="1710"/>
      <c r="L371" s="1651" t="str">
        <f>'Part III-Sources of Funds'!B9</f>
        <v>No</v>
      </c>
      <c r="M371" s="1654" t="s">
        <v>3685</v>
      </c>
      <c r="N371" s="1710"/>
      <c r="O371" s="1710"/>
      <c r="P371" s="1710"/>
      <c r="Q371" s="1710"/>
    </row>
    <row r="372" spans="1:17" ht="13.5">
      <c r="A372" s="1645"/>
      <c r="B372" s="1651" t="str">
        <f>'Part III-Sources of Funds'!B7</f>
        <v>No</v>
      </c>
      <c r="C372" s="1654" t="s">
        <v>551</v>
      </c>
      <c r="D372" s="1710"/>
      <c r="E372" s="1710"/>
      <c r="F372" s="1710"/>
      <c r="G372" s="1710"/>
      <c r="H372" s="1651" t="str">
        <f>'Part III-Sources of Funds'!B12</f>
        <v>No</v>
      </c>
      <c r="I372" s="1647" t="s">
        <v>2607</v>
      </c>
      <c r="J372" s="1710"/>
      <c r="K372" s="1710"/>
      <c r="L372" s="1651" t="str">
        <f>'Part III-Sources of Funds'!B10</f>
        <v>No</v>
      </c>
      <c r="M372" s="1654" t="s">
        <v>2608</v>
      </c>
      <c r="N372" s="1710"/>
      <c r="O372" s="1710"/>
      <c r="P372" s="1710"/>
      <c r="Q372" s="1710"/>
    </row>
    <row r="373" spans="1:17" ht="13.5">
      <c r="A373" s="1645"/>
      <c r="B373" s="1651" t="str">
        <f>'Part III-Sources of Funds'!L5</f>
        <v>No</v>
      </c>
      <c r="C373" s="1654" t="s">
        <v>3885</v>
      </c>
      <c r="D373" s="1710"/>
      <c r="E373" s="1710"/>
      <c r="F373" s="1710"/>
      <c r="G373" s="1711"/>
      <c r="H373" s="1651" t="str">
        <f>'Part III-Sources of Funds'!B13</f>
        <v>No</v>
      </c>
      <c r="I373" s="1647" t="s">
        <v>3719</v>
      </c>
      <c r="J373" s="1682"/>
      <c r="K373" s="1682"/>
      <c r="L373" s="1651" t="str">
        <f>'Part III-Sources of Funds'!E9</f>
        <v>Yes</v>
      </c>
      <c r="M373" s="1654" t="s">
        <v>3721</v>
      </c>
      <c r="N373" s="1710"/>
      <c r="O373" s="1710" t="str">
        <f>'Part III-Sources of Funds'!H9</f>
        <v>Atlanta Housing HAVEN</v>
      </c>
      <c r="P373" s="1710">
        <f>'Part III-Sources of Funds'!I9</f>
        <v>0</v>
      </c>
      <c r="Q373" s="1710">
        <f>'Part III-Sources of Funds'!J9</f>
        <v>0</v>
      </c>
    </row>
    <row r="374" spans="1:17" ht="13.5">
      <c r="A374" s="1645"/>
      <c r="B374" s="1651" t="str">
        <f>'Part III-Sources of Funds'!E5</f>
        <v>No</v>
      </c>
      <c r="C374" s="1654" t="s">
        <v>4501</v>
      </c>
      <c r="D374" s="1647"/>
      <c r="E374" s="2132">
        <f>'Part III-Sources of Funds'!H5</f>
        <v>0</v>
      </c>
      <c r="F374" s="2111">
        <f>'Part III-Sources of Funds'!I5</f>
        <v>0</v>
      </c>
      <c r="G374" s="1710"/>
      <c r="H374" s="1651" t="str">
        <f>'Part III-Sources of Funds'!L6</f>
        <v>No</v>
      </c>
      <c r="I374" s="1647" t="s">
        <v>3724</v>
      </c>
      <c r="J374" s="1710"/>
      <c r="K374" s="1710"/>
      <c r="L374" s="1651" t="str">
        <f>'Part III-Sources of Funds'!L9</f>
        <v>No</v>
      </c>
      <c r="M374" s="1647" t="s">
        <v>3619</v>
      </c>
      <c r="N374" s="1710"/>
      <c r="O374" s="1710"/>
      <c r="P374" s="1710"/>
      <c r="Q374" s="1710"/>
    </row>
    <row r="375" spans="1:17" ht="13.5">
      <c r="A375" s="1645"/>
      <c r="B375" s="1651" t="str">
        <f>'Part III-Sources of Funds'!E6</f>
        <v>No</v>
      </c>
      <c r="C375" s="1654" t="s">
        <v>4502</v>
      </c>
      <c r="D375" s="1710"/>
      <c r="E375" s="2132">
        <f>'Part III-Sources of Funds'!H6</f>
        <v>0</v>
      </c>
      <c r="F375" s="2111">
        <f>'Part III-Sources of Funds'!I6</f>
        <v>0</v>
      </c>
      <c r="G375" s="1710"/>
      <c r="H375" s="1651" t="str">
        <f>'Part III-Sources of Funds'!L7</f>
        <v>No</v>
      </c>
      <c r="I375" s="1692" t="s">
        <v>2795</v>
      </c>
      <c r="J375" s="1692"/>
      <c r="K375" s="1692"/>
      <c r="L375" s="1651" t="str">
        <f>'Part III-Sources of Funds'!E12</f>
        <v>Yes</v>
      </c>
      <c r="M375" s="1710" t="str">
        <f>'Part III-Sources of Funds'!F12</f>
        <v>HomeFirst Loan and BeltLine TAD Loan</v>
      </c>
      <c r="N375" s="1710">
        <f>'Part III-Sources of Funds'!G12</f>
        <v>0</v>
      </c>
      <c r="O375" s="1710">
        <f>'Part III-Sources of Funds'!H12</f>
        <v>0</v>
      </c>
      <c r="P375" s="1710">
        <f>'Part III-Sources of Funds'!I12</f>
        <v>0</v>
      </c>
      <c r="Q375" s="1710">
        <f>'Part III-Sources of Funds'!J12</f>
        <v>0</v>
      </c>
    </row>
    <row r="376" spans="1:17" ht="13.5">
      <c r="A376" s="1645"/>
      <c r="B376" s="1710"/>
      <c r="C376" s="1710" t="s">
        <v>3720</v>
      </c>
      <c r="D376" s="1710"/>
      <c r="E376" s="1710" t="str">
        <f>'Part III-Sources of Funds'!H7</f>
        <v>Specify Other HOME Source here</v>
      </c>
      <c r="F376" s="1710">
        <f>'Part III-Sources of Funds'!I7</f>
        <v>0</v>
      </c>
      <c r="G376" s="1710">
        <f>'Part III-Sources of Funds'!J7</f>
        <v>0</v>
      </c>
      <c r="H376" s="1651" t="str">
        <f>'Part III-Sources of Funds'!L8</f>
        <v>No</v>
      </c>
      <c r="I376" s="1654" t="s">
        <v>3886</v>
      </c>
      <c r="J376" s="1692"/>
      <c r="K376" s="1692"/>
      <c r="L376" s="1710"/>
      <c r="M376" s="1710" t="str">
        <f>'Part III-Sources of Funds'!F13</f>
        <v>Partners for Home and Invest Atlanta</v>
      </c>
      <c r="N376" s="1710">
        <f>'Part III-Sources of Funds'!G13</f>
        <v>0</v>
      </c>
      <c r="O376" s="1710">
        <f>'Part III-Sources of Funds'!H13</f>
        <v>0</v>
      </c>
      <c r="P376" s="1710">
        <f>'Part III-Sources of Funds'!I13</f>
        <v>0</v>
      </c>
      <c r="Q376" s="1710">
        <f>'Part III-Sources of Funds'!J13</f>
        <v>0</v>
      </c>
    </row>
    <row r="377" spans="1:17" ht="13.5">
      <c r="A377" s="1645"/>
      <c r="B377" s="1710" t="s">
        <v>3686</v>
      </c>
      <c r="C377" s="1647"/>
      <c r="D377" s="1647"/>
      <c r="E377" s="1647"/>
      <c r="F377" s="1647"/>
      <c r="G377" s="1647"/>
      <c r="H377" s="1647"/>
      <c r="I377" s="1647"/>
      <c r="J377" s="1647"/>
      <c r="K377" s="1647"/>
      <c r="L377" s="1647"/>
      <c r="M377" s="1665"/>
      <c r="N377" s="1647"/>
      <c r="O377" s="1647"/>
      <c r="P377" s="1647"/>
      <c r="Q377" s="1647"/>
    </row>
    <row r="378" spans="1:17" ht="13.5">
      <c r="A378" s="1645"/>
      <c r="B378" s="1710"/>
      <c r="C378" s="1710"/>
      <c r="D378" s="1710"/>
      <c r="E378" s="1710"/>
      <c r="F378" s="1710"/>
      <c r="G378" s="1710"/>
      <c r="H378" s="1710"/>
      <c r="I378" s="1710"/>
      <c r="J378" s="1710"/>
      <c r="K378" s="1710"/>
      <c r="L378" s="1647"/>
      <c r="M378" s="1665"/>
      <c r="N378" s="1647"/>
      <c r="O378" s="1647"/>
      <c r="P378" s="1647"/>
      <c r="Q378" s="1647"/>
    </row>
    <row r="379" spans="1:17" ht="13.5">
      <c r="A379" s="1628" t="s">
        <v>740</v>
      </c>
      <c r="B379" s="1648" t="s">
        <v>2344</v>
      </c>
      <c r="C379" s="1647"/>
      <c r="D379" s="1647"/>
      <c r="E379" s="1647"/>
      <c r="F379" s="1647"/>
      <c r="G379" s="1647"/>
      <c r="H379" s="1710"/>
      <c r="I379" s="1698"/>
      <c r="J379" s="1698"/>
      <c r="K379" s="1698"/>
      <c r="L379" s="1647"/>
      <c r="M379" s="1647"/>
      <c r="N379" s="1647"/>
      <c r="O379" s="1647"/>
      <c r="P379" s="1647"/>
      <c r="Q379" s="1647"/>
    </row>
    <row r="380" spans="1:17" ht="13.5">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1870</v>
      </c>
      <c r="C381" s="1647"/>
      <c r="D381" s="1647"/>
      <c r="E381" s="1647"/>
      <c r="F381" s="1647"/>
      <c r="G381" s="1647"/>
      <c r="H381" s="1647" t="s">
        <v>1297</v>
      </c>
      <c r="I381" s="1647"/>
      <c r="J381" s="1647"/>
      <c r="K381" s="1647"/>
      <c r="L381" s="1647" t="s">
        <v>1989</v>
      </c>
      <c r="M381" s="1647"/>
      <c r="N381" s="1647" t="s">
        <v>1507</v>
      </c>
      <c r="O381" s="1647"/>
      <c r="P381" s="1647" t="s">
        <v>1630</v>
      </c>
      <c r="Q381" s="1647"/>
    </row>
    <row r="382" spans="1:17" ht="51">
      <c r="A382" s="1647"/>
      <c r="B382" s="1647" t="s">
        <v>1591</v>
      </c>
      <c r="C382" s="1647"/>
      <c r="D382" s="1647"/>
      <c r="E382" s="1647"/>
      <c r="F382" s="1647"/>
      <c r="G382" s="1647"/>
      <c r="H382" s="1703" t="str">
        <f>'Part III-Sources of Funds'!H20</f>
        <v>ORIX Real Estate Capital Private Plcmnt Bond</v>
      </c>
      <c r="I382" s="1703">
        <f>'Part III-Sources of Funds'!I20</f>
        <v>0</v>
      </c>
      <c r="J382" s="1703">
        <f>'Part III-Sources of Funds'!J20</f>
        <v>0</v>
      </c>
      <c r="K382" s="1703">
        <f>'Part III-Sources of Funds'!K20</f>
        <v>0</v>
      </c>
      <c r="L382" s="1729">
        <f>'Part III-Sources of Funds'!L20</f>
        <v>21630000</v>
      </c>
      <c r="M382" s="1729">
        <f>'Part III-Sources of Funds'!M20</f>
        <v>0</v>
      </c>
      <c r="N382" s="1712">
        <f>'Part III-Sources of Funds'!N20</f>
        <v>4.3499999999999997E-2</v>
      </c>
      <c r="O382" s="1712">
        <f>'Part III-Sources of Funds'!O20</f>
        <v>0</v>
      </c>
      <c r="P382" s="1784">
        <f>'Part III-Sources of Funds'!P20</f>
        <v>30</v>
      </c>
      <c r="Q382" s="1784">
        <f>'Part III-Sources of Funds'!Q20</f>
        <v>0</v>
      </c>
    </row>
    <row r="383" spans="1:17" ht="25.5">
      <c r="A383" s="1647"/>
      <c r="B383" s="1647" t="s">
        <v>1592</v>
      </c>
      <c r="C383" s="1647"/>
      <c r="D383" s="1647"/>
      <c r="E383" s="1647"/>
      <c r="F383" s="1647"/>
      <c r="G383" s="1647"/>
      <c r="H383" s="1703" t="str">
        <f>'Part III-Sources of Funds'!H21</f>
        <v>BeltLine TAD Cash Flow Loan</v>
      </c>
      <c r="I383" s="1703">
        <f>'Part III-Sources of Funds'!I21</f>
        <v>0</v>
      </c>
      <c r="J383" s="1703">
        <f>'Part III-Sources of Funds'!J21</f>
        <v>0</v>
      </c>
      <c r="K383" s="1703">
        <f>'Part III-Sources of Funds'!K21</f>
        <v>0</v>
      </c>
      <c r="L383" s="1729">
        <f>'Part III-Sources of Funds'!L21</f>
        <v>2000000</v>
      </c>
      <c r="M383" s="1729">
        <f>'Part III-Sources of Funds'!M21</f>
        <v>0</v>
      </c>
      <c r="N383" s="1712">
        <f>'Part III-Sources of Funds'!N21</f>
        <v>0</v>
      </c>
      <c r="O383" s="1712">
        <f>'Part III-Sources of Funds'!O21</f>
        <v>0</v>
      </c>
      <c r="P383" s="1784">
        <f>'Part III-Sources of Funds'!P21</f>
        <v>30</v>
      </c>
      <c r="Q383" s="1784">
        <f>'Part III-Sources of Funds'!Q21</f>
        <v>0</v>
      </c>
    </row>
    <row r="384" spans="1:17" ht="25.5">
      <c r="A384" s="1647"/>
      <c r="B384" s="1647" t="s">
        <v>1593</v>
      </c>
      <c r="C384" s="1647"/>
      <c r="D384" s="1647"/>
      <c r="E384" s="1647"/>
      <c r="F384" s="1647"/>
      <c r="G384" s="1647"/>
      <c r="H384" s="1703" t="str">
        <f>'Part III-Sources of Funds'!H22</f>
        <v>HomeFirst Cash Flow Loan</v>
      </c>
      <c r="I384" s="1703">
        <f>'Part III-Sources of Funds'!I22</f>
        <v>0</v>
      </c>
      <c r="J384" s="1703">
        <f>'Part III-Sources of Funds'!J22</f>
        <v>0</v>
      </c>
      <c r="K384" s="1703">
        <f>'Part III-Sources of Funds'!K22</f>
        <v>0</v>
      </c>
      <c r="L384" s="1729">
        <f>'Part III-Sources of Funds'!L22</f>
        <v>720000</v>
      </c>
      <c r="M384" s="1729">
        <f>'Part III-Sources of Funds'!M22</f>
        <v>0</v>
      </c>
      <c r="N384" s="1712">
        <f>'Part III-Sources of Funds'!N22</f>
        <v>0</v>
      </c>
      <c r="O384" s="1712">
        <f>'Part III-Sources of Funds'!O22</f>
        <v>0</v>
      </c>
      <c r="P384" s="1784">
        <f>'Part III-Sources of Funds'!P22</f>
        <v>30</v>
      </c>
      <c r="Q384" s="1784">
        <f>'Part III-Sources of Funds'!Q22</f>
        <v>0</v>
      </c>
    </row>
    <row r="385" spans="1:17">
      <c r="A385" s="1647"/>
      <c r="B385" s="1647" t="s">
        <v>2214</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5">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5">
      <c r="A387" s="1647"/>
      <c r="B387" s="1647" t="s">
        <v>641</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38.25">
      <c r="A388" s="1647"/>
      <c r="B388" s="1647" t="s">
        <v>802</v>
      </c>
      <c r="C388" s="1647"/>
      <c r="D388" s="1647"/>
      <c r="E388" s="1647"/>
      <c r="F388" s="1710"/>
      <c r="G388" s="1710"/>
      <c r="H388" s="1703" t="str">
        <f>'Part III-Sources of Funds'!H26</f>
        <v>SunTrust Community Capital</v>
      </c>
      <c r="I388" s="1703">
        <f>'Part III-Sources of Funds'!I26</f>
        <v>0</v>
      </c>
      <c r="J388" s="1703">
        <f>'Part III-Sources of Funds'!J26</f>
        <v>0</v>
      </c>
      <c r="K388" s="1703">
        <f>'Part III-Sources of Funds'!K26</f>
        <v>0</v>
      </c>
      <c r="L388" s="1729">
        <f>'Part III-Sources of Funds'!L26</f>
        <v>2912002.0552976797</v>
      </c>
      <c r="M388" s="1729">
        <f>'Part III-Sources of Funds'!M26</f>
        <v>0</v>
      </c>
      <c r="N388" s="1647"/>
      <c r="O388" s="1647"/>
      <c r="P388" s="1647"/>
      <c r="Q388" s="1647"/>
    </row>
    <row r="389" spans="1:17" ht="38.25">
      <c r="A389" s="1647"/>
      <c r="B389" s="1647" t="s">
        <v>803</v>
      </c>
      <c r="C389" s="1647"/>
      <c r="D389" s="1647"/>
      <c r="E389" s="1647"/>
      <c r="F389" s="1710"/>
      <c r="G389" s="1710"/>
      <c r="H389" s="1703" t="str">
        <f>'Part III-Sources of Funds'!H27</f>
        <v>SunTrust Community Capital</v>
      </c>
      <c r="I389" s="1703">
        <f>'Part III-Sources of Funds'!I27</f>
        <v>0</v>
      </c>
      <c r="J389" s="1703">
        <f>'Part III-Sources of Funds'!J27</f>
        <v>0</v>
      </c>
      <c r="K389" s="1703">
        <f>'Part III-Sources of Funds'!K27</f>
        <v>0</v>
      </c>
      <c r="L389" s="1729">
        <f>'Part III-Sources of Funds'!L27</f>
        <v>1911192.4680359059</v>
      </c>
      <c r="M389" s="1729">
        <f>'Part III-Sources of Funds'!M27</f>
        <v>0</v>
      </c>
      <c r="N389" s="1647"/>
      <c r="O389" s="1710"/>
      <c r="P389" s="1710"/>
      <c r="Q389" s="1647"/>
    </row>
    <row r="390" spans="1:17" ht="13.5">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5">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5">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5">
      <c r="A393" s="1647"/>
      <c r="B393" s="1648" t="s">
        <v>1298</v>
      </c>
      <c r="C393" s="1647"/>
      <c r="D393" s="1647"/>
      <c r="E393" s="1647"/>
      <c r="F393" s="1647"/>
      <c r="G393" s="1647"/>
      <c r="H393" s="1647"/>
      <c r="I393" s="1647"/>
      <c r="J393" s="1710"/>
      <c r="K393" s="1710"/>
      <c r="L393" s="1713">
        <f>SUM(L382:L392)</f>
        <v>29173194.523333587</v>
      </c>
      <c r="M393" s="1713"/>
      <c r="N393" s="1653"/>
      <c r="O393" s="1710"/>
      <c r="P393" s="1710"/>
      <c r="Q393" s="1710"/>
    </row>
    <row r="394" spans="1:17" ht="13.5">
      <c r="A394" s="1647"/>
      <c r="B394" s="1654" t="s">
        <v>1299</v>
      </c>
      <c r="C394" s="1647"/>
      <c r="D394" s="1647"/>
      <c r="E394" s="1647"/>
      <c r="F394" s="1647"/>
      <c r="G394" s="1647"/>
      <c r="H394" s="1647"/>
      <c r="I394" s="1647"/>
      <c r="J394" s="1710"/>
      <c r="K394" s="1710"/>
      <c r="L394" s="1713">
        <f>'Part III-Sources of Funds'!L32</f>
        <v>28844951.5</v>
      </c>
      <c r="M394" s="1713">
        <f>'Part III-Sources of Funds'!M32</f>
        <v>0</v>
      </c>
      <c r="N394" s="1658"/>
      <c r="O394" s="1710"/>
      <c r="P394" s="1710"/>
      <c r="Q394" s="1710"/>
    </row>
    <row r="395" spans="1:17" ht="13.5">
      <c r="A395" s="1647"/>
      <c r="B395" s="1654" t="s">
        <v>2156</v>
      </c>
      <c r="C395" s="1647"/>
      <c r="D395" s="1647"/>
      <c r="E395" s="1647"/>
      <c r="F395" s="1647"/>
      <c r="G395" s="1647"/>
      <c r="H395" s="1647"/>
      <c r="I395" s="1647"/>
      <c r="J395" s="1710"/>
      <c r="K395" s="1710"/>
      <c r="L395" s="1714">
        <f>L393-L394</f>
        <v>328243.02333358675</v>
      </c>
      <c r="M395" s="1714"/>
      <c r="N395" s="1658"/>
      <c r="O395" s="1710"/>
      <c r="P395" s="1710"/>
      <c r="Q395" s="1710"/>
    </row>
    <row r="396" spans="1:17" ht="13.5">
      <c r="A396" s="1679"/>
      <c r="B396" s="1648"/>
      <c r="C396" s="1653"/>
      <c r="D396" s="1653"/>
      <c r="E396" s="1653"/>
      <c r="F396" s="1653"/>
      <c r="G396" s="1653"/>
      <c r="H396" s="1653"/>
      <c r="I396" s="1653"/>
      <c r="J396" s="1653"/>
      <c r="K396" s="1653"/>
      <c r="L396" s="1653"/>
      <c r="M396" s="1651"/>
      <c r="N396" s="1651"/>
      <c r="O396" s="1715"/>
      <c r="P396" s="1715"/>
      <c r="Q396" s="1715"/>
    </row>
    <row r="397" spans="1:17" ht="13.5">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2098</v>
      </c>
      <c r="L398" s="1651" t="s">
        <v>1295</v>
      </c>
      <c r="M398" s="1651" t="s">
        <v>1300</v>
      </c>
      <c r="N398" s="1658" t="s">
        <v>34</v>
      </c>
      <c r="O398" s="1658"/>
      <c r="P398" s="1651"/>
      <c r="Q398" s="1628"/>
    </row>
    <row r="399" spans="1:17">
      <c r="A399" s="1647"/>
      <c r="B399" s="1654" t="s">
        <v>1870</v>
      </c>
      <c r="C399" s="1647"/>
      <c r="D399" s="1647"/>
      <c r="E399" s="1647" t="s">
        <v>1297</v>
      </c>
      <c r="F399" s="1647"/>
      <c r="G399" s="1647"/>
      <c r="H399" s="1647"/>
      <c r="I399" s="1647" t="s">
        <v>488</v>
      </c>
      <c r="J399" s="1647"/>
      <c r="K399" s="1651" t="s">
        <v>1806</v>
      </c>
      <c r="L399" s="1651" t="s">
        <v>2213</v>
      </c>
      <c r="M399" s="1651" t="s">
        <v>2213</v>
      </c>
      <c r="N399" s="1658"/>
      <c r="O399" s="1658"/>
      <c r="P399" s="1647" t="s">
        <v>74</v>
      </c>
      <c r="Q399" s="1647"/>
    </row>
    <row r="400" spans="1:17" ht="76.5">
      <c r="A400" s="1647"/>
      <c r="B400" s="1647" t="s">
        <v>2613</v>
      </c>
      <c r="C400" s="1647"/>
      <c r="D400" s="1647"/>
      <c r="E400" s="1703" t="str">
        <f>'Part III-Sources of Funds'!E38</f>
        <v>ORIX Real Estate Capital Private Plcmnt Bond</v>
      </c>
      <c r="F400" s="1703">
        <f>'Part III-Sources of Funds'!F38</f>
        <v>0</v>
      </c>
      <c r="G400" s="1703">
        <f>'Part III-Sources of Funds'!G38</f>
        <v>0</v>
      </c>
      <c r="H400" s="1703">
        <f>'Part III-Sources of Funds'!H38</f>
        <v>0</v>
      </c>
      <c r="I400" s="1779">
        <f>'Part III-Sources of Funds'!I38</f>
        <v>10392870</v>
      </c>
      <c r="J400" s="1647">
        <f>'Part III-Sources of Funds'!J38</f>
        <v>0</v>
      </c>
      <c r="K400" s="1716">
        <f>'Part III-Sources of Funds'!K38</f>
        <v>4.3499999999999997E-2</v>
      </c>
      <c r="L400" s="1651">
        <f>'Part III-Sources of Funds'!L38</f>
        <v>18</v>
      </c>
      <c r="M400" s="1651">
        <f>'Part III-Sources of Funds'!M38</f>
        <v>40</v>
      </c>
      <c r="N400" s="1717">
        <f>'Part III-Sources of Funds'!P38</f>
        <v>548701.65721672866</v>
      </c>
      <c r="O400" s="1717">
        <f>'Part III-Sources of Funds'!Q38</f>
        <v>0</v>
      </c>
      <c r="P400" s="1647" t="str">
        <f>'Part III-Sources of Funds'!N38</f>
        <v>Amortizing</v>
      </c>
      <c r="Q400" s="1647">
        <f>'Part III-Sources of Funds'!O38</f>
        <v>0</v>
      </c>
    </row>
    <row r="401" spans="1:17" ht="38.25">
      <c r="A401" s="1647"/>
      <c r="B401" s="1647" t="s">
        <v>2614</v>
      </c>
      <c r="C401" s="1647"/>
      <c r="D401" s="1647"/>
      <c r="E401" s="1703" t="str">
        <f>'Part III-Sources of Funds'!E39</f>
        <v>BeltLine TAD Cash Flow Loan</v>
      </c>
      <c r="F401" s="1703">
        <f>'Part III-Sources of Funds'!F39</f>
        <v>0</v>
      </c>
      <c r="G401" s="1703">
        <f>'Part III-Sources of Funds'!G39</f>
        <v>0</v>
      </c>
      <c r="H401" s="1703">
        <f>'Part III-Sources of Funds'!H39</f>
        <v>0</v>
      </c>
      <c r="I401" s="1779">
        <f>'Part III-Sources of Funds'!I39</f>
        <v>2000000</v>
      </c>
      <c r="J401" s="1647">
        <f>'Part III-Sources of Funds'!J39</f>
        <v>0</v>
      </c>
      <c r="K401" s="1716">
        <f>'Part III-Sources of Funds'!K39</f>
        <v>0.01</v>
      </c>
      <c r="L401" s="1651">
        <f>'Part III-Sources of Funds'!L39</f>
        <v>18</v>
      </c>
      <c r="M401" s="1651">
        <f>'Part III-Sources of Funds'!M39</f>
        <v>40</v>
      </c>
      <c r="N401" s="1717">
        <f>'Part III-Sources of Funds'!P39</f>
        <v>0</v>
      </c>
      <c r="O401" s="1717">
        <f>'Part III-Sources of Funds'!Q39</f>
        <v>0</v>
      </c>
      <c r="P401" s="1647" t="str">
        <f>'Part III-Sources of Funds'!N39</f>
        <v>Cash Flow</v>
      </c>
      <c r="Q401" s="1647">
        <f>'Part III-Sources of Funds'!O39</f>
        <v>0</v>
      </c>
    </row>
    <row r="402" spans="1:17" ht="38.25">
      <c r="A402" s="1647"/>
      <c r="B402" s="1647" t="s">
        <v>2615</v>
      </c>
      <c r="C402" s="1647"/>
      <c r="D402" s="1647"/>
      <c r="E402" s="1703" t="str">
        <f>'Part III-Sources of Funds'!E40</f>
        <v>HomeFirst Cash Flow Loan</v>
      </c>
      <c r="F402" s="1703">
        <f>'Part III-Sources of Funds'!F40</f>
        <v>0</v>
      </c>
      <c r="G402" s="1703">
        <f>'Part III-Sources of Funds'!G40</f>
        <v>0</v>
      </c>
      <c r="H402" s="1703">
        <f>'Part III-Sources of Funds'!H40</f>
        <v>0</v>
      </c>
      <c r="I402" s="1779">
        <f>'Part III-Sources of Funds'!I40</f>
        <v>720000</v>
      </c>
      <c r="J402" s="1647">
        <f>'Part III-Sources of Funds'!J40</f>
        <v>0</v>
      </c>
      <c r="K402" s="1716">
        <f>'Part III-Sources of Funds'!K40</f>
        <v>0</v>
      </c>
      <c r="L402" s="1651">
        <f>'Part III-Sources of Funds'!L40</f>
        <v>18</v>
      </c>
      <c r="M402" s="1651">
        <f>'Part III-Sources of Funds'!M40</f>
        <v>40</v>
      </c>
      <c r="N402" s="1717">
        <f>'Part III-Sources of Funds'!P40</f>
        <v>0</v>
      </c>
      <c r="O402" s="1717">
        <f>'Part III-Sources of Funds'!Q40</f>
        <v>0</v>
      </c>
      <c r="P402" s="1647" t="str">
        <f>'Part III-Sources of Funds'!N40</f>
        <v>Cash Flow</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2748</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38.25">
      <c r="A405" s="1647"/>
      <c r="B405" s="1647" t="s">
        <v>228</v>
      </c>
      <c r="C405" s="1647"/>
      <c r="D405" s="1718">
        <f>'Part III-Sources of Funds'!D43</f>
        <v>9.2766521612260691E-2</v>
      </c>
      <c r="E405" s="1703" t="str">
        <f>'Part III-Sources of Funds'!E43</f>
        <v>Prestwick Development Company</v>
      </c>
      <c r="F405" s="1703">
        <f>'Part III-Sources of Funds'!F43</f>
        <v>0</v>
      </c>
      <c r="G405" s="1703">
        <f>'Part III-Sources of Funds'!G43</f>
        <v>0</v>
      </c>
      <c r="H405" s="1703">
        <f>'Part III-Sources of Funds'!H43</f>
        <v>0</v>
      </c>
      <c r="I405" s="1779">
        <f>'Part III-Sources of Funds'!I43</f>
        <v>292478</v>
      </c>
      <c r="J405" s="1647">
        <f>'Part III-Sources of Funds'!J43</f>
        <v>0</v>
      </c>
      <c r="K405" s="1716">
        <f>'Part III-Sources of Funds'!K43</f>
        <v>0</v>
      </c>
      <c r="L405" s="1651">
        <f>'Part III-Sources of Funds'!L43</f>
        <v>0</v>
      </c>
      <c r="M405" s="1651">
        <f>'Part III-Sources of Funds'!M43</f>
        <v>0</v>
      </c>
      <c r="N405" s="1717" t="str">
        <f>'Part III-Sources of Funds'!P43</f>
        <v/>
      </c>
      <c r="O405" s="1717">
        <f>'Part III-Sources of Funds'!Q43</f>
        <v>0</v>
      </c>
      <c r="P405" s="1647">
        <f>'Part III-Sources of Funds'!N43</f>
        <v>0</v>
      </c>
      <c r="Q405" s="1647">
        <f>'Part III-Sources of Funds'!O43</f>
        <v>0</v>
      </c>
    </row>
    <row r="406" spans="1:17" ht="13.5">
      <c r="A406" s="1647"/>
      <c r="B406" s="1647"/>
      <c r="C406" s="1647"/>
      <c r="D406" s="1647"/>
      <c r="E406" s="1647"/>
      <c r="F406" s="1647"/>
      <c r="G406" s="1647"/>
      <c r="H406" s="1647"/>
      <c r="I406" s="2133"/>
      <c r="J406" s="1727"/>
      <c r="K406" s="1716"/>
      <c r="L406" s="1651"/>
      <c r="M406" s="1651"/>
      <c r="N406" s="2134"/>
      <c r="O406" s="2134"/>
      <c r="P406" s="1651"/>
      <c r="Q406" s="1651"/>
    </row>
    <row r="407" spans="1:17" ht="13.5">
      <c r="A407" s="1647"/>
      <c r="B407" s="1710" t="s">
        <v>4183</v>
      </c>
      <c r="C407" s="1647"/>
      <c r="D407" s="1710"/>
      <c r="E407" s="1710" t="s">
        <v>4085</v>
      </c>
      <c r="F407" s="1719" t="e">
        <f>'Part III-Sources of Funds'!F45</f>
        <v>#N/A</v>
      </c>
      <c r="G407" s="1710"/>
      <c r="H407" s="1711" t="s">
        <v>4182</v>
      </c>
      <c r="I407" s="1719" t="e">
        <f>'Part III-Sources of Funds'!I45</f>
        <v>#N/A</v>
      </c>
      <c r="J407" s="1710"/>
      <c r="K407" s="1716"/>
      <c r="L407" s="1651"/>
      <c r="M407" s="1651"/>
      <c r="N407" s="2134"/>
      <c r="O407" s="2134"/>
      <c r="P407" s="1651"/>
      <c r="Q407" s="1651"/>
    </row>
    <row r="408" spans="1:17" ht="13.5">
      <c r="A408" s="1647"/>
      <c r="B408" s="1710" t="s">
        <v>4503</v>
      </c>
      <c r="C408" s="1647"/>
      <c r="D408" s="1718"/>
      <c r="E408" s="1710"/>
      <c r="F408" s="1720" t="e">
        <f>'Part III-Sources of Funds'!#REF!</f>
        <v>#REF!</v>
      </c>
      <c r="G408" s="1720" t="e">
        <f>'Part III-Sources of Funds'!#REF!</f>
        <v>#REF!</v>
      </c>
      <c r="H408" s="1711" t="s">
        <v>4184</v>
      </c>
      <c r="I408" s="1720" t="e">
        <f>'Part III-Sources of Funds'!L45</f>
        <v>#N/A</v>
      </c>
      <c r="J408" s="1720">
        <f>'Part III-Sources of Funds'!M45</f>
        <v>0</v>
      </c>
      <c r="K408" s="1716"/>
      <c r="L408" s="1651"/>
      <c r="M408" s="1651"/>
      <c r="N408" s="2134"/>
      <c r="O408" s="2134"/>
      <c r="P408" s="1651"/>
      <c r="Q408" s="1651"/>
    </row>
    <row r="409" spans="1:17" ht="13.5">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2214</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5">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38.25">
      <c r="A412" s="1647"/>
      <c r="B412" s="1647" t="s">
        <v>802</v>
      </c>
      <c r="C412" s="1647"/>
      <c r="D412" s="1647"/>
      <c r="E412" s="1703" t="str">
        <f>'Part III-Sources of Funds'!E49</f>
        <v>SunTrust Community Capital</v>
      </c>
      <c r="F412" s="1703">
        <f>'Part III-Sources of Funds'!F49</f>
        <v>0</v>
      </c>
      <c r="G412" s="1703">
        <f>'Part III-Sources of Funds'!G49</f>
        <v>0</v>
      </c>
      <c r="H412" s="1703">
        <f>'Part III-Sources of Funds'!H49</f>
        <v>0</v>
      </c>
      <c r="I412" s="1779">
        <f>'Part III-Sources of Funds'!I49</f>
        <v>11648008.221190719</v>
      </c>
      <c r="J412" s="1647">
        <f>'Part III-Sources of Funds'!J49</f>
        <v>0</v>
      </c>
      <c r="K412" s="1710"/>
      <c r="L412" s="1723">
        <f>'Part IV-A-Uses of Funds'!$J$175*10*'Part IV-A-Uses of Funds'!$N$168</f>
        <v>11649168</v>
      </c>
      <c r="M412" s="1723"/>
      <c r="N412" s="1724">
        <f>I412-L412</f>
        <v>-1159.7788092810661</v>
      </c>
      <c r="O412" s="1724"/>
      <c r="P412" s="1725" t="s">
        <v>2559</v>
      </c>
      <c r="Q412" s="1647"/>
    </row>
    <row r="413" spans="1:17" ht="38.25">
      <c r="A413" s="1647"/>
      <c r="B413" s="1647" t="s">
        <v>803</v>
      </c>
      <c r="C413" s="1647"/>
      <c r="D413" s="1647"/>
      <c r="E413" s="1703" t="str">
        <f>'Part III-Sources of Funds'!E50</f>
        <v>SunTrust Community Capital</v>
      </c>
      <c r="F413" s="1703">
        <f>'Part III-Sources of Funds'!F50</f>
        <v>0</v>
      </c>
      <c r="G413" s="1703">
        <f>'Part III-Sources of Funds'!G50</f>
        <v>0</v>
      </c>
      <c r="H413" s="1703">
        <f>'Part III-Sources of Funds'!H50</f>
        <v>0</v>
      </c>
      <c r="I413" s="1779">
        <f>'Part III-Sources of Funds'!I50</f>
        <v>7644769.8721436234</v>
      </c>
      <c r="J413" s="1647">
        <f>'Part III-Sources of Funds'!J50</f>
        <v>0</v>
      </c>
      <c r="K413" s="1710"/>
      <c r="L413" s="1723">
        <f>'Part IV-A-Uses of Funds'!$J$175*10*'Part IV-A-Uses of Funds'!$Q$168</f>
        <v>7644766.5</v>
      </c>
      <c r="M413" s="1723"/>
      <c r="N413" s="1724">
        <f>I413-L413</f>
        <v>3.372143623419106</v>
      </c>
      <c r="O413" s="1724"/>
      <c r="P413" s="1726">
        <f>I412/I422</f>
        <v>0.35622861209466294</v>
      </c>
      <c r="Q413" s="1647"/>
    </row>
    <row r="414" spans="1:17" ht="13.5">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0.23379840652777534</v>
      </c>
      <c r="Q414" s="1647"/>
    </row>
    <row r="415" spans="1:17" ht="13.5">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0.59002701862243834</v>
      </c>
      <c r="Q415" s="1647"/>
    </row>
    <row r="416" spans="1:17" ht="13.5">
      <c r="A416" s="1647"/>
      <c r="B416" s="1647" t="s">
        <v>1868</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5">
      <c r="A417" s="1647"/>
      <c r="B417" s="1647" t="s">
        <v>1869</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13.5">
      <c r="A418" s="1647"/>
      <c r="B418" s="1647" t="s">
        <v>741</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5">
      <c r="A421" s="1647"/>
      <c r="B421" s="1654" t="s">
        <v>2215</v>
      </c>
      <c r="C421" s="1647"/>
      <c r="D421" s="1647"/>
      <c r="E421" s="1647"/>
      <c r="F421" s="1647"/>
      <c r="G421" s="1647"/>
      <c r="H421" s="1710"/>
      <c r="I421" s="1713">
        <f>SUM(I400:J405)+SUM(I410:J420)</f>
        <v>32698126.093334343</v>
      </c>
      <c r="J421" s="1713"/>
      <c r="K421" s="1647"/>
      <c r="L421" s="1651"/>
      <c r="M421" s="1703"/>
      <c r="N421" s="1703"/>
      <c r="O421" s="1703"/>
      <c r="P421" s="1703"/>
      <c r="Q421" s="1647"/>
    </row>
    <row r="422" spans="1:17" ht="13.5">
      <c r="A422" s="1647"/>
      <c r="B422" s="1654" t="s">
        <v>2216</v>
      </c>
      <c r="C422" s="1647"/>
      <c r="D422" s="1647"/>
      <c r="E422" s="1647"/>
      <c r="F422" s="1647"/>
      <c r="G422" s="1647"/>
      <c r="H422" s="1710"/>
      <c r="I422" s="1713">
        <f>'Part IV-A-Uses of Funds'!$G$132</f>
        <v>32698126.5</v>
      </c>
      <c r="J422" s="1713"/>
      <c r="K422" s="1647"/>
      <c r="L422" s="1651"/>
      <c r="M422" s="1703"/>
      <c r="N422" s="1703"/>
      <c r="O422" s="1703"/>
      <c r="P422" s="1703"/>
      <c r="Q422" s="1647"/>
    </row>
    <row r="423" spans="1:17" ht="13.5">
      <c r="A423" s="1647"/>
      <c r="B423" s="1654" t="s">
        <v>1525</v>
      </c>
      <c r="C423" s="1647"/>
      <c r="D423" s="1647"/>
      <c r="E423" s="1647"/>
      <c r="F423" s="1647"/>
      <c r="G423" s="1647"/>
      <c r="H423" s="1710"/>
      <c r="I423" s="1714">
        <f>I421-I422</f>
        <v>-0.40666565671563148</v>
      </c>
      <c r="J423" s="1714"/>
      <c r="K423" s="1647"/>
      <c r="L423" s="1651"/>
      <c r="M423" s="1703"/>
      <c r="N423" s="1703"/>
      <c r="O423" s="1703"/>
      <c r="P423" s="1703"/>
      <c r="Q423" s="1647"/>
    </row>
    <row r="424" spans="1:17">
      <c r="A424" s="1647" t="s">
        <v>3467</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ht="13.5">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t="str">
        <f>'Part III-Sources of Funds'!A64</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2019-5 55 Milton,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55 Milton,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6.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2682</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1999</v>
      </c>
      <c r="C444" s="1647"/>
      <c r="D444" s="1647"/>
      <c r="E444" s="1647"/>
      <c r="F444" s="1647"/>
      <c r="G444" s="1729">
        <f>'Part IV-A-Uses of Funds'!G8</f>
        <v>22000</v>
      </c>
      <c r="H444" s="1729">
        <f>'Part IV-A-Uses of Funds'!H8</f>
        <v>0</v>
      </c>
      <c r="I444" s="1647"/>
      <c r="J444" s="1729">
        <f>'Part IV-A-Uses of Funds'!J8</f>
        <v>22000</v>
      </c>
      <c r="K444" s="1729">
        <f>'Part IV-A-Uses of Funds'!K8</f>
        <v>0</v>
      </c>
      <c r="L444" s="1664"/>
      <c r="M444" s="1729">
        <f>'Part IV-A-Uses of Funds'!M8</f>
        <v>0</v>
      </c>
      <c r="N444" s="1729">
        <f>'Part IV-A-Uses of Funds'!N8</f>
        <v>0</v>
      </c>
      <c r="O444" s="1647"/>
      <c r="P444" s="1729">
        <f>'Part IV-A-Uses of Funds'!P8</f>
        <v>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13000</v>
      </c>
      <c r="H445" s="1729">
        <f>'Part IV-A-Uses of Funds'!H9</f>
        <v>0</v>
      </c>
      <c r="I445" s="1647"/>
      <c r="J445" s="1729">
        <f>'Part IV-A-Uses of Funds'!J9</f>
        <v>13000</v>
      </c>
      <c r="K445" s="1729">
        <f>'Part IV-A-Uses of Funds'!K9</f>
        <v>0</v>
      </c>
      <c r="L445" s="1664"/>
      <c r="M445" s="1729">
        <f>'Part IV-A-Uses of Funds'!M9</f>
        <v>0</v>
      </c>
      <c r="N445" s="1729">
        <f>'Part IV-A-Uses of Funds'!N9</f>
        <v>0</v>
      </c>
      <c r="O445" s="1647"/>
      <c r="P445" s="1729">
        <f>'Part IV-A-Uses of Funds'!P9</f>
        <v>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87100</v>
      </c>
      <c r="H446" s="1729">
        <f>'Part IV-A-Uses of Funds'!H10</f>
        <v>0</v>
      </c>
      <c r="I446" s="1647"/>
      <c r="J446" s="1729">
        <f>'Part IV-A-Uses of Funds'!J10</f>
        <v>87100</v>
      </c>
      <c r="K446" s="1729">
        <f>'Part IV-A-Uses of Funds'!K10</f>
        <v>0</v>
      </c>
      <c r="L446" s="1664"/>
      <c r="M446" s="1729">
        <f>'Part IV-A-Uses of Funds'!M10</f>
        <v>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16200</v>
      </c>
      <c r="H447" s="1729">
        <f>'Part IV-A-Uses of Funds'!H11</f>
        <v>0</v>
      </c>
      <c r="I447" s="1647"/>
      <c r="J447" s="1729">
        <f>'Part IV-A-Uses of Funds'!J11</f>
        <v>16200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2499</v>
      </c>
      <c r="C448" s="1647"/>
      <c r="D448" s="1647"/>
      <c r="E448" s="1647"/>
      <c r="F448" s="1647"/>
      <c r="G448" s="1729">
        <f>'Part IV-A-Uses of Funds'!G12</f>
        <v>7000</v>
      </c>
      <c r="H448" s="1729">
        <f>'Part IV-A-Uses of Funds'!H12</f>
        <v>0</v>
      </c>
      <c r="I448" s="1647"/>
      <c r="J448" s="1729">
        <f>'Part IV-A-Uses of Funds'!J12</f>
        <v>7000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&lt;&lt; Enter description here; provide detail &amp; justification in tab Part IV-b &gt;&gt;</v>
      </c>
      <c r="D450" s="1659">
        <f>'Part IV-A-Uses of Funds'!D14</f>
        <v>0</v>
      </c>
      <c r="E450" s="1659">
        <f>'Part IV-A-Uses of Funds'!E14</f>
        <v>0</v>
      </c>
      <c r="F450" s="1659">
        <f>'Part IV-A-Uses of Funds'!F14</f>
        <v>0</v>
      </c>
      <c r="G450" s="1729">
        <f>'Part IV-A-Uses of Funds'!G14</f>
        <v>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145300</v>
      </c>
      <c r="H453" s="1729"/>
      <c r="I453" s="1647"/>
      <c r="J453" s="1729">
        <f>SUM(J444:K452)</f>
        <v>145300</v>
      </c>
      <c r="K453" s="1665"/>
      <c r="L453" s="1664"/>
      <c r="M453" s="1729">
        <f>SUM(M444:N452)</f>
        <v>0</v>
      </c>
      <c r="N453" s="1729"/>
      <c r="O453" s="1647"/>
      <c r="P453" s="1729">
        <f>SUM(P444:Q452)</f>
        <v>0</v>
      </c>
      <c r="Q453" s="1729"/>
      <c r="R453" s="1647"/>
      <c r="S453" s="1729">
        <f>SUM(S444:T452)</f>
        <v>0</v>
      </c>
      <c r="T453" s="1729"/>
      <c r="U453" s="1647"/>
      <c r="V453" s="1735">
        <f>SUM(V444:V452)</f>
        <v>0</v>
      </c>
      <c r="W453" s="1485"/>
      <c r="X453" s="1485"/>
    </row>
    <row r="454" spans="1:24">
      <c r="A454" s="1647"/>
      <c r="B454" s="1628" t="s">
        <v>2196</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2197</v>
      </c>
      <c r="C455" s="1647"/>
      <c r="D455" s="1647"/>
      <c r="E455" s="1647"/>
      <c r="F455" s="1647"/>
      <c r="G455" s="1729">
        <f>'Part IV-A-Uses of Funds'!G19</f>
        <v>1000000</v>
      </c>
      <c r="H455" s="1729">
        <f>'Part IV-A-Uses of Funds'!H19</f>
        <v>0</v>
      </c>
      <c r="I455" s="1647"/>
      <c r="J455" s="1664"/>
      <c r="K455" s="1729"/>
      <c r="L455" s="1664"/>
      <c r="M455" s="1664"/>
      <c r="N455" s="1729"/>
      <c r="O455" s="1647"/>
      <c r="P455" s="1664"/>
      <c r="Q455" s="1729"/>
      <c r="R455" s="1647"/>
      <c r="S455" s="1729">
        <f>'Part IV-A-Uses of Funds'!S19</f>
        <v>1000000</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200000</v>
      </c>
      <c r="H456" s="1729">
        <f>'Part IV-A-Uses of Funds'!H20</f>
        <v>0</v>
      </c>
      <c r="I456" s="1647"/>
      <c r="J456" s="1664"/>
      <c r="K456" s="1729"/>
      <c r="L456" s="1664"/>
      <c r="M456" s="1664"/>
      <c r="N456" s="1729"/>
      <c r="O456" s="1647"/>
      <c r="P456" s="1664"/>
      <c r="Q456" s="1729"/>
      <c r="R456" s="1647"/>
      <c r="S456" s="1729">
        <f>'Part IV-A-Uses of Funds'!S20</f>
        <v>200000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1200000</v>
      </c>
      <c r="H459" s="1729"/>
      <c r="I459" s="1647"/>
      <c r="J459" s="1664"/>
      <c r="K459" s="1729"/>
      <c r="L459" s="1664"/>
      <c r="M459" s="1729">
        <f>SUM(M457:N458)</f>
        <v>0</v>
      </c>
      <c r="N459" s="1729"/>
      <c r="O459" s="1647"/>
      <c r="P459" s="1664"/>
      <c r="Q459" s="1729"/>
      <c r="R459" s="1647"/>
      <c r="S459" s="1729">
        <f>SUM(S455:T458)</f>
        <v>1200000</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3726</v>
      </c>
      <c r="F461" s="1736">
        <f>IF('Part I-Project Information'!$O$37="","",G461/'Part I-Project Information'!$O$37)</f>
        <v>29154.518950437316</v>
      </c>
      <c r="G461" s="1729">
        <f>'Part IV-A-Uses of Funds'!G25</f>
        <v>100000</v>
      </c>
      <c r="H461" s="1729">
        <f>'Part IV-A-Uses of Funds'!H25</f>
        <v>0</v>
      </c>
      <c r="I461" s="1647"/>
      <c r="J461" s="1729">
        <f>'Part IV-A-Uses of Funds'!J25</f>
        <v>50000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50000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100000</v>
      </c>
      <c r="H463" s="1729"/>
      <c r="I463" s="1647"/>
      <c r="J463" s="1729">
        <f>SUM(J461:K462)</f>
        <v>50000</v>
      </c>
      <c r="K463" s="1729"/>
      <c r="L463" s="1664"/>
      <c r="M463" s="1729">
        <f>M461</f>
        <v>0</v>
      </c>
      <c r="N463" s="1729"/>
      <c r="O463" s="1647"/>
      <c r="P463" s="1729">
        <f>P461</f>
        <v>0</v>
      </c>
      <c r="Q463" s="1729"/>
      <c r="R463" s="1647"/>
      <c r="S463" s="1729">
        <f>SUM(S461:T462)</f>
        <v>50000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19843628</v>
      </c>
      <c r="H465" s="1729">
        <f>'Part IV-A-Uses of Funds'!H29</f>
        <v>0</v>
      </c>
      <c r="I465" s="1647"/>
      <c r="J465" s="1729">
        <f>'Part IV-A-Uses of Funds'!J29</f>
        <v>19828628</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15000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2779</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2778</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19843628</v>
      </c>
      <c r="H469" s="1729"/>
      <c r="I469" s="1647"/>
      <c r="J469" s="1729">
        <f>SUM(J465:K468)</f>
        <v>19828628</v>
      </c>
      <c r="K469" s="1729"/>
      <c r="L469" s="1664"/>
      <c r="M469" s="1729">
        <f>SUM(M465:N468)</f>
        <v>0</v>
      </c>
      <c r="N469" s="1729"/>
      <c r="O469" s="1647"/>
      <c r="P469" s="1729">
        <f>SUM(P465:Q468)</f>
        <v>0</v>
      </c>
      <c r="Q469" s="1729"/>
      <c r="R469" s="1647"/>
      <c r="S469" s="1729">
        <f>SUM(S465:T468)</f>
        <v>15000</v>
      </c>
      <c r="T469" s="1729"/>
      <c r="U469" s="1647"/>
      <c r="V469" s="1735">
        <f>SUM(V465:V468)</f>
        <v>0</v>
      </c>
      <c r="W469" s="1485"/>
      <c r="X469" s="1485"/>
    </row>
    <row r="470" spans="1:24" ht="13.5">
      <c r="A470" s="1647"/>
      <c r="B470" s="1628" t="s">
        <v>2342</v>
      </c>
      <c r="C470" s="1647"/>
      <c r="D470" s="1698" t="s">
        <v>3730</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5">
      <c r="A471" s="1647"/>
      <c r="B471" s="1647" t="s">
        <v>2343</v>
      </c>
      <c r="C471" s="1647"/>
      <c r="D471" s="1742">
        <f>'DCA Underwriting Assumptions'!$R$73</f>
        <v>0.06</v>
      </c>
      <c r="E471" s="1743">
        <f>D471*(G463+G469)</f>
        <v>1196617.68</v>
      </c>
      <c r="F471" s="1742" t="e">
        <f>IF(($G$27+$G$33)=0,0,G471/($G$27+$G$33))</f>
        <v>#VALUE!</v>
      </c>
      <c r="G471" s="1729">
        <f>'Part IV-A-Uses of Funds'!G35</f>
        <v>1196617.5</v>
      </c>
      <c r="H471" s="1729">
        <f>'Part IV-A-Uses of Funds'!H35</f>
        <v>0</v>
      </c>
      <c r="I471" s="1653"/>
      <c r="J471" s="1729">
        <f>'Part IV-A-Uses of Funds'!J35</f>
        <v>1196617.5</v>
      </c>
      <c r="K471" s="1729">
        <f>'Part IV-A-Uses of Funds'!K35</f>
        <v>0</v>
      </c>
      <c r="L471" s="1664"/>
      <c r="M471" s="1729">
        <f>'Part IV-A-Uses of Funds'!M35</f>
        <v>0</v>
      </c>
      <c r="N471" s="1729">
        <f>'Part IV-A-Uses of Funds'!N35</f>
        <v>0</v>
      </c>
      <c r="O471" s="1647"/>
      <c r="P471" s="1729">
        <f>'Part IV-A-Uses of Funds'!P35</f>
        <v>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5">
      <c r="A472" s="1647"/>
      <c r="B472" s="1647" t="s">
        <v>2735</v>
      </c>
      <c r="C472" s="1647"/>
      <c r="D472" s="1742">
        <f>'DCA Underwriting Assumptions'!$R$74</f>
        <v>0.02</v>
      </c>
      <c r="E472" s="1743">
        <f>D472*(G463+G469)</f>
        <v>398872.56</v>
      </c>
      <c r="F472" s="1742" t="e">
        <f>IF(($G$27+$G$33)=0,0,G472/($G$27+$G$33))</f>
        <v>#VALUE!</v>
      </c>
      <c r="G472" s="1729">
        <f>'Part IV-A-Uses of Funds'!G36</f>
        <v>398872.5</v>
      </c>
      <c r="H472" s="1729">
        <f>'Part IV-A-Uses of Funds'!H36</f>
        <v>0</v>
      </c>
      <c r="I472" s="1653"/>
      <c r="J472" s="1729">
        <f>'Part IV-A-Uses of Funds'!J36</f>
        <v>398872.5</v>
      </c>
      <c r="K472" s="1729">
        <f>'Part IV-A-Uses of Funds'!K36</f>
        <v>0</v>
      </c>
      <c r="L472" s="1664"/>
      <c r="M472" s="1729">
        <f>'Part IV-A-Uses of Funds'!M36</f>
        <v>0</v>
      </c>
      <c r="N472" s="1729">
        <f>'Part IV-A-Uses of Funds'!N36</f>
        <v>0</v>
      </c>
      <c r="O472" s="1647"/>
      <c r="P472" s="1729">
        <f>'Part IV-A-Uses of Funds'!P36</f>
        <v>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5">
      <c r="A473" s="1647"/>
      <c r="B473" s="1647" t="s">
        <v>2736</v>
      </c>
      <c r="C473" s="1647"/>
      <c r="D473" s="1742">
        <f>'DCA Underwriting Assumptions'!$R$75</f>
        <v>0.06</v>
      </c>
      <c r="E473" s="1743">
        <f>D473*(G463+G469)</f>
        <v>1196617.68</v>
      </c>
      <c r="F473" s="1742" t="e">
        <f>IF(($G$27+$G$33)=0,0,G473/($G$27+$G$33))</f>
        <v>#VALUE!</v>
      </c>
      <c r="G473" s="1729">
        <f>'Part IV-A-Uses of Funds'!G37</f>
        <v>1196617.5</v>
      </c>
      <c r="H473" s="1729">
        <f>'Part IV-A-Uses of Funds'!H37</f>
        <v>0</v>
      </c>
      <c r="I473" s="1653"/>
      <c r="J473" s="1729">
        <f>'Part IV-A-Uses of Funds'!J37</f>
        <v>1196617.5</v>
      </c>
      <c r="K473" s="1729">
        <f>'Part IV-A-Uses of Funds'!K37</f>
        <v>0</v>
      </c>
      <c r="L473" s="1664"/>
      <c r="M473" s="1729">
        <f>'Part IV-A-Uses of Funds'!M37</f>
        <v>0</v>
      </c>
      <c r="N473" s="1729">
        <f>'Part IV-A-Uses of Funds'!N37</f>
        <v>0</v>
      </c>
      <c r="O473" s="1647"/>
      <c r="P473" s="1729">
        <f>'Part IV-A-Uses of Funds'!P37</f>
        <v>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5">
      <c r="A474" s="1647"/>
      <c r="B474" s="1652" t="s">
        <v>3731</v>
      </c>
      <c r="C474" s="1647"/>
      <c r="D474" s="1740">
        <f>SUM(D471:D473)</f>
        <v>0.14000000000000001</v>
      </c>
      <c r="E474" s="1744">
        <f>SUM(E471:E473)</f>
        <v>2792107.92</v>
      </c>
      <c r="F474" s="1733" t="s">
        <v>191</v>
      </c>
      <c r="G474" s="1729">
        <f>SUM(G471:H473)</f>
        <v>2792107.5</v>
      </c>
      <c r="H474" s="1729"/>
      <c r="I474" s="1647"/>
      <c r="J474" s="1729">
        <f>SUM(J471:K473)</f>
        <v>2792107.5</v>
      </c>
      <c r="K474" s="1729"/>
      <c r="L474" s="1664"/>
      <c r="M474" s="1729">
        <f>SUM(M471:N473)</f>
        <v>0</v>
      </c>
      <c r="N474" s="1729"/>
      <c r="O474" s="1647"/>
      <c r="P474" s="1729">
        <f>SUM(P471:Q473)</f>
        <v>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4504</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4505</v>
      </c>
      <c r="C479" s="1746"/>
      <c r="D479" s="1647"/>
      <c r="E479" s="1646" t="s">
        <v>2743</v>
      </c>
      <c r="F479" s="1747">
        <f>B480/'Part VI-Revenues &amp; Expenses'!$O$65</f>
        <v>145741.89423076922</v>
      </c>
      <c r="G479" s="1748" t="s">
        <v>4506</v>
      </c>
      <c r="H479" s="1647"/>
      <c r="I479" s="1647"/>
      <c r="J479" s="1749">
        <f>B480/'Part VI-Revenues &amp; Expenses'!$O$67</f>
        <v>145741.89423076922</v>
      </c>
      <c r="K479" s="1749"/>
      <c r="L479" s="1647"/>
      <c r="M479" s="1750" t="s">
        <v>1402</v>
      </c>
      <c r="N479" s="1750"/>
      <c r="O479" s="1647"/>
      <c r="P479" s="1749">
        <f>B480/'Part I-Project Information'!$P$75</f>
        <v>160.76519565555571</v>
      </c>
      <c r="Q479" s="1749"/>
      <c r="R479" s="1647"/>
      <c r="S479" s="1671" t="s">
        <v>2777</v>
      </c>
      <c r="T479" s="1671"/>
      <c r="U479" s="1647"/>
      <c r="V479" s="1735"/>
      <c r="W479" s="1485">
        <f>'Part IV-A-Uses of Funds'!W43</f>
        <v>0</v>
      </c>
      <c r="X479" s="1485">
        <f>'Part IV-A-Uses of Funds'!X43</f>
        <v>0</v>
      </c>
    </row>
    <row r="480" spans="1:24">
      <c r="A480" s="1647"/>
      <c r="B480" s="1751">
        <f>G463+G469+G474+G477</f>
        <v>22735735.5</v>
      </c>
      <c r="C480" s="1751"/>
      <c r="D480" s="1647"/>
      <c r="E480" s="1646"/>
      <c r="F480" s="1747">
        <f>B480/'Part VI-Revenues &amp; Expenses'!$O$154</f>
        <v>167.88804994757129</v>
      </c>
      <c r="G480" s="1671" t="s">
        <v>4507</v>
      </c>
      <c r="H480" s="1647"/>
      <c r="I480" s="1647"/>
      <c r="J480" s="1749">
        <f>B480/'Part VI-Revenues &amp; Expenses'!$O$156</f>
        <v>167.88804994757129</v>
      </c>
      <c r="K480" s="1749"/>
      <c r="L480" s="1647"/>
      <c r="M480" s="1671" t="s">
        <v>2776</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4188</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5">
      <c r="A483" s="1653"/>
      <c r="B483" s="1647" t="s">
        <v>1960</v>
      </c>
      <c r="C483" s="1653"/>
      <c r="D483" s="1753" t="s">
        <v>4187</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1136786.7750000001</v>
      </c>
      <c r="F483" s="1755">
        <f>G483/B480</f>
        <v>5.0000009896314986E-2</v>
      </c>
      <c r="G483" s="1729">
        <f>'Part IV-A-Uses of Funds'!G47</f>
        <v>1136787</v>
      </c>
      <c r="H483" s="1729">
        <f>'Part IV-A-Uses of Funds'!H47</f>
        <v>0</v>
      </c>
      <c r="I483" s="1647"/>
      <c r="J483" s="1729">
        <f>'Part IV-A-Uses of Funds'!J47</f>
        <v>1136787</v>
      </c>
      <c r="K483" s="1729">
        <f>'Part IV-A-Uses of Funds'!K47</f>
        <v>0</v>
      </c>
      <c r="L483" s="1664"/>
      <c r="M483" s="1729">
        <f>'Part IV-A-Uses of Funds'!M47</f>
        <v>0</v>
      </c>
      <c r="N483" s="1729">
        <f>'Part IV-A-Uses of Funds'!N47</f>
        <v>0</v>
      </c>
      <c r="O483" s="1647"/>
      <c r="P483" s="1729">
        <f>'Part IV-A-Uses of Funds'!P47</f>
        <v>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4508</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2682</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3732</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3733</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2345</v>
      </c>
      <c r="C490" s="1647"/>
      <c r="D490" s="1647"/>
      <c r="E490" s="1647"/>
      <c r="F490" s="1647"/>
      <c r="G490" s="1729">
        <f>'Part IV-A-Uses of Funds'!G54</f>
        <v>0</v>
      </c>
      <c r="H490" s="1729">
        <f>'Part IV-A-Uses of Funds'!H54</f>
        <v>0</v>
      </c>
      <c r="I490" s="1647"/>
      <c r="J490" s="1729">
        <f>'Part IV-A-Uses of Funds'!J54</f>
        <v>0</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0</v>
      </c>
      <c r="T490" s="1729">
        <f>'Part IV-A-Uses of Funds'!T54</f>
        <v>0</v>
      </c>
      <c r="U490" s="1647"/>
      <c r="V490" s="1735"/>
      <c r="W490" s="1485"/>
      <c r="X490" s="1485"/>
    </row>
    <row r="491" spans="1:24">
      <c r="A491" s="1647"/>
      <c r="B491" s="1647" t="s">
        <v>2346</v>
      </c>
      <c r="C491" s="1647"/>
      <c r="D491" s="1647"/>
      <c r="E491" s="1647"/>
      <c r="F491" s="1647"/>
      <c r="G491" s="1729">
        <f>'Part IV-A-Uses of Funds'!G55</f>
        <v>908171</v>
      </c>
      <c r="H491" s="1729">
        <f>'Part IV-A-Uses of Funds'!H55</f>
        <v>0</v>
      </c>
      <c r="I491" s="1647"/>
      <c r="J491" s="1729">
        <f>'Part IV-A-Uses of Funds'!J55</f>
        <v>726537</v>
      </c>
      <c r="K491" s="1729">
        <f>'Part IV-A-Uses of Funds'!K55</f>
        <v>0</v>
      </c>
      <c r="L491" s="1664"/>
      <c r="M491" s="1729">
        <f>'Part IV-A-Uses of Funds'!M55</f>
        <v>0</v>
      </c>
      <c r="N491" s="1729">
        <f>'Part IV-A-Uses of Funds'!N55</f>
        <v>0</v>
      </c>
      <c r="O491" s="1647"/>
      <c r="P491" s="1729">
        <f>'Part IV-A-Uses of Funds'!P55</f>
        <v>0</v>
      </c>
      <c r="Q491" s="1729">
        <f>'Part IV-A-Uses of Funds'!Q55</f>
        <v>0</v>
      </c>
      <c r="R491" s="1647"/>
      <c r="S491" s="1729">
        <f>'Part IV-A-Uses of Funds'!S55</f>
        <v>181634</v>
      </c>
      <c r="T491" s="1729">
        <f>'Part IV-A-Uses of Funds'!T55</f>
        <v>0</v>
      </c>
      <c r="U491" s="1647"/>
      <c r="V491" s="1735"/>
      <c r="W491" s="1485"/>
      <c r="X491" s="1485"/>
    </row>
    <row r="492" spans="1:24">
      <c r="A492" s="1647"/>
      <c r="B492" s="1647" t="s">
        <v>2347</v>
      </c>
      <c r="C492" s="1647"/>
      <c r="D492" s="1647"/>
      <c r="E492" s="1647"/>
      <c r="F492" s="1647"/>
      <c r="G492" s="1729">
        <f>'Part IV-A-Uses of Funds'!G56</f>
        <v>0</v>
      </c>
      <c r="H492" s="1729">
        <f>'Part IV-A-Uses of Funds'!H56</f>
        <v>0</v>
      </c>
      <c r="I492" s="1647"/>
      <c r="J492" s="1729">
        <f>'Part IV-A-Uses of Funds'!J56</f>
        <v>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0</v>
      </c>
      <c r="T492" s="1729">
        <f>'Part IV-A-Uses of Funds'!T56</f>
        <v>0</v>
      </c>
      <c r="U492" s="1647"/>
      <c r="V492" s="1735"/>
      <c r="W492" s="1485"/>
      <c r="X492" s="1485"/>
    </row>
    <row r="493" spans="1:24">
      <c r="A493" s="1647"/>
      <c r="B493" s="1647" t="s">
        <v>2686</v>
      </c>
      <c r="C493" s="1647"/>
      <c r="D493" s="1647"/>
      <c r="E493" s="1647"/>
      <c r="F493" s="1647"/>
      <c r="G493" s="1729">
        <f>'Part IV-A-Uses of Funds'!G57</f>
        <v>20000</v>
      </c>
      <c r="H493" s="1729">
        <f>'Part IV-A-Uses of Funds'!H57</f>
        <v>0</v>
      </c>
      <c r="I493" s="1647"/>
      <c r="J493" s="1729">
        <f>'Part IV-A-Uses of Funds'!J57</f>
        <v>20000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25000</v>
      </c>
      <c r="H494" s="1729">
        <f>'Part IV-A-Uses of Funds'!H58</f>
        <v>0</v>
      </c>
      <c r="I494" s="1647"/>
      <c r="J494" s="1729">
        <f>'Part IV-A-Uses of Funds'!J58</f>
        <v>25000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2348</v>
      </c>
      <c r="C495" s="1647"/>
      <c r="D495" s="1647"/>
      <c r="E495" s="1647"/>
      <c r="F495" s="1647"/>
      <c r="G495" s="1729">
        <f>'Part IV-A-Uses of Funds'!G59</f>
        <v>125000</v>
      </c>
      <c r="H495" s="1729">
        <f>'Part IV-A-Uses of Funds'!H59</f>
        <v>0</v>
      </c>
      <c r="I495" s="1647"/>
      <c r="J495" s="1729">
        <f>'Part IV-A-Uses of Funds'!J59</f>
        <v>125000</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c r="A496" s="1647"/>
      <c r="B496" s="1647" t="s">
        <v>1276</v>
      </c>
      <c r="C496" s="1647"/>
      <c r="D496" s="1647"/>
      <c r="E496" s="1647"/>
      <c r="F496" s="1647"/>
      <c r="G496" s="1729">
        <f>'Part IV-A-Uses of Funds'!G60</f>
        <v>75000</v>
      </c>
      <c r="H496" s="1729">
        <f>'Part IV-A-Uses of Funds'!H60</f>
        <v>0</v>
      </c>
      <c r="I496" s="1647"/>
      <c r="J496" s="1729">
        <f>'Part IV-A-Uses of Funds'!J60</f>
        <v>75000</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0</v>
      </c>
      <c r="T496" s="1729">
        <f>'Part IV-A-Uses of Funds'!T60</f>
        <v>0</v>
      </c>
      <c r="U496" s="1647"/>
      <c r="V496" s="1735"/>
      <c r="W496" s="1485"/>
      <c r="X496" s="1485"/>
    </row>
    <row r="497" spans="1:24">
      <c r="A497" s="1647"/>
      <c r="B497" s="1756" t="s">
        <v>1153</v>
      </c>
      <c r="C497" s="1647"/>
      <c r="D497" s="1755"/>
      <c r="E497" s="1755"/>
      <c r="F497" s="1757"/>
      <c r="G497" s="1729">
        <f>'Part IV-A-Uses of Funds'!G61</f>
        <v>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Lender Commitment Fee</v>
      </c>
      <c r="D498" s="1659">
        <f>'Part IV-A-Uses of Funds'!D62</f>
        <v>0</v>
      </c>
      <c r="E498" s="1659">
        <f>'Part IV-A-Uses of Funds'!E62</f>
        <v>0</v>
      </c>
      <c r="F498" s="1659">
        <f>'Part IV-A-Uses of Funds'!F62</f>
        <v>0</v>
      </c>
      <c r="G498" s="1729">
        <f>'Part IV-A-Uses of Funds'!G62</f>
        <v>25000</v>
      </c>
      <c r="H498" s="1729">
        <f>'Part IV-A-Uses of Funds'!H62</f>
        <v>0</v>
      </c>
      <c r="I498" s="1647"/>
      <c r="J498" s="1729">
        <f>'Part IV-A-Uses of Funds'!J62</f>
        <v>25000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1178171</v>
      </c>
      <c r="H500" s="1729"/>
      <c r="I500" s="1647"/>
      <c r="J500" s="1729">
        <f>SUM(J488:K499)</f>
        <v>996537</v>
      </c>
      <c r="K500" s="1729"/>
      <c r="L500" s="1664"/>
      <c r="M500" s="1729">
        <f>SUM(M488:N499)</f>
        <v>0</v>
      </c>
      <c r="N500" s="1729"/>
      <c r="O500" s="1647"/>
      <c r="P500" s="1729">
        <f>SUM(P488:Q499)</f>
        <v>0</v>
      </c>
      <c r="Q500" s="1729"/>
      <c r="R500" s="1647"/>
      <c r="S500" s="1729">
        <f>SUM(S488:T499)</f>
        <v>181634</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248000</v>
      </c>
      <c r="H502" s="1729">
        <f>'Part IV-A-Uses of Funds'!H66</f>
        <v>0</v>
      </c>
      <c r="I502" s="1647"/>
      <c r="J502" s="1729">
        <f>'Part IV-A-Uses of Funds'!J66</f>
        <v>248000</v>
      </c>
      <c r="K502" s="1729">
        <f>'Part IV-A-Uses of Funds'!K66</f>
        <v>0</v>
      </c>
      <c r="L502" s="1664"/>
      <c r="M502" s="1729">
        <f>'Part IV-A-Uses of Funds'!M66</f>
        <v>0</v>
      </c>
      <c r="N502" s="1729">
        <f>'Part IV-A-Uses of Funds'!N66</f>
        <v>0</v>
      </c>
      <c r="O502" s="1647"/>
      <c r="P502" s="1729">
        <f>'Part IV-A-Uses of Funds'!P66</f>
        <v>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0</v>
      </c>
      <c r="H503" s="1729">
        <f>'Part IV-A-Uses of Funds'!H67</f>
        <v>0</v>
      </c>
      <c r="I503" s="1647"/>
      <c r="J503" s="1729">
        <f>'Part IV-A-Uses of Funds'!J67</f>
        <v>0</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3847</v>
      </c>
      <c r="E504" s="1758">
        <f>'DCA Underwriting Assumptions'!R516</f>
        <v>0</v>
      </c>
      <c r="F504" s="1628" t="str">
        <f>IF(G504&gt;E504,"CHECK!!!","")</f>
        <v>CHECK!!!</v>
      </c>
      <c r="G504" s="1729">
        <f>'Part IV-A-Uses of Funds'!G68</f>
        <v>20000</v>
      </c>
      <c r="H504" s="1729">
        <f>'Part IV-A-Uses of Funds'!H68</f>
        <v>0</v>
      </c>
      <c r="I504" s="1647"/>
      <c r="J504" s="1729">
        <f>'Part IV-A-Uses of Funds'!J68</f>
        <v>20000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18500</v>
      </c>
      <c r="H506" s="1729">
        <f>'Part IV-A-Uses of Funds'!H70</f>
        <v>0</v>
      </c>
      <c r="I506" s="1647"/>
      <c r="J506" s="1729">
        <f>'Part IV-A-Uses of Funds'!J70</f>
        <v>18500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20000</v>
      </c>
      <c r="H507" s="1729">
        <f>'Part IV-A-Uses of Funds'!H71</f>
        <v>0</v>
      </c>
      <c r="I507" s="1647"/>
      <c r="J507" s="1729">
        <f>'Part IV-A-Uses of Funds'!J71</f>
        <v>20000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100000</v>
      </c>
      <c r="H508" s="1729">
        <f>'Part IV-A-Uses of Funds'!H72</f>
        <v>0</v>
      </c>
      <c r="I508" s="1647"/>
      <c r="J508" s="1729">
        <f>'Part IV-A-Uses of Funds'!J72</f>
        <v>100000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175000</v>
      </c>
      <c r="H509" s="1729">
        <f>'Part IV-A-Uses of Funds'!H73</f>
        <v>0</v>
      </c>
      <c r="I509" s="1647"/>
      <c r="J509" s="1729">
        <f>'Part IV-A-Uses of Funds'!J73</f>
        <v>87500</v>
      </c>
      <c r="K509" s="1729">
        <f>'Part IV-A-Uses of Funds'!K73</f>
        <v>0</v>
      </c>
      <c r="L509" s="1664"/>
      <c r="M509" s="1729">
        <f>'Part IV-A-Uses of Funds'!M73</f>
        <v>0</v>
      </c>
      <c r="N509" s="1729">
        <f>'Part IV-A-Uses of Funds'!N73</f>
        <v>0</v>
      </c>
      <c r="O509" s="1647"/>
      <c r="P509" s="1729">
        <f>'Part IV-A-Uses of Funds'!P73</f>
        <v>0</v>
      </c>
      <c r="Q509" s="1729">
        <f>'Part IV-A-Uses of Funds'!Q73</f>
        <v>0</v>
      </c>
      <c r="R509" s="1647"/>
      <c r="S509" s="1729">
        <f>'Part IV-A-Uses of Funds'!S73</f>
        <v>87500</v>
      </c>
      <c r="T509" s="1729">
        <f>'Part IV-A-Uses of Funds'!T73</f>
        <v>0</v>
      </c>
      <c r="U509" s="1647"/>
      <c r="V509" s="1735"/>
      <c r="W509" s="1485"/>
      <c r="X509" s="1485"/>
    </row>
    <row r="510" spans="1:24">
      <c r="A510" s="1647"/>
      <c r="B510" s="1647" t="s">
        <v>2048</v>
      </c>
      <c r="C510" s="1647"/>
      <c r="D510" s="1647"/>
      <c r="E510" s="1647"/>
      <c r="F510" s="1647"/>
      <c r="G510" s="1729">
        <f>'Part IV-A-Uses of Funds'!G74</f>
        <v>40000</v>
      </c>
      <c r="H510" s="1729">
        <f>'Part IV-A-Uses of Funds'!H74</f>
        <v>0</v>
      </c>
      <c r="I510" s="1647"/>
      <c r="J510" s="1729">
        <f>'Part IV-A-Uses of Funds'!J74</f>
        <v>40000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10000</v>
      </c>
      <c r="H511" s="1729">
        <f>'Part IV-A-Uses of Funds'!H75</f>
        <v>0</v>
      </c>
      <c r="I511" s="1647"/>
      <c r="J511" s="1729">
        <f>'Part IV-A-Uses of Funds'!J75</f>
        <v>10000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Radon Testing</v>
      </c>
      <c r="D512" s="1659">
        <f>'Part IV-A-Uses of Funds'!D76</f>
        <v>0</v>
      </c>
      <c r="E512" s="1659">
        <f>'Part IV-A-Uses of Funds'!E76</f>
        <v>0</v>
      </c>
      <c r="F512" s="1659">
        <f>'Part IV-A-Uses of Funds'!F76</f>
        <v>0</v>
      </c>
      <c r="G512" s="1729">
        <f>'Part IV-A-Uses of Funds'!G76</f>
        <v>9000</v>
      </c>
      <c r="H512" s="1729">
        <f>'Part IV-A-Uses of Funds'!H76</f>
        <v>0</v>
      </c>
      <c r="I512" s="1647"/>
      <c r="J512" s="1729">
        <f>'Part IV-A-Uses of Funds'!J76</f>
        <v>9000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640500</v>
      </c>
      <c r="H513" s="1729"/>
      <c r="I513" s="1647"/>
      <c r="J513" s="1729">
        <f>SUM(J502:K512)</f>
        <v>553000</v>
      </c>
      <c r="K513" s="1729"/>
      <c r="L513" s="1664"/>
      <c r="M513" s="1729">
        <f>SUM(M502:N512)</f>
        <v>0</v>
      </c>
      <c r="N513" s="1729"/>
      <c r="O513" s="1647"/>
      <c r="P513" s="1729">
        <f>SUM(P502:Q512)</f>
        <v>0</v>
      </c>
      <c r="Q513" s="1729"/>
      <c r="R513" s="1647"/>
      <c r="S513" s="1729">
        <f>SUM(S502:T512)</f>
        <v>87500</v>
      </c>
      <c r="T513" s="1729"/>
      <c r="U513" s="1647"/>
      <c r="V513" s="1735">
        <f>SUM(V502:V512)</f>
        <v>0</v>
      </c>
      <c r="W513" s="1485"/>
      <c r="X513" s="1485"/>
    </row>
    <row r="514" spans="1:24">
      <c r="A514" s="1647"/>
      <c r="B514" s="1628" t="s">
        <v>1269</v>
      </c>
      <c r="C514" s="1647"/>
      <c r="D514" s="1759" t="s">
        <v>3734</v>
      </c>
      <c r="E514" s="1760">
        <f>G519/'Part VI-Revenues &amp; Expenses'!$O$67</f>
        <v>2671.4423076923076</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159425</v>
      </c>
      <c r="H515" s="1729">
        <f>'Part IV-A-Uses of Funds'!H79</f>
        <v>0</v>
      </c>
      <c r="I515" s="1647"/>
      <c r="J515" s="1729">
        <f>'Part IV-A-Uses of Funds'!J79</f>
        <v>159425</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257320</v>
      </c>
      <c r="H516" s="1729">
        <f>'Part IV-A-Uses of Funds'!H80</f>
        <v>0</v>
      </c>
      <c r="I516" s="1647"/>
      <c r="J516" s="1729">
        <f>'Part IV-A-Uses of Funds'!J80</f>
        <v>257320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t="str">
        <f>'Part IV-A-Uses of Funds'!E81</f>
        <v>No</v>
      </c>
      <c r="F517" s="1647"/>
      <c r="G517" s="1729">
        <f>'Part IV-A-Uses of Funds'!G81</f>
        <v>0</v>
      </c>
      <c r="H517" s="1729">
        <f>'Part IV-A-Uses of Funds'!H81</f>
        <v>0</v>
      </c>
      <c r="I517" s="1653"/>
      <c r="J517" s="1729">
        <f>'Part IV-A-Uses of Funds'!J81</f>
        <v>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1273</v>
      </c>
      <c r="C518" s="1647"/>
      <c r="D518" s="1761" t="s">
        <v>1403</v>
      </c>
      <c r="E518" s="1774" t="str">
        <f>'Part IV-A-Uses of Funds'!E82</f>
        <v>No</v>
      </c>
      <c r="F518" s="1647"/>
      <c r="G518" s="1729">
        <f>'Part IV-A-Uses of Funds'!G82</f>
        <v>0</v>
      </c>
      <c r="H518" s="1729">
        <f>'Part IV-A-Uses of Funds'!H82</f>
        <v>0</v>
      </c>
      <c r="I518" s="1653"/>
      <c r="J518" s="1729">
        <f>'Part IV-A-Uses of Funds'!J82</f>
        <v>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416745</v>
      </c>
      <c r="H519" s="1729"/>
      <c r="I519" s="1647"/>
      <c r="J519" s="1729">
        <f>SUM(J515:K518)</f>
        <v>416745</v>
      </c>
      <c r="K519" s="1729"/>
      <c r="L519" s="1664"/>
      <c r="M519" s="1729">
        <f>SUM(M515:N518)</f>
        <v>0</v>
      </c>
      <c r="N519" s="1729"/>
      <c r="O519" s="1647"/>
      <c r="P519" s="1729">
        <f>SUM(P515:Q518)</f>
        <v>0</v>
      </c>
      <c r="Q519" s="1729"/>
      <c r="R519" s="1647"/>
      <c r="S519" s="1729">
        <f>SUM(S515:T518)</f>
        <v>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129911</v>
      </c>
      <c r="H521" s="1729">
        <f>'Part IV-A-Uses of Funds'!H85</f>
        <v>0</v>
      </c>
      <c r="I521" s="1647"/>
      <c r="J521" s="1729"/>
      <c r="K521" s="1729"/>
      <c r="L521" s="1664"/>
      <c r="M521" s="1729"/>
      <c r="N521" s="1729"/>
      <c r="O521" s="1647"/>
      <c r="P521" s="1729"/>
      <c r="Q521" s="1729"/>
      <c r="R521" s="1647"/>
      <c r="S521" s="1729">
        <f>'Part IV-A-Uses of Funds'!S85</f>
        <v>129911</v>
      </c>
      <c r="T521" s="1729">
        <f>'Part IV-A-Uses of Funds'!T85</f>
        <v>0</v>
      </c>
      <c r="U521" s="1647"/>
      <c r="V521" s="1735"/>
      <c r="W521" s="1485"/>
      <c r="X521" s="1485"/>
    </row>
    <row r="522" spans="1:24">
      <c r="A522" s="1647"/>
      <c r="B522" s="1647" t="s">
        <v>1275</v>
      </c>
      <c r="C522" s="1647"/>
      <c r="D522" s="1647"/>
      <c r="E522" s="1647"/>
      <c r="F522" s="1647"/>
      <c r="G522" s="1729">
        <f>'Part IV-A-Uses of Funds'!G86</f>
        <v>60000</v>
      </c>
      <c r="H522" s="1729">
        <f>'Part IV-A-Uses of Funds'!H86</f>
        <v>0</v>
      </c>
      <c r="I522" s="1647"/>
      <c r="J522" s="1729"/>
      <c r="K522" s="1729"/>
      <c r="L522" s="1664"/>
      <c r="M522" s="1729"/>
      <c r="N522" s="1729"/>
      <c r="O522" s="1647"/>
      <c r="P522" s="1729"/>
      <c r="Q522" s="1729"/>
      <c r="R522" s="1647"/>
      <c r="S522" s="1729">
        <f>'Part IV-A-Uses of Funds'!S86</f>
        <v>60000</v>
      </c>
      <c r="T522" s="1729">
        <f>'Part IV-A-Uses of Funds'!T86</f>
        <v>0</v>
      </c>
      <c r="U522" s="1647"/>
      <c r="V522" s="1735"/>
      <c r="W522" s="1485"/>
      <c r="X522" s="1485"/>
    </row>
    <row r="523" spans="1:24">
      <c r="A523" s="1647"/>
      <c r="B523" s="1647" t="s">
        <v>1276</v>
      </c>
      <c r="C523" s="1647"/>
      <c r="D523" s="1647"/>
      <c r="E523" s="1647"/>
      <c r="F523" s="1647"/>
      <c r="G523" s="1729">
        <f>'Part IV-A-Uses of Funds'!G87</f>
        <v>0</v>
      </c>
      <c r="H523" s="1729">
        <f>'Part IV-A-Uses of Funds'!H87</f>
        <v>0</v>
      </c>
      <c r="I523" s="1647"/>
      <c r="J523" s="1729"/>
      <c r="K523" s="1729"/>
      <c r="L523" s="1664"/>
      <c r="M523" s="1729"/>
      <c r="N523" s="1729"/>
      <c r="O523" s="1647"/>
      <c r="P523" s="1729"/>
      <c r="Q523" s="1729"/>
      <c r="R523" s="1647"/>
      <c r="S523" s="1729">
        <f>'Part IV-A-Uses of Funds'!S87</f>
        <v>0</v>
      </c>
      <c r="T523" s="1729">
        <f>'Part IV-A-Uses of Funds'!T87</f>
        <v>0</v>
      </c>
      <c r="U523" s="1647"/>
      <c r="V523" s="1735"/>
      <c r="W523" s="1485"/>
      <c r="X523" s="1485"/>
    </row>
    <row r="524" spans="1:24">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2297</v>
      </c>
      <c r="C525" s="1647"/>
      <c r="D525" s="1647"/>
      <c r="E525" s="1647"/>
      <c r="F525" s="1647"/>
      <c r="G525" s="1729">
        <f>'Part IV-A-Uses of Funds'!G89</f>
        <v>361225</v>
      </c>
      <c r="H525" s="1729">
        <f>'Part IV-A-Uses of Funds'!H89</f>
        <v>0</v>
      </c>
      <c r="I525" s="1647"/>
      <c r="J525" s="1729"/>
      <c r="K525" s="1729"/>
      <c r="L525" s="1664"/>
      <c r="M525" s="1729"/>
      <c r="N525" s="1729"/>
      <c r="O525" s="1647"/>
      <c r="P525" s="1729"/>
      <c r="Q525" s="1729"/>
      <c r="R525" s="1647"/>
      <c r="S525" s="1729">
        <f>'Part IV-A-Uses of Funds'!S89</f>
        <v>361225</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&lt;&lt; Enter description here; provide detail &amp; justification in tab Part IV-b &gt;&gt;</v>
      </c>
      <c r="D526" s="1659">
        <f>'Part IV-A-Uses of Funds'!D90</f>
        <v>0</v>
      </c>
      <c r="E526" s="1659">
        <f>'Part IV-A-Uses of Funds'!E90</f>
        <v>0</v>
      </c>
      <c r="F526" s="1659">
        <f>'Part IV-A-Uses of Funds'!F90</f>
        <v>0</v>
      </c>
      <c r="G526" s="1729">
        <f>'Part IV-A-Uses of Funds'!G90</f>
        <v>0</v>
      </c>
      <c r="H526" s="1729">
        <f>'Part IV-A-Uses of Funds'!H90</f>
        <v>0</v>
      </c>
      <c r="I526" s="1647"/>
      <c r="J526" s="1729"/>
      <c r="K526" s="1729"/>
      <c r="L526" s="1664"/>
      <c r="M526" s="1729"/>
      <c r="N526" s="1729"/>
      <c r="O526" s="1647"/>
      <c r="P526" s="1729"/>
      <c r="Q526" s="1729"/>
      <c r="R526" s="1647"/>
      <c r="S526" s="1729">
        <f>'Part IV-A-Uses of Funds'!S90</f>
        <v>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551136</v>
      </c>
      <c r="H527" s="1729"/>
      <c r="I527" s="1647"/>
      <c r="J527" s="1729"/>
      <c r="K527" s="1729"/>
      <c r="L527" s="1664"/>
      <c r="M527" s="1729"/>
      <c r="N527" s="1729"/>
      <c r="O527" s="1647"/>
      <c r="P527" s="1729"/>
      <c r="Q527" s="1729"/>
      <c r="R527" s="1647"/>
      <c r="S527" s="1729">
        <f>SUM(S521:T526)</f>
        <v>551136</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4509</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2682</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5000</v>
      </c>
      <c r="H533" s="1729">
        <f>'Part IV-A-Uses of Funds'!H97</f>
        <v>0</v>
      </c>
      <c r="I533" s="1647"/>
      <c r="J533" s="1664"/>
      <c r="K533" s="1664"/>
      <c r="L533" s="1762"/>
      <c r="M533" s="1664"/>
      <c r="N533" s="1664"/>
      <c r="O533" s="1647"/>
      <c r="P533" s="1664"/>
      <c r="Q533" s="1664"/>
      <c r="R533" s="1647"/>
      <c r="S533" s="1729">
        <f>'Part IV-A-Uses of Funds'!S97</f>
        <v>5000</v>
      </c>
      <c r="T533" s="1729">
        <f>'Part IV-A-Uses of Funds'!T97</f>
        <v>0</v>
      </c>
      <c r="U533" s="1647"/>
      <c r="V533" s="1735"/>
      <c r="W533" s="1485"/>
      <c r="X533" s="1485"/>
    </row>
    <row r="534" spans="1:24">
      <c r="A534" s="1647"/>
      <c r="B534" s="1647" t="s">
        <v>3949</v>
      </c>
      <c r="C534" s="1647"/>
      <c r="D534" s="1647"/>
      <c r="E534" s="1647"/>
      <c r="F534" s="1647"/>
      <c r="G534" s="1729">
        <f>'Part IV-A-Uses of Funds'!G98</f>
        <v>2500</v>
      </c>
      <c r="H534" s="1729">
        <f>'Part IV-A-Uses of Funds'!H98</f>
        <v>0</v>
      </c>
      <c r="I534" s="1647"/>
      <c r="J534" s="1664"/>
      <c r="K534" s="1664"/>
      <c r="L534" s="1762"/>
      <c r="M534" s="1664"/>
      <c r="N534" s="1664"/>
      <c r="O534" s="1647"/>
      <c r="P534" s="1664"/>
      <c r="Q534" s="1664"/>
      <c r="R534" s="1647"/>
      <c r="S534" s="1729">
        <f>'Part IV-A-Uses of Funds'!S98</f>
        <v>2500</v>
      </c>
      <c r="T534" s="1729">
        <f>'Part IV-A-Uses of Funds'!T98</f>
        <v>0</v>
      </c>
      <c r="U534" s="1647"/>
      <c r="V534" s="1735"/>
      <c r="W534" s="1485"/>
      <c r="X534" s="1485"/>
    </row>
    <row r="535" spans="1:24">
      <c r="A535" s="1647"/>
      <c r="B535" s="1647" t="s">
        <v>519</v>
      </c>
      <c r="C535" s="1647"/>
      <c r="D535" s="1647"/>
      <c r="E535" s="1763">
        <f>'DCA Underwriting Assumptions'!$Q$88*J611</f>
        <v>97076.400000000009</v>
      </c>
      <c r="F535" s="1763"/>
      <c r="G535" s="1729">
        <f>'Part IV-A-Uses of Funds'!G99</f>
        <v>97077</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97077</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124800</v>
      </c>
      <c r="F536" s="1763"/>
      <c r="G536" s="1729">
        <f>'Part IV-A-Uses of Funds'!G100</f>
        <v>156000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156000</v>
      </c>
      <c r="T536" s="1729">
        <f>'Part IV-A-Uses of Funds'!T100</f>
        <v>0</v>
      </c>
      <c r="U536" s="1647"/>
      <c r="V536" s="1735"/>
      <c r="W536" s="1485"/>
      <c r="X536" s="1485"/>
    </row>
    <row r="537" spans="1:24">
      <c r="A537" s="1647"/>
      <c r="B537" s="1647" t="s">
        <v>4240</v>
      </c>
      <c r="C537" s="1647"/>
      <c r="D537" s="1647"/>
      <c r="E537" s="1647"/>
      <c r="F537" s="1765">
        <f>'DCA Underwriting Assumptions'!$Q$90</f>
        <v>3000</v>
      </c>
      <c r="G537" s="1729">
        <f>'Part IV-A-Uses of Funds'!G101</f>
        <v>3000</v>
      </c>
      <c r="H537" s="1729">
        <f>'Part IV-A-Uses of Funds'!H101</f>
        <v>0</v>
      </c>
      <c r="I537" s="1647"/>
      <c r="J537" s="1653"/>
      <c r="K537" s="1653"/>
      <c r="L537" s="1653"/>
      <c r="M537" s="1653"/>
      <c r="N537" s="1653"/>
      <c r="O537" s="1653"/>
      <c r="P537" s="1653"/>
      <c r="Q537" s="1653"/>
      <c r="R537" s="1647"/>
      <c r="S537" s="1729">
        <f>'Part IV-A-Uses of Funds'!S101</f>
        <v>3000</v>
      </c>
      <c r="T537" s="1729">
        <f>'Part IV-A-Uses of Funds'!T101</f>
        <v>0</v>
      </c>
      <c r="U537" s="1647"/>
      <c r="V537" s="1735"/>
      <c r="W537" s="1485"/>
      <c r="X537" s="1485"/>
    </row>
    <row r="538" spans="1:24">
      <c r="A538" s="1647"/>
      <c r="B538" s="1647" t="s">
        <v>4241</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266577</v>
      </c>
      <c r="H541" s="1729"/>
      <c r="I541" s="1647"/>
      <c r="J541" s="1664"/>
      <c r="K541" s="1664"/>
      <c r="L541" s="1664"/>
      <c r="M541" s="1664"/>
      <c r="N541" s="1664"/>
      <c r="O541" s="1647"/>
      <c r="P541" s="1664"/>
      <c r="Q541" s="1664"/>
      <c r="R541" s="1647"/>
      <c r="S541" s="1729">
        <f>SUM(S532:T540)</f>
        <v>266577</v>
      </c>
      <c r="T541" s="1729"/>
      <c r="U541" s="1647"/>
      <c r="V541" s="1735">
        <f>SUM(V532:V540)</f>
        <v>0</v>
      </c>
      <c r="W541" s="1838"/>
      <c r="X541" s="1838"/>
    </row>
    <row r="542" spans="1:24">
      <c r="A542" s="1647"/>
      <c r="B542" s="1628" t="s">
        <v>2298</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50000</v>
      </c>
      <c r="H543" s="1729">
        <f>'Part IV-A-Uses of Funds'!H107</f>
        <v>0</v>
      </c>
      <c r="I543" s="1647"/>
      <c r="J543" s="1729"/>
      <c r="K543" s="1729"/>
      <c r="L543" s="1664"/>
      <c r="M543" s="1729"/>
      <c r="N543" s="1729"/>
      <c r="O543" s="1647"/>
      <c r="P543" s="1729"/>
      <c r="Q543" s="1729"/>
      <c r="R543" s="1647"/>
      <c r="S543" s="1729">
        <f>'Part IV-A-Uses of Funds'!S107</f>
        <v>50000</v>
      </c>
      <c r="T543" s="1729">
        <f>'Part IV-A-Uses of Funds'!T107</f>
        <v>0</v>
      </c>
      <c r="U543" s="1647"/>
      <c r="V543" s="1735"/>
      <c r="W543" s="1485"/>
      <c r="X543" s="1485"/>
    </row>
    <row r="544" spans="1:24">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c r="A545" s="1647"/>
      <c r="B545" s="1647" t="s">
        <v>2385</v>
      </c>
      <c r="C545" s="1647"/>
      <c r="D545" s="1647"/>
      <c r="E545" s="1647"/>
      <c r="F545" s="1647"/>
      <c r="G545" s="1729">
        <f>'Part IV-A-Uses of Funds'!G109</f>
        <v>50000</v>
      </c>
      <c r="H545" s="1729">
        <f>'Part IV-A-Uses of Funds'!H109</f>
        <v>0</v>
      </c>
      <c r="I545" s="1647"/>
      <c r="J545" s="1729"/>
      <c r="K545" s="1729"/>
      <c r="L545" s="1664"/>
      <c r="M545" s="1729"/>
      <c r="N545" s="1729"/>
      <c r="O545" s="1647"/>
      <c r="P545" s="1729"/>
      <c r="Q545" s="1729"/>
      <c r="R545" s="1647"/>
      <c r="S545" s="1729">
        <f>'Part IV-A-Uses of Funds'!S109</f>
        <v>50000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&lt;&lt; Enter description here; provide detail &amp; justification in tab Part IV-b &gt;&gt;</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100000</v>
      </c>
      <c r="H547" s="1729"/>
      <c r="I547" s="1647"/>
      <c r="J547" s="1729"/>
      <c r="K547" s="1729"/>
      <c r="L547" s="1664"/>
      <c r="M547" s="1729"/>
      <c r="N547" s="1729"/>
      <c r="O547" s="1647"/>
      <c r="P547" s="1729"/>
      <c r="Q547" s="1729"/>
      <c r="R547" s="1647"/>
      <c r="S547" s="1729">
        <f>SUM(S543:T546)</f>
        <v>100000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1859</v>
      </c>
      <c r="C549" s="1647"/>
      <c r="D549" s="1647"/>
      <c r="E549" s="1647"/>
      <c r="F549" s="1716">
        <f>IF($G$118=0,0,G549/$G$118)</f>
        <v>0</v>
      </c>
      <c r="G549" s="1729">
        <f>'Part IV-A-Uses of Funds'!G113</f>
        <v>1576420</v>
      </c>
      <c r="H549" s="1729">
        <f>'Part IV-A-Uses of Funds'!H113</f>
        <v>0</v>
      </c>
      <c r="I549" s="1647"/>
      <c r="J549" s="1729">
        <f>'Part IV-A-Uses of Funds'!J113</f>
        <v>1576420</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c r="A550" s="1647"/>
      <c r="B550" s="1647" t="s">
        <v>4196</v>
      </c>
      <c r="C550" s="1647"/>
      <c r="D550" s="1647"/>
      <c r="E550" s="1647"/>
      <c r="F550" s="2136">
        <f>'Part IV-A-Uses of Funds'!F114</f>
        <v>1261136</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1860</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3633</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1852</v>
      </c>
      <c r="C553" s="1647"/>
      <c r="D553" s="1647"/>
      <c r="E553" s="1647"/>
      <c r="F553" s="1716">
        <f>IF($G$118=0,0,G553/$G$118)</f>
        <v>0</v>
      </c>
      <c r="G553" s="1729">
        <f>'Part IV-A-Uses of Funds'!G117</f>
        <v>1576420</v>
      </c>
      <c r="H553" s="1729">
        <f>'Part IV-A-Uses of Funds'!H117</f>
        <v>0</v>
      </c>
      <c r="I553" s="1647"/>
      <c r="J553" s="1729">
        <f>'Part IV-A-Uses of Funds'!J117</f>
        <v>1576420</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3152840</v>
      </c>
      <c r="H554" s="1729"/>
      <c r="I554" s="1647"/>
      <c r="J554" s="1729">
        <f>SUM(J549:K553)</f>
        <v>3152840</v>
      </c>
      <c r="K554" s="1729"/>
      <c r="L554" s="1664"/>
      <c r="M554" s="1729">
        <f>SUM(M549:N553)</f>
        <v>0</v>
      </c>
      <c r="N554" s="1729"/>
      <c r="O554" s="1647"/>
      <c r="P554" s="1729">
        <f>SUM(P549:Q553)</f>
        <v>0</v>
      </c>
      <c r="Q554" s="1729"/>
      <c r="R554" s="1647"/>
      <c r="S554" s="1729">
        <f>SUM(S549:T553)</f>
        <v>0</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20000</v>
      </c>
      <c r="H556" s="1729">
        <f>'Part IV-A-Uses of Funds'!H120</f>
        <v>0</v>
      </c>
      <c r="I556" s="1647"/>
      <c r="J556" s="1762"/>
      <c r="K556" s="1762"/>
      <c r="L556" s="1762"/>
      <c r="M556" s="1762"/>
      <c r="N556" s="1762"/>
      <c r="O556" s="1647"/>
      <c r="P556" s="1762"/>
      <c r="Q556" s="1762"/>
      <c r="R556" s="1647"/>
      <c r="S556" s="1729">
        <f>'Part IV-A-Uses of Funds'!S120</f>
        <v>20000</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210294.75</v>
      </c>
      <c r="G557" s="1729">
        <f>'Part IV-A-Uses of Funds'!G121</f>
        <v>210295</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210295</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694940.32860836433</v>
      </c>
      <c r="G558" s="1729">
        <f>'Part IV-A-Uses of Funds'!G122</f>
        <v>694940</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694940</v>
      </c>
      <c r="T558" s="1729">
        <f>'Part IV-A-Uses of Funds'!T122</f>
        <v>0</v>
      </c>
      <c r="U558" s="1647"/>
      <c r="V558" s="1735"/>
      <c r="W558" s="1485"/>
      <c r="X558" s="1485"/>
    </row>
    <row r="559" spans="1:24">
      <c r="A559" s="1647"/>
      <c r="B559" s="1647" t="s">
        <v>1244</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c r="A560" s="1647"/>
      <c r="B560" s="1647" t="s">
        <v>1245</v>
      </c>
      <c r="C560" s="1647"/>
      <c r="D560" s="1647"/>
      <c r="E560" s="1694" t="s">
        <v>3566</v>
      </c>
      <c r="F560" s="1736">
        <f>IF('Part VI-Revenues &amp; Expenses'!$O$67=0,0,G560/'Part VI-Revenues &amp; Expenses'!$O$67)</f>
        <v>923.71794871794873</v>
      </c>
      <c r="G560" s="1729">
        <f>'Part IV-A-Uses of Funds'!G124</f>
        <v>144100</v>
      </c>
      <c r="H560" s="1729">
        <f>'Part IV-A-Uses of Funds'!H124</f>
        <v>0</v>
      </c>
      <c r="I560" s="1647"/>
      <c r="J560" s="1729">
        <f>'Part IV-A-Uses of Funds'!J124</f>
        <v>144100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Tax and Insurance Escrow</v>
      </c>
      <c r="D561" s="1659">
        <f>'Part IV-A-Uses of Funds'!D125</f>
        <v>0</v>
      </c>
      <c r="E561" s="1659">
        <f>'Part IV-A-Uses of Funds'!E125</f>
        <v>0</v>
      </c>
      <c r="F561" s="1659">
        <f>'Part IV-A-Uses of Funds'!F125</f>
        <v>0</v>
      </c>
      <c r="G561" s="1729">
        <f>'Part IV-A-Uses of Funds'!G125</f>
        <v>60000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60000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1129335</v>
      </c>
      <c r="H562" s="1729"/>
      <c r="I562" s="1647"/>
      <c r="J562" s="1729">
        <f>SUM(J560:K561)</f>
        <v>144100</v>
      </c>
      <c r="K562" s="1729"/>
      <c r="L562" s="1664"/>
      <c r="M562" s="1729">
        <f>SUM(M560:N561)</f>
        <v>0</v>
      </c>
      <c r="N562" s="1729"/>
      <c r="O562" s="1647"/>
      <c r="P562" s="1729">
        <f>SUM(P560:Q561)</f>
        <v>0</v>
      </c>
      <c r="Q562" s="1729"/>
      <c r="R562" s="1647"/>
      <c r="S562" s="1729">
        <f>SUM(S556:T561)</f>
        <v>985235</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Site Lighting</v>
      </c>
      <c r="D565" s="1659">
        <f>'Part IV-A-Uses of Funds'!D129</f>
        <v>0</v>
      </c>
      <c r="E565" s="1659">
        <f>'Part IV-A-Uses of Funds'!E129</f>
        <v>0</v>
      </c>
      <c r="F565" s="1659">
        <f>'Part IV-A-Uses of Funds'!F129</f>
        <v>0</v>
      </c>
      <c r="G565" s="1729">
        <f>'Part IV-A-Uses of Funds'!G129</f>
        <v>45000</v>
      </c>
      <c r="H565" s="1729">
        <f>'Part IV-A-Uses of Funds'!H129</f>
        <v>0</v>
      </c>
      <c r="I565" s="1647"/>
      <c r="J565" s="1729">
        <f>'Part IV-A-Uses of Funds'!J129</f>
        <v>45000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45000</v>
      </c>
      <c r="H566" s="1729"/>
      <c r="I566" s="1647"/>
      <c r="J566" s="1729">
        <f>SUM(J564:K565)</f>
        <v>45000</v>
      </c>
      <c r="K566" s="1729"/>
      <c r="L566" s="1664"/>
      <c r="M566" s="1729">
        <f>SUM(M564:N565)</f>
        <v>0</v>
      </c>
      <c r="N566" s="1729"/>
      <c r="O566" s="1647"/>
      <c r="P566" s="1729">
        <f>SUM(P564:Q565)</f>
        <v>0</v>
      </c>
      <c r="Q566" s="1729"/>
      <c r="R566" s="1647"/>
      <c r="S566" s="1729">
        <f>SUM(S564:T565)</f>
        <v>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4510</v>
      </c>
      <c r="C568" s="1647"/>
      <c r="D568" s="1647"/>
      <c r="E568" s="1647"/>
      <c r="F568" s="1647"/>
      <c r="G568" s="1771">
        <f>G453+G459+G463+G469+G474+G477+G483+G500+G513+G519+G527+G541+G547+G554+G562+G566</f>
        <v>32698126.5</v>
      </c>
      <c r="H568" s="1771"/>
      <c r="I568" s="1647"/>
      <c r="J568" s="1771">
        <f>J453+J459+J463+J469+J474+J477+J483+J500+J513+J519+J527+J541+J547+J554+J562+J566</f>
        <v>29261044.5</v>
      </c>
      <c r="K568" s="1771"/>
      <c r="L568" s="1647"/>
      <c r="M568" s="1771">
        <f>M453+M459+M463+M469+M474+M477+M483+M500+M513+M519+M527+M541+M547+M554+M562+M566</f>
        <v>0</v>
      </c>
      <c r="N568" s="1771"/>
      <c r="O568" s="1647"/>
      <c r="P568" s="1771">
        <f>P453+P459+P463+P469+P474+P477+P483+P500+P513+P519+P527+P541+P547+P554+P562+P566</f>
        <v>0</v>
      </c>
      <c r="Q568" s="1771"/>
      <c r="R568" s="1647"/>
      <c r="S568" s="1771">
        <f>S453+S459+S463+S469+S474+S477+S483+S500+S513+S519+S527+S541+S547+S554+S562+S566</f>
        <v>3437082</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4511</v>
      </c>
      <c r="C570" s="1746"/>
      <c r="D570" s="1773">
        <f>IF('Part VI-Revenues &amp; Expenses'!$O$67=0,0,G568/'Part VI-Revenues &amp; Expenses'!$O$67)</f>
        <v>209603.375</v>
      </c>
      <c r="E570" s="1773"/>
      <c r="F570" s="1774" t="s">
        <v>2762</v>
      </c>
      <c r="G570" s="1773">
        <f>IF('Part I-Project Information'!$P$75=0,0,G568/'Part I-Project Information'!$P$75)</f>
        <v>231.20961731555204</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2043</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2151</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1862</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1863</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1864</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2339</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29261044.5</v>
      </c>
      <c r="K585" s="1779"/>
      <c r="L585" s="1647"/>
      <c r="M585" s="1779">
        <f>M568</f>
        <v>0</v>
      </c>
      <c r="N585" s="1779"/>
      <c r="O585" s="1647"/>
      <c r="P585" s="1779">
        <f>P568</f>
        <v>0</v>
      </c>
      <c r="Q585" s="1779"/>
      <c r="R585" s="1647"/>
      <c r="S585" s="1647"/>
      <c r="T585" s="1647"/>
      <c r="U585" s="1647"/>
      <c r="V585" s="1735"/>
      <c r="W585" s="1485"/>
      <c r="X585" s="1485"/>
    </row>
    <row r="586" spans="1:24">
      <c r="A586" s="1647"/>
      <c r="B586" s="1647" t="s">
        <v>2219</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2220</v>
      </c>
      <c r="C587" s="1647"/>
      <c r="D587" s="1647"/>
      <c r="E587" s="1647"/>
      <c r="F587" s="1647"/>
      <c r="G587" s="1647"/>
      <c r="H587" s="1647"/>
      <c r="I587" s="1647"/>
      <c r="J587" s="1779">
        <f>J585-J586</f>
        <v>29261044.5</v>
      </c>
      <c r="K587" s="1779"/>
      <c r="L587" s="1647"/>
      <c r="M587" s="1779">
        <f>M585</f>
        <v>0</v>
      </c>
      <c r="N587" s="1779"/>
      <c r="O587" s="1647"/>
      <c r="P587" s="1779">
        <f>P585-P586</f>
        <v>0</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DDA/QCT</v>
      </c>
      <c r="I588" s="1647">
        <f>'Part IV-A-Uses of Funds'!I152</f>
        <v>0</v>
      </c>
      <c r="J588" s="1780">
        <f>'Part IV-A-Uses of Funds'!J152</f>
        <v>1.3</v>
      </c>
      <c r="K588" s="1780">
        <f>'Part IV-A-Uses of Funds'!K152</f>
        <v>0</v>
      </c>
      <c r="L588" s="1647"/>
      <c r="M588" s="1780"/>
      <c r="N588" s="1780"/>
      <c r="O588" s="1647"/>
      <c r="P588" s="1780">
        <f>'Part IV-A-Uses of Funds'!P152</f>
        <v>0</v>
      </c>
      <c r="Q588" s="1780">
        <f>'Part IV-A-Uses of Funds'!Q152</f>
        <v>0</v>
      </c>
      <c r="R588" s="1647"/>
      <c r="S588" s="1647"/>
      <c r="T588" s="1647"/>
      <c r="U588" s="1647"/>
      <c r="V588" s="1735"/>
      <c r="W588" s="1485"/>
      <c r="X588" s="1485"/>
    </row>
    <row r="589" spans="1:24">
      <c r="A589" s="1647"/>
      <c r="B589" s="1647" t="s">
        <v>2053</v>
      </c>
      <c r="C589" s="1647"/>
      <c r="D589" s="1647"/>
      <c r="E589" s="1647"/>
      <c r="F589" s="1647"/>
      <c r="G589" s="1647"/>
      <c r="H589" s="1647"/>
      <c r="I589" s="1647"/>
      <c r="J589" s="1779">
        <f>J587*J588</f>
        <v>38039357.850000001</v>
      </c>
      <c r="K589" s="1779"/>
      <c r="L589" s="1647"/>
      <c r="M589" s="1779">
        <f>+M587</f>
        <v>0</v>
      </c>
      <c r="N589" s="1779"/>
      <c r="O589" s="1647"/>
      <c r="P589" s="1779">
        <f>P587*P588</f>
        <v>0</v>
      </c>
      <c r="Q589" s="1779"/>
      <c r="R589" s="1647"/>
      <c r="S589" s="1647"/>
      <c r="T589" s="1647"/>
      <c r="U589" s="1647"/>
      <c r="V589" s="1735"/>
      <c r="W589" s="1485"/>
      <c r="X589" s="1485"/>
    </row>
    <row r="590" spans="1:24">
      <c r="A590" s="1647"/>
      <c r="B590" s="1647" t="s">
        <v>2540</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2044</v>
      </c>
      <c r="C591" s="1647"/>
      <c r="D591" s="1647"/>
      <c r="E591" s="1647"/>
      <c r="F591" s="1647"/>
      <c r="G591" s="1647"/>
      <c r="H591" s="1647"/>
      <c r="I591" s="1647"/>
      <c r="J591" s="1779">
        <f>J589*J590</f>
        <v>38039357.850000001</v>
      </c>
      <c r="K591" s="1779"/>
      <c r="L591" s="1647"/>
      <c r="M591" s="1779">
        <f>M589*M590</f>
        <v>0</v>
      </c>
      <c r="N591" s="1779"/>
      <c r="O591" s="1647"/>
      <c r="P591" s="1779">
        <f>P589*P590</f>
        <v>0</v>
      </c>
      <c r="Q591" s="1779"/>
      <c r="R591" s="1647"/>
      <c r="S591" s="1647"/>
      <c r="T591" s="1647"/>
      <c r="U591" s="1647"/>
      <c r="V591" s="1735"/>
      <c r="W591" s="1485"/>
      <c r="X591" s="1485"/>
    </row>
    <row r="592" spans="1:24">
      <c r="A592" s="1647"/>
      <c r="B592" s="1647" t="s">
        <v>2045</v>
      </c>
      <c r="C592" s="1647"/>
      <c r="D592" s="1647"/>
      <c r="E592" s="1647"/>
      <c r="F592" s="1647"/>
      <c r="G592" s="1647"/>
      <c r="H592" s="1647"/>
      <c r="I592" s="1647"/>
      <c r="J592" s="1780">
        <f>'Part IV-A-Uses of Funds'!J156</f>
        <v>3.1899999999999998E-2</v>
      </c>
      <c r="K592" s="1780">
        <f>'Part IV-A-Uses of Funds'!K156</f>
        <v>0</v>
      </c>
      <c r="L592" s="1647"/>
      <c r="M592" s="1780">
        <f>'Part IV-A-Uses of Funds'!M156</f>
        <v>0</v>
      </c>
      <c r="N592" s="1780">
        <f>'Part IV-A-Uses of Funds'!N156</f>
        <v>0</v>
      </c>
      <c r="O592" s="1647"/>
      <c r="P592" s="1780">
        <f>'Part IV-A-Uses of Funds'!P156</f>
        <v>0</v>
      </c>
      <c r="Q592" s="1780">
        <f>'Part IV-A-Uses of Funds'!Q156</f>
        <v>0</v>
      </c>
      <c r="R592" s="1647"/>
      <c r="S592" s="1647"/>
      <c r="T592" s="1647"/>
      <c r="U592" s="1647"/>
      <c r="V592" s="1735"/>
      <c r="W592" s="1485"/>
      <c r="X592" s="1485"/>
    </row>
    <row r="593" spans="1:24">
      <c r="A593" s="1647"/>
      <c r="B593" s="1647" t="s">
        <v>2541</v>
      </c>
      <c r="C593" s="1647"/>
      <c r="D593" s="1647"/>
      <c r="E593" s="1647"/>
      <c r="F593" s="1647"/>
      <c r="G593" s="1647"/>
      <c r="H593" s="1647"/>
      <c r="I593" s="1647"/>
      <c r="J593" s="1779">
        <f>J591*J592</f>
        <v>1213455.515415</v>
      </c>
      <c r="K593" s="1779"/>
      <c r="L593" s="1647"/>
      <c r="M593" s="1779">
        <f>M591*M592</f>
        <v>0</v>
      </c>
      <c r="N593" s="1779"/>
      <c r="O593" s="1647"/>
      <c r="P593" s="1779">
        <f>P591*P592</f>
        <v>0</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1213455.515415</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6.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6.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4512</v>
      </c>
      <c r="C598" s="1647"/>
      <c r="D598" s="1647"/>
      <c r="E598" s="1647"/>
      <c r="F598" s="1647"/>
      <c r="G598" s="1741" t="str">
        <f>IF(J599&gt;J598,"TDC exceeds QAP PUCL!","")</f>
        <v>TDC exceeds QAP PUCL!</v>
      </c>
      <c r="H598" s="1741"/>
      <c r="I598" s="1741"/>
      <c r="J598" s="1784">
        <f>'Part VIII-Threshold Criteria'!$P$63</f>
        <v>31486324</v>
      </c>
      <c r="K598" s="1784"/>
      <c r="L598" s="1784"/>
      <c r="M598" s="1785" t="s">
        <v>2745</v>
      </c>
      <c r="N598" s="1785"/>
      <c r="O598" s="1785"/>
      <c r="P598" s="1785"/>
      <c r="Q598" s="1785"/>
      <c r="R598" s="1785"/>
      <c r="S598" s="1785" t="s">
        <v>3674</v>
      </c>
      <c r="T598" s="1785"/>
      <c r="U598" s="1647"/>
      <c r="V598" s="1735"/>
      <c r="W598" s="1485"/>
      <c r="X598" s="1485"/>
    </row>
    <row r="599" spans="1:24">
      <c r="A599" s="1647"/>
      <c r="B599" s="1647" t="s">
        <v>4513</v>
      </c>
      <c r="C599" s="1647"/>
      <c r="D599" s="1647"/>
      <c r="E599" s="1647"/>
      <c r="F599" s="1647"/>
      <c r="G599" s="1647"/>
      <c r="H599" s="1647"/>
      <c r="I599" s="1647"/>
      <c r="J599" s="1779">
        <f>'Part IV-A-Uses of Funds'!J163</f>
        <v>32691888</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13112870.000000004</v>
      </c>
      <c r="K600" s="1779"/>
      <c r="L600" s="1779"/>
      <c r="M600" s="1785"/>
      <c r="N600" s="1785"/>
      <c r="O600" s="1785"/>
      <c r="P600" s="1785"/>
      <c r="Q600" s="1785"/>
      <c r="R600" s="1785"/>
      <c r="S600" s="1785"/>
      <c r="T600" s="1785"/>
      <c r="U600" s="1647"/>
      <c r="V600" s="1735"/>
      <c r="W600" s="1485"/>
      <c r="X600" s="1485"/>
    </row>
    <row r="601" spans="1:24" ht="13.5">
      <c r="A601" s="1647"/>
      <c r="B601" s="1647" t="s">
        <v>2231</v>
      </c>
      <c r="C601" s="1647"/>
      <c r="D601" s="1647"/>
      <c r="E601" s="1647"/>
      <c r="F601" s="1647"/>
      <c r="G601" s="1647"/>
      <c r="H601" s="1647"/>
      <c r="I601" s="1647"/>
      <c r="J601" s="1779">
        <f>+J599-J600</f>
        <v>19579017.999999996</v>
      </c>
      <c r="K601" s="1779"/>
      <c r="L601" s="1779"/>
      <c r="M601" s="1710" t="s">
        <v>2746</v>
      </c>
      <c r="N601" s="1710"/>
      <c r="O601" s="1786">
        <f>'Part III-Sources of Funds'!$I$42</f>
        <v>0</v>
      </c>
      <c r="P601" s="1786"/>
      <c r="Q601" s="1786"/>
      <c r="R601" s="1786"/>
      <c r="S601" s="1787" t="s">
        <v>1662</v>
      </c>
      <c r="T601" s="2137">
        <f>'Part IV-A-Uses of Funds'!T165</f>
        <v>0</v>
      </c>
      <c r="U601" s="1647"/>
      <c r="V601" s="1735"/>
      <c r="W601" s="1485"/>
      <c r="X601" s="1485"/>
    </row>
    <row r="602" spans="1:24" ht="13.5">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1957901.7999999996</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4514</v>
      </c>
      <c r="C604" s="1647"/>
      <c r="D604" s="1647"/>
      <c r="E604" s="1647"/>
      <c r="F604" s="1647"/>
      <c r="G604" s="1647"/>
      <c r="H604" s="1647"/>
      <c r="I604" s="1647"/>
      <c r="J604" s="1788">
        <f>N604+Q604</f>
        <v>1.5899999999999999</v>
      </c>
      <c r="K604" s="1788"/>
      <c r="L604" s="1788"/>
      <c r="M604" s="1651" t="s">
        <v>1289</v>
      </c>
      <c r="N604" s="2138">
        <f>'Part IV-A-Uses of Funds'!N168</f>
        <v>0.96</v>
      </c>
      <c r="O604" s="2138">
        <f>'Part IV-A-Uses of Funds'!O168</f>
        <v>0</v>
      </c>
      <c r="P604" s="1651" t="s">
        <v>612</v>
      </c>
      <c r="Q604" s="2138">
        <f>'Part IV-A-Uses of Funds'!Q168</f>
        <v>0.63</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1231384.7798742137</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4515</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1213455.515415</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4516</v>
      </c>
      <c r="C609" s="1647"/>
      <c r="D609" s="1647"/>
      <c r="E609" s="1647"/>
      <c r="F609" s="1647"/>
      <c r="G609" s="1647"/>
      <c r="H609" s="1647"/>
      <c r="I609" s="1647"/>
      <c r="J609" s="1714">
        <f>'Part IV-A-Uses of Funds'!J173</f>
        <v>1213455</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6.5">
      <c r="A611" s="1731" t="s">
        <v>1792</v>
      </c>
      <c r="B611" s="1731" t="s">
        <v>4517</v>
      </c>
      <c r="C611" s="1647"/>
      <c r="D611" s="1653"/>
      <c r="E611" s="1653"/>
      <c r="F611" s="1654"/>
      <c r="G611" s="1647"/>
      <c r="H611" s="1647"/>
      <c r="I611" s="1647"/>
      <c r="J611" s="1714">
        <f>IF(J609="",0,+MIN(J607,J609))</f>
        <v>1213455</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Construction cost estimate is based off of our historical cost to deliver similar projects that are currenlty under construction.
Local government fees were confirmed by the local government and our construction managment team. Water and Sewer Tap Fees are included in the total impact fee figure.
Construction Interest is calculated based on having to stabilize and hold the property for three months before conversion. A Draw Schedule is provided in Folder 43 Additional Documentation.</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2692</v>
      </c>
      <c r="X615" s="1790"/>
    </row>
    <row r="623" spans="1:24" ht="15.75">
      <c r="A623" s="1791" t="str">
        <f>CONCATENATE("PART FOUR (b) -  OTHER COSTS","  -  ",'Part I-Project Information'!$O$6," - ",'Part I-Project Information'!$F$34,"  -  ",'Part I-Project Information'!$F$38,"  -  ",'Part I-Project Information'!$J$39,",  ","County")</f>
        <v>PART FOUR (b) -  OTHER COSTS  -  2019-5 - 55 Milton  -  Atlanta  -  Fulton,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3713</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4518</v>
      </c>
      <c r="B627" s="1792"/>
      <c r="C627" s="1792"/>
      <c r="D627" s="1792"/>
      <c r="E627" s="2139"/>
      <c r="F627" s="1793" t="s">
        <v>3704</v>
      </c>
      <c r="G627" s="1794"/>
      <c r="H627" s="1793" t="s">
        <v>3705</v>
      </c>
    </row>
    <row r="628" spans="1:8">
      <c r="A628" s="1794"/>
      <c r="B628" s="1794"/>
      <c r="C628" s="1794"/>
      <c r="D628" s="1794"/>
      <c r="E628" s="2139"/>
      <c r="F628" s="2139"/>
      <c r="G628" s="2139"/>
      <c r="H628" s="2139"/>
    </row>
    <row r="629" spans="1:8" ht="13.5">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t="str">
        <f>'Part IV-A-Uses of Funds'!$C$14</f>
        <v>&lt;&lt; Enter description here; provide detail &amp; justification in tab Part IV-b &gt;&gt;</v>
      </c>
      <c r="B631" s="1798"/>
      <c r="C631" s="1798"/>
      <c r="D631" s="1798"/>
      <c r="E631" s="2141"/>
      <c r="F631" s="2142">
        <f>'Part IV-B-Other Items'!F9</f>
        <v>0</v>
      </c>
      <c r="G631" s="1797"/>
      <c r="H631" s="2142">
        <f>'Part IV-B-Other Items'!H9</f>
        <v>0</v>
      </c>
    </row>
    <row r="632" spans="1:8" ht="13.5">
      <c r="A632" s="1798"/>
      <c r="B632" s="1798"/>
      <c r="C632" s="1798"/>
      <c r="D632" s="1798"/>
      <c r="E632" s="2141"/>
      <c r="F632" s="2142"/>
      <c r="G632" s="1797"/>
      <c r="H632" s="2142"/>
    </row>
    <row r="633" spans="1:8" ht="13.5">
      <c r="A633" s="2141"/>
      <c r="B633" s="2141"/>
      <c r="C633" s="2141"/>
      <c r="D633" s="2141"/>
      <c r="E633" s="2141"/>
      <c r="F633" s="2142"/>
      <c r="G633" s="1797"/>
      <c r="H633" s="2142"/>
    </row>
    <row r="634" spans="1:8" ht="13.5">
      <c r="A634" s="1799" t="s">
        <v>3707</v>
      </c>
      <c r="B634" s="1800">
        <f>'Part IV-A-Uses of Funds'!$G$14</f>
        <v>0</v>
      </c>
      <c r="C634" s="1799" t="s">
        <v>1790</v>
      </c>
      <c r="D634" s="1800">
        <f>'Part IV-A-Uses of Funds'!$J$14+'Part IV-A-Uses of Funds'!$M$14+'Part IV-A-Uses of Funds'!$P$14</f>
        <v>0</v>
      </c>
      <c r="E634" s="2141"/>
      <c r="F634" s="2142"/>
      <c r="G634" s="1797"/>
      <c r="H634" s="2142"/>
    </row>
    <row r="635" spans="1:8" ht="13.5">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3707</v>
      </c>
      <c r="B639" s="1800">
        <f>'Part IV-A-Uses of Funds'!$G$15</f>
        <v>0</v>
      </c>
      <c r="C639" s="1799" t="s">
        <v>1790</v>
      </c>
      <c r="D639" s="1800">
        <f>'Part IV-A-Uses of Funds'!$J$15+'Part IV-A-Uses of Funds'!$M$15+'Part IV-A-Uses of Funds'!$P$15</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3707</v>
      </c>
      <c r="B644" s="1800">
        <f>'Part IV-A-Uses of Funds'!$G$16</f>
        <v>0</v>
      </c>
      <c r="C644" s="1799" t="s">
        <v>1790</v>
      </c>
      <c r="D644" s="1800">
        <f>'Part IV-A-Uses of Funds'!$J$16+'Part IV-A-Uses of Funds'!$M$16+'Part IV-A-Uses of Funds'!$P$16</f>
        <v>0</v>
      </c>
      <c r="E644" s="2141"/>
      <c r="F644" s="2142"/>
      <c r="G644" s="1797"/>
      <c r="H644" s="2142"/>
    </row>
    <row r="645" spans="1:8" ht="13.5">
      <c r="A645" s="1797"/>
      <c r="B645" s="1801"/>
      <c r="C645" s="1797"/>
      <c r="D645" s="1797"/>
      <c r="E645" s="2141"/>
      <c r="F645" s="2142"/>
      <c r="G645" s="1802"/>
      <c r="H645" s="2142"/>
    </row>
    <row r="646" spans="1:8" ht="13.5">
      <c r="A646" s="1796" t="s">
        <v>3706</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3707</v>
      </c>
      <c r="B650" s="1800">
        <f>'Part IV-A-Uses of Funds'!$G$41</f>
        <v>0</v>
      </c>
      <c r="C650" s="1799" t="s">
        <v>1790</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ht="13.5">
      <c r="A652" s="1796" t="s">
        <v>722</v>
      </c>
      <c r="B652" s="1797"/>
      <c r="C652" s="1797"/>
      <c r="D652" s="1797"/>
      <c r="E652" s="1797"/>
      <c r="F652" s="1797"/>
      <c r="G652" s="1797"/>
      <c r="H652" s="2141"/>
    </row>
    <row r="653" spans="1:8" ht="12.75" customHeight="1">
      <c r="A653" s="1798" t="str">
        <f>'Part IV-A-Uses of Funds'!$C$62</f>
        <v>Lender Commitment Fee</v>
      </c>
      <c r="B653" s="1798"/>
      <c r="C653" s="1798"/>
      <c r="D653" s="1798"/>
      <c r="E653" s="1797"/>
      <c r="F653" s="2142" t="str">
        <f>'Part IV-B-Other Items'!F31</f>
        <v>Lender Commitment Fee is a requirement of our investors</v>
      </c>
      <c r="G653" s="1797"/>
      <c r="H653" s="2142" t="str">
        <f>'Part IV-B-Other Items'!H31</f>
        <v>100% of the work is related to construction work.</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3707</v>
      </c>
      <c r="B656" s="1800">
        <f>'Part IV-A-Uses of Funds'!$G$62</f>
        <v>25000</v>
      </c>
      <c r="C656" s="1799" t="s">
        <v>1790</v>
      </c>
      <c r="D656" s="1800">
        <f>'Part IV-A-Uses of Funds'!$J$62+'Part IV-A-Uses of Funds'!$M$62+'Part IV-A-Uses of Funds'!$P$62</f>
        <v>25000</v>
      </c>
      <c r="E656" s="1797"/>
      <c r="F656" s="2142"/>
      <c r="G656" s="1797"/>
      <c r="H656" s="2142"/>
    </row>
    <row r="657" spans="1:8" ht="13.5">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Funds'!$G$63</f>
        <v>0</v>
      </c>
      <c r="C661" s="1799" t="s">
        <v>1790</v>
      </c>
      <c r="D661" s="1800">
        <f>'Part IV-A-Uses of Funds'!$J$63+'Part IV-A-Uses of Funds'!$M$63+'Part IV-A-Uses of Funds'!$P$63</f>
        <v>0</v>
      </c>
      <c r="E661" s="1797"/>
      <c r="F661" s="2142"/>
      <c r="G661" s="1797"/>
      <c r="H661" s="2142"/>
    </row>
    <row r="662" spans="1:8" ht="13.5">
      <c r="A662" s="2141"/>
      <c r="B662" s="2141"/>
      <c r="C662" s="2141"/>
      <c r="D662" s="1797"/>
      <c r="E662" s="1797"/>
      <c r="F662" s="2142"/>
      <c r="G662" s="1802"/>
      <c r="H662" s="2142"/>
    </row>
    <row r="663" spans="1:8" ht="13.5">
      <c r="A663" s="1796" t="s">
        <v>476</v>
      </c>
      <c r="B663" s="1797"/>
      <c r="C663" s="1797"/>
      <c r="D663" s="1797"/>
      <c r="E663" s="1803"/>
      <c r="F663" s="1803"/>
      <c r="G663" s="1797"/>
      <c r="H663" s="2141"/>
    </row>
    <row r="664" spans="1:8" ht="13.5" customHeight="1">
      <c r="A664" s="1798" t="str">
        <f>'Part IV-A-Uses of Funds'!$C$76</f>
        <v>Radon Testing</v>
      </c>
      <c r="B664" s="1798"/>
      <c r="C664" s="1798"/>
      <c r="D664" s="1798"/>
      <c r="E664" s="2141"/>
      <c r="F664" s="2142" t="str">
        <f>'Part IV-B-Other Items'!F42</f>
        <v>Post construction radon testing is a requirement of our investors</v>
      </c>
      <c r="G664" s="1797"/>
      <c r="H664" s="2142" t="str">
        <f>'Part IV-B-Other Items'!H42</f>
        <v>100% of the work is related to construction work.</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3707</v>
      </c>
      <c r="B667" s="1800">
        <f>'Part IV-A-Uses of Funds'!$G$76</f>
        <v>9000</v>
      </c>
      <c r="C667" s="1799" t="s">
        <v>1790</v>
      </c>
      <c r="D667" s="1800">
        <f>'Part IV-A-Uses of Funds'!$J$76+'Part IV-A-Uses of Funds'!$M$76+'Part IV-A-Uses of Funds'!$P$76</f>
        <v>9000</v>
      </c>
      <c r="E667" s="1797"/>
      <c r="F667" s="2142"/>
      <c r="G667" s="1797"/>
      <c r="H667" s="2142"/>
    </row>
    <row r="668" spans="1:8">
      <c r="A668" s="1797"/>
      <c r="B668" s="1801"/>
      <c r="C668" s="1797"/>
      <c r="D668" s="1797"/>
      <c r="E668" s="1797"/>
      <c r="F668" s="2142"/>
      <c r="G668" s="1802"/>
      <c r="H668" s="2142"/>
    </row>
    <row r="669" spans="1:8" ht="13.5">
      <c r="A669" s="1796" t="s">
        <v>724</v>
      </c>
      <c r="B669" s="1797"/>
      <c r="C669" s="1797"/>
      <c r="D669" s="1797"/>
      <c r="E669" s="1797"/>
      <c r="F669" s="1797"/>
      <c r="G669" s="1797"/>
      <c r="H669" s="2141"/>
    </row>
    <row r="670" spans="1:8" ht="13.5" customHeight="1">
      <c r="A670" s="1798" t="str">
        <f>'Part IV-A-Uses of Funds'!$C$90</f>
        <v>&lt;&lt; Enter description here; provide detail &amp; justification in tab Part IV-b &gt;&gt;</v>
      </c>
      <c r="B670" s="1798"/>
      <c r="C670" s="1798"/>
      <c r="D670" s="1798"/>
      <c r="E670" s="2141"/>
      <c r="F670" s="2142">
        <f>'Part IV-B-Other Items'!F48</f>
        <v>0</v>
      </c>
      <c r="G670" s="1797"/>
      <c r="H670" s="2141"/>
    </row>
    <row r="671" spans="1:8" ht="13.5">
      <c r="A671" s="1798"/>
      <c r="B671" s="1798"/>
      <c r="C671" s="1798"/>
      <c r="D671" s="1798"/>
      <c r="E671" s="1797"/>
      <c r="F671" s="2142"/>
      <c r="G671" s="1797"/>
      <c r="H671" s="2141"/>
    </row>
    <row r="672" spans="1:8" ht="13.5">
      <c r="A672" s="1797"/>
      <c r="B672" s="1797"/>
      <c r="C672" s="1797"/>
      <c r="D672" s="1797"/>
      <c r="E672" s="1797"/>
      <c r="F672" s="2142"/>
      <c r="G672" s="1797"/>
      <c r="H672" s="2141"/>
    </row>
    <row r="673" spans="1:8" ht="13.5">
      <c r="A673" s="1799" t="s">
        <v>3707</v>
      </c>
      <c r="B673" s="1800">
        <f>'Part IV-A-Uses of Funds'!$G$90</f>
        <v>0</v>
      </c>
      <c r="C673" s="1804"/>
      <c r="D673" s="1804"/>
      <c r="E673" s="1797"/>
      <c r="F673" s="2142"/>
      <c r="G673" s="1797"/>
      <c r="H673" s="2141"/>
    </row>
    <row r="674" spans="1:8" ht="13.5">
      <c r="A674" s="1797"/>
      <c r="B674" s="1797"/>
      <c r="C674" s="1797"/>
      <c r="D674" s="1797"/>
      <c r="E674" s="1797"/>
      <c r="F674" s="2142"/>
      <c r="G674" s="1802"/>
      <c r="H674" s="2141"/>
    </row>
    <row r="675" spans="1:8" ht="13.5">
      <c r="A675" s="1796" t="s">
        <v>4519</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ht="13.5">
      <c r="A677" s="1798"/>
      <c r="B677" s="1798"/>
      <c r="C677" s="1798"/>
      <c r="D677" s="1798"/>
      <c r="E677" s="1797"/>
      <c r="F677" s="2142"/>
      <c r="G677" s="1797"/>
      <c r="H677" s="2141"/>
    </row>
    <row r="678" spans="1:8" ht="13.5">
      <c r="A678" s="1797"/>
      <c r="B678" s="1797"/>
      <c r="C678" s="1797"/>
      <c r="D678" s="1797"/>
      <c r="E678" s="1797"/>
      <c r="F678" s="2142"/>
      <c r="G678" s="1797"/>
      <c r="H678" s="2141"/>
    </row>
    <row r="679" spans="1:8" ht="13.5">
      <c r="A679" s="1799" t="s">
        <v>3707</v>
      </c>
      <c r="B679" s="1800">
        <f>'Part IV-A-Uses of Funds'!$G$103</f>
        <v>0</v>
      </c>
      <c r="C679" s="1804"/>
      <c r="D679" s="1804"/>
      <c r="E679" s="1797"/>
      <c r="F679" s="2142"/>
      <c r="G679" s="1797"/>
      <c r="H679" s="2141"/>
    </row>
    <row r="680" spans="1:8" ht="13.5">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3707</v>
      </c>
      <c r="B684" s="1800">
        <f>'Part IV-A-Uses of Funds'!$G$104</f>
        <v>0</v>
      </c>
      <c r="C684" s="1804"/>
      <c r="D684" s="1804"/>
      <c r="E684" s="1797"/>
      <c r="F684" s="2142"/>
      <c r="G684" s="1797"/>
      <c r="H684" s="2141"/>
    </row>
    <row r="685" spans="1:8" ht="13.5">
      <c r="A685" s="1795"/>
      <c r="B685" s="1795"/>
      <c r="C685" s="1795"/>
      <c r="D685" s="1795"/>
      <c r="E685" s="1795"/>
      <c r="F685" s="2142"/>
      <c r="G685" s="1802"/>
      <c r="H685" s="2141"/>
    </row>
    <row r="686" spans="1:8" ht="13.5">
      <c r="A686" s="1796" t="s">
        <v>4520</v>
      </c>
      <c r="B686" s="1797"/>
      <c r="C686" s="1797"/>
      <c r="D686" s="1797"/>
      <c r="E686" s="1797"/>
      <c r="F686" s="1797"/>
      <c r="G686" s="1797"/>
      <c r="H686" s="2141"/>
    </row>
    <row r="687" spans="1:8" ht="13.5" customHeight="1">
      <c r="A687" s="1798" t="str">
        <f>'Part IV-A-Uses of Funds'!$C$110</f>
        <v>&lt;&lt; Enter description here; provide detail &amp; justification in tab Part IV-b &gt;&gt;</v>
      </c>
      <c r="B687" s="1798"/>
      <c r="C687" s="1798"/>
      <c r="D687" s="1798"/>
      <c r="E687" s="2141"/>
      <c r="F687" s="2142">
        <f>'Part IV-B-Other Items'!F65</f>
        <v>0</v>
      </c>
      <c r="G687" s="1797"/>
      <c r="H687" s="2141"/>
    </row>
    <row r="688" spans="1:8" ht="13.5">
      <c r="A688" s="1798"/>
      <c r="B688" s="1798"/>
      <c r="C688" s="1798"/>
      <c r="D688" s="1798"/>
      <c r="E688" s="1797"/>
      <c r="F688" s="2142"/>
      <c r="G688" s="1797"/>
      <c r="H688" s="2141"/>
    </row>
    <row r="689" spans="1:8" ht="13.5">
      <c r="A689" s="1797"/>
      <c r="B689" s="1797"/>
      <c r="C689" s="1797"/>
      <c r="D689" s="1797"/>
      <c r="E689" s="1797"/>
      <c r="F689" s="2142"/>
      <c r="G689" s="1797"/>
      <c r="H689" s="2141"/>
    </row>
    <row r="690" spans="1:8" ht="13.5">
      <c r="A690" s="1799" t="s">
        <v>3707</v>
      </c>
      <c r="B690" s="1800">
        <f>'Part IV-A-Uses of Funds'!$G$110</f>
        <v>0</v>
      </c>
      <c r="C690" s="1804"/>
      <c r="D690" s="1804"/>
      <c r="E690" s="1797"/>
      <c r="F690" s="2142"/>
      <c r="G690" s="1797"/>
      <c r="H690" s="2141"/>
    </row>
    <row r="691" spans="1:8" ht="13.5">
      <c r="A691" s="1797"/>
      <c r="B691" s="1801"/>
      <c r="C691" s="1797"/>
      <c r="D691" s="1797"/>
      <c r="E691" s="1797"/>
      <c r="F691" s="2142"/>
      <c r="G691" s="1802"/>
      <c r="H691" s="2141"/>
    </row>
    <row r="692" spans="1:8" ht="13.5">
      <c r="A692" s="1796" t="s">
        <v>1309</v>
      </c>
      <c r="B692" s="1797"/>
      <c r="C692" s="1797"/>
      <c r="D692" s="1797"/>
      <c r="E692" s="1797"/>
      <c r="F692" s="1797"/>
      <c r="G692" s="1797"/>
      <c r="H692" s="2141"/>
    </row>
    <row r="693" spans="1:8" ht="13.5" customHeight="1">
      <c r="A693" s="1798" t="str">
        <f>'Part IV-A-Uses of Funds'!$C$125</f>
        <v>Tax and Insurance Escrow</v>
      </c>
      <c r="B693" s="1798"/>
      <c r="C693" s="1798"/>
      <c r="D693" s="1798"/>
      <c r="E693" s="2141"/>
      <c r="F693" s="2142" t="str">
        <f>'Part IV-B-Other Items'!F71</f>
        <v>First Year tax and insurance reserve is a requirement of our investors.</v>
      </c>
      <c r="G693" s="1797"/>
      <c r="H693" s="2142" t="str">
        <f>'Part IV-B-Other Items'!H71</f>
        <v>This item is not in basis.</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3707</v>
      </c>
      <c r="B696" s="1800">
        <f>'Part IV-A-Uses of Funds'!$G$125</f>
        <v>60000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5">
      <c r="A698" s="1796" t="s">
        <v>4521</v>
      </c>
      <c r="B698" s="1801"/>
      <c r="C698" s="1797"/>
      <c r="D698" s="1797"/>
      <c r="E698" s="1797"/>
      <c r="F698" s="1797"/>
      <c r="G698" s="1802"/>
      <c r="H698" s="2141"/>
    </row>
    <row r="699" spans="1:8" ht="13.5" customHeight="1">
      <c r="A699" s="1798" t="str">
        <f>'Part IV-A-Uses of Funds'!$C$129</f>
        <v>Site Lighting</v>
      </c>
      <c r="B699" s="1798"/>
      <c r="C699" s="1798"/>
      <c r="D699" s="1798"/>
      <c r="E699" s="2141"/>
      <c r="F699" s="2142" t="str">
        <f>'Part IV-B-Other Items'!F77</f>
        <v>Fee required for construction of site lighting.</v>
      </c>
      <c r="G699" s="1797"/>
      <c r="H699" s="2142" t="str">
        <f>'Part IV-B-Other Items'!H77</f>
        <v>100% of the work is related to construction work.</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3707</v>
      </c>
      <c r="B702" s="1800">
        <f>'Part IV-A-Uses of Funds'!$G$129</f>
        <v>45000</v>
      </c>
      <c r="C702" s="1799" t="s">
        <v>1790</v>
      </c>
      <c r="D702" s="1800">
        <f>'Part IV-A-Uses of Funds'!$J$129+'Part IV-A-Uses of Funds'!$M$129+'Part IV-A-Uses of Funds'!$P$129</f>
        <v>45000</v>
      </c>
      <c r="E702" s="1797"/>
      <c r="F702" s="2142"/>
      <c r="G702" s="1797"/>
      <c r="H702" s="2142"/>
    </row>
    <row r="703" spans="1:8" ht="13.5">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2019-5 55 Milton, ,  County</v>
      </c>
      <c r="B710" s="1629"/>
      <c r="C710" s="1629"/>
      <c r="D710" s="1629"/>
      <c r="E710" s="1629"/>
      <c r="F710" s="1629"/>
      <c r="G710" s="1629"/>
      <c r="H710" s="1629"/>
      <c r="I710" s="1629"/>
      <c r="J710" s="1629"/>
      <c r="K710" s="1629"/>
      <c r="L710" s="1629"/>
      <c r="M710" s="1629"/>
    </row>
    <row r="712" spans="1:13">
      <c r="F712" s="1629" t="s">
        <v>515</v>
      </c>
      <c r="I712" s="1805" t="str">
        <f>VLOOKUP('Part I-Project Information'!$J$39,'DCA Underwriting Assumptions'!$G$158:$H$317,2)</f>
        <v>Local PHA</v>
      </c>
    </row>
    <row r="714" spans="1:13">
      <c r="A714" s="1806" t="s">
        <v>3804</v>
      </c>
    </row>
    <row r="716" spans="1:13" ht="25.5">
      <c r="A716" s="1641" t="s">
        <v>616</v>
      </c>
      <c r="B716" s="1641" t="s">
        <v>2226</v>
      </c>
      <c r="F716" s="742" t="s">
        <v>2518</v>
      </c>
      <c r="I716" s="1635" t="str">
        <f>'Part V-Utility Allowances'!I7</f>
        <v>HUD Utility Model</v>
      </c>
      <c r="J716" s="1635"/>
      <c r="K716" s="1635"/>
      <c r="L716" s="1635"/>
      <c r="M716" s="1635"/>
    </row>
    <row r="717" spans="1:13">
      <c r="A717" s="1641"/>
      <c r="F717" s="742" t="s">
        <v>636</v>
      </c>
      <c r="I717" s="2143">
        <f>'Part V-Utility Allowances'!I8</f>
        <v>43452</v>
      </c>
      <c r="J717" s="2143">
        <f>'Part V-Utility Allowances'!J8</f>
        <v>0</v>
      </c>
      <c r="K717" s="1637" t="s">
        <v>540</v>
      </c>
      <c r="L717" s="2111" t="str">
        <f>'Part V-Utility Allowances'!L8</f>
        <v>3+ Story</v>
      </c>
      <c r="M717" s="2111">
        <f>'Part V-Utility Allowances'!M8</f>
        <v>0</v>
      </c>
    </row>
    <row r="718" spans="1:13">
      <c r="A718" s="1641"/>
    </row>
    <row r="719" spans="1:13">
      <c r="A719" s="1641"/>
      <c r="B719" s="1641"/>
      <c r="C719" s="1641"/>
      <c r="D719" s="1641"/>
      <c r="E719" s="1641"/>
      <c r="F719" s="1807" t="s">
        <v>609</v>
      </c>
      <c r="G719" s="1807"/>
      <c r="H719" s="1641"/>
      <c r="I719" s="1807" t="s">
        <v>200</v>
      </c>
      <c r="J719" s="1807"/>
      <c r="K719" s="1807"/>
      <c r="L719" s="1807"/>
      <c r="M719" s="1807"/>
    </row>
    <row r="720" spans="1:13">
      <c r="A720" s="1641"/>
      <c r="B720" s="1641" t="s">
        <v>798</v>
      </c>
      <c r="C720" s="1641"/>
      <c r="D720" s="1641" t="s">
        <v>1599</v>
      </c>
      <c r="E720" s="1641"/>
      <c r="F720" s="1639" t="s">
        <v>642</v>
      </c>
      <c r="G720" s="1639" t="s">
        <v>1849</v>
      </c>
      <c r="H720" s="1641"/>
      <c r="I720" s="1639" t="s">
        <v>568</v>
      </c>
      <c r="J720" s="1639">
        <v>1</v>
      </c>
      <c r="K720" s="1639">
        <v>2</v>
      </c>
      <c r="L720" s="1639">
        <v>3</v>
      </c>
      <c r="M720" s="1639">
        <v>4</v>
      </c>
    </row>
    <row r="721" spans="1:13">
      <c r="B721" s="742" t="s">
        <v>1851</v>
      </c>
      <c r="D721" s="2111" t="str">
        <f>'Part V-Utility Allowances'!D12</f>
        <v>Electric Heat Pump</v>
      </c>
      <c r="E721" s="2111">
        <f>'Part V-Utility Allowances'!E12</f>
        <v>0</v>
      </c>
      <c r="F721" s="2144" t="str">
        <f>'Part V-Utility Allowances'!F12</f>
        <v>X</v>
      </c>
      <c r="G721" s="2144">
        <f>'Part V-Utility Allowances'!G12</f>
        <v>0</v>
      </c>
      <c r="I721" s="1637">
        <f>'Part V-Utility Allowances'!I12</f>
        <v>0</v>
      </c>
      <c r="J721" s="1637">
        <f>'Part V-Utility Allowances'!J12</f>
        <v>12</v>
      </c>
      <c r="K721" s="1637">
        <f>'Part V-Utility Allowances'!K12</f>
        <v>14</v>
      </c>
      <c r="L721" s="1637">
        <f>'Part V-Utility Allowances'!L12</f>
        <v>15</v>
      </c>
      <c r="M721" s="1637">
        <f>'Part V-Utility Allowances'!M12</f>
        <v>0</v>
      </c>
    </row>
    <row r="722" spans="1:13">
      <c r="B722" s="742" t="s">
        <v>1597</v>
      </c>
      <c r="D722" s="2111" t="str">
        <f>'Part V-Utility Allowances'!D13</f>
        <v>Electric</v>
      </c>
      <c r="E722" s="2111">
        <f>'Part V-Utility Allowances'!E13</f>
        <v>0</v>
      </c>
      <c r="F722" s="2144" t="str">
        <f>'Part V-Utility Allowances'!F13</f>
        <v>X</v>
      </c>
      <c r="G722" s="2144">
        <f>'Part V-Utility Allowances'!G13</f>
        <v>0</v>
      </c>
      <c r="I722" s="1637">
        <f>'Part V-Utility Allowances'!I13</f>
        <v>0</v>
      </c>
      <c r="J722" s="1637">
        <f>'Part V-Utility Allowances'!J13</f>
        <v>6</v>
      </c>
      <c r="K722" s="1637">
        <f>'Part V-Utility Allowances'!K13</f>
        <v>8</v>
      </c>
      <c r="L722" s="1637">
        <f>'Part V-Utility Allowances'!L13</f>
        <v>11</v>
      </c>
      <c r="M722" s="1637">
        <f>'Part V-Utility Allowances'!M13</f>
        <v>0</v>
      </c>
    </row>
    <row r="723" spans="1:13">
      <c r="B723" s="742" t="s">
        <v>1598</v>
      </c>
      <c r="D723" s="2111" t="str">
        <f>'Part V-Utility Allowances'!D14</f>
        <v>Electric</v>
      </c>
      <c r="E723" s="2111">
        <f>'Part V-Utility Allowances'!E14</f>
        <v>0</v>
      </c>
      <c r="F723" s="2144" t="str">
        <f>'Part V-Utility Allowances'!F14</f>
        <v>X</v>
      </c>
      <c r="G723" s="2144">
        <f>'Part V-Utility Allowances'!G14</f>
        <v>0</v>
      </c>
      <c r="I723" s="1637">
        <f>'Part V-Utility Allowances'!I14</f>
        <v>0</v>
      </c>
      <c r="J723" s="1637">
        <f>'Part V-Utility Allowances'!J14</f>
        <v>13</v>
      </c>
      <c r="K723" s="1637">
        <f>'Part V-Utility Allowances'!K14</f>
        <v>17</v>
      </c>
      <c r="L723" s="1637">
        <f>'Part V-Utility Allowances'!L14</f>
        <v>20</v>
      </c>
      <c r="M723" s="1637">
        <f>'Part V-Utility Allowances'!M14</f>
        <v>0</v>
      </c>
    </row>
    <row r="724" spans="1:13">
      <c r="B724" s="742" t="s">
        <v>467</v>
      </c>
      <c r="D724" s="742" t="s">
        <v>1596</v>
      </c>
      <c r="F724" s="2144" t="str">
        <f>'Part V-Utility Allowances'!F15</f>
        <v>X</v>
      </c>
      <c r="G724" s="2144">
        <f>'Part V-Utility Allowances'!G15</f>
        <v>0</v>
      </c>
      <c r="I724" s="1637">
        <f>'Part V-Utility Allowances'!I15</f>
        <v>0</v>
      </c>
      <c r="J724" s="1637">
        <f>'Part V-Utility Allowances'!J15</f>
        <v>10</v>
      </c>
      <c r="K724" s="1637">
        <f>'Part V-Utility Allowances'!K15</f>
        <v>16</v>
      </c>
      <c r="L724" s="1637">
        <f>'Part V-Utility Allowances'!L15</f>
        <v>24</v>
      </c>
      <c r="M724" s="1637">
        <f>'Part V-Utility Allowances'!M15</f>
        <v>0</v>
      </c>
    </row>
    <row r="725" spans="1:13">
      <c r="B725" s="742" t="s">
        <v>3801</v>
      </c>
      <c r="D725" s="742" t="s">
        <v>1596</v>
      </c>
      <c r="F725" s="2144">
        <f>'Part V-Utility Allowances'!F16</f>
        <v>0</v>
      </c>
      <c r="G725" s="2144">
        <f>'Part V-Utility Allowances'!G16</f>
        <v>0</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3802</v>
      </c>
      <c r="D726" s="742" t="s">
        <v>1596</v>
      </c>
      <c r="F726" s="2144">
        <f>'Part V-Utility Allowances'!F17</f>
        <v>0</v>
      </c>
      <c r="G726" s="2144">
        <f>'Part V-Utility Allowances'!G17</f>
        <v>0</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3803</v>
      </c>
      <c r="D727" s="742" t="s">
        <v>1596</v>
      </c>
      <c r="F727" s="2144" t="str">
        <f>'Part V-Utility Allowances'!F18</f>
        <v>X</v>
      </c>
      <c r="G727" s="2144">
        <f>'Part V-Utility Allowances'!G18</f>
        <v>0</v>
      </c>
      <c r="I727" s="1637">
        <f>'Part V-Utility Allowances'!I18</f>
        <v>0</v>
      </c>
      <c r="J727" s="1637">
        <f>'Part V-Utility Allowances'!J18</f>
        <v>31</v>
      </c>
      <c r="K727" s="1637">
        <f>'Part V-Utility Allowances'!K18</f>
        <v>39</v>
      </c>
      <c r="L727" s="1637">
        <f>'Part V-Utility Allowances'!L18</f>
        <v>48</v>
      </c>
      <c r="M727" s="1637">
        <f>'Part V-Utility Allowances'!M18</f>
        <v>0</v>
      </c>
    </row>
    <row r="728" spans="1:13">
      <c r="B728" s="742" t="s">
        <v>1370</v>
      </c>
      <c r="D728" s="742" t="s">
        <v>4522</v>
      </c>
      <c r="E728" s="1637" t="str">
        <f>'Part V-Utility Allowances'!E19</f>
        <v>Yes</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c r="B729" s="742" t="s">
        <v>1850</v>
      </c>
      <c r="F729" s="2144">
        <f>'Part V-Utility Allowances'!F21</f>
        <v>0</v>
      </c>
      <c r="G729" s="2144">
        <f>'Part V-Utility Allowances'!G21</f>
        <v>0</v>
      </c>
      <c r="I729" s="1637">
        <f>'Part V-Utility Allowances'!I21</f>
        <v>0</v>
      </c>
      <c r="J729" s="1637">
        <f>'Part V-Utility Allowances'!J21</f>
        <v>0</v>
      </c>
      <c r="K729" s="1637">
        <f>'Part V-Utility Allowances'!K21</f>
        <v>0</v>
      </c>
      <c r="L729" s="1637">
        <f>'Part V-Utility Allowances'!L21</f>
        <v>0</v>
      </c>
      <c r="M729" s="1637">
        <f>'Part V-Utility Allowances'!M21</f>
        <v>0</v>
      </c>
    </row>
    <row r="730" spans="1:13">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72</v>
      </c>
      <c r="K730" s="1639">
        <f>IF(SUM(K721:K729)=0,0,IF(OR($D721="&lt;&lt;Select Fuel &gt;&gt;",$D722="&lt;&lt;Select Fuel &gt;&gt;",$D723="&lt;&lt;Select Fuel &gt;&gt;"),"Select Fuel",IF($E728="&lt;Select&gt;","Submeter?",SUM(K721:K729))))</f>
        <v>94</v>
      </c>
      <c r="L730" s="1639">
        <f>IF(SUM(L721:L729)=0,0,IF(OR($D721="&lt;&lt;Select Fuel &gt;&gt;",$D722="&lt;&lt;Select Fuel &gt;&gt;",$D723="&lt;&lt;Select Fuel &gt;&gt;"),"Select Fuel",IF($E728="&lt;Select&gt;","Submeter?",SUM(L721:L729))))</f>
        <v>118</v>
      </c>
      <c r="M730" s="1639">
        <f>IF(SUM(M721:M729)=0,0,IF(OR($D721="&lt;&lt;Select Fuel &gt;&gt;",$D722="&lt;&lt;Select Fuel &gt;&gt;",$D723="&lt;&lt;Select Fuel &gt;&gt;"),"Select Fuel",IF($E728="&lt;Select&gt;","Submeter?",SUM(M721:M729))))</f>
        <v>0</v>
      </c>
    </row>
    <row r="732" spans="1:13" ht="38.25">
      <c r="A732" s="1641" t="s">
        <v>740</v>
      </c>
      <c r="B732" s="1641" t="s">
        <v>2227</v>
      </c>
      <c r="F732" s="742" t="s">
        <v>2518</v>
      </c>
      <c r="I732" s="1635" t="str">
        <f>'Part V-Utility Allowances'!I24</f>
        <v>Atlanta Housing Authority</v>
      </c>
      <c r="J732" s="1635">
        <f>'Part V-Utility Allowances'!J24</f>
        <v>0</v>
      </c>
      <c r="K732" s="1635">
        <f>'Part V-Utility Allowances'!K24</f>
        <v>0</v>
      </c>
      <c r="L732" s="1635">
        <f>'Part V-Utility Allowances'!L24</f>
        <v>0</v>
      </c>
      <c r="M732" s="1635">
        <f>'Part V-Utility Allowances'!M24</f>
        <v>0</v>
      </c>
    </row>
    <row r="733" spans="1:13">
      <c r="A733" s="1641"/>
      <c r="B733" s="1641"/>
      <c r="F733" s="742" t="s">
        <v>636</v>
      </c>
      <c r="I733" s="2143">
        <f>'Part V-Utility Allowances'!I25</f>
        <v>43466</v>
      </c>
      <c r="J733" s="2143">
        <f>'Part V-Utility Allowances'!J25</f>
        <v>0</v>
      </c>
      <c r="K733" s="1637" t="s">
        <v>540</v>
      </c>
      <c r="L733" s="2111" t="str">
        <f>'Part V-Utility Allowances'!L25</f>
        <v>3+ Story</v>
      </c>
      <c r="M733" s="2111">
        <f>'Part V-Utility Allowances'!M25</f>
        <v>0</v>
      </c>
    </row>
    <row r="734" spans="1:13">
      <c r="A734" s="1641"/>
    </row>
    <row r="735" spans="1:13">
      <c r="A735" s="1641"/>
      <c r="B735" s="1641"/>
      <c r="C735" s="1641"/>
      <c r="D735" s="1641"/>
      <c r="E735" s="1641"/>
      <c r="F735" s="1807" t="s">
        <v>609</v>
      </c>
      <c r="G735" s="1807"/>
      <c r="H735" s="1641"/>
      <c r="I735" s="1807" t="s">
        <v>200</v>
      </c>
      <c r="J735" s="1807"/>
      <c r="K735" s="1807"/>
      <c r="L735" s="1807"/>
      <c r="M735" s="1807"/>
    </row>
    <row r="736" spans="1:13">
      <c r="A736" s="1641"/>
      <c r="B736" s="1641" t="s">
        <v>798</v>
      </c>
      <c r="C736" s="1641"/>
      <c r="D736" s="1641" t="s">
        <v>1599</v>
      </c>
      <c r="E736" s="1641"/>
      <c r="F736" s="1639" t="s">
        <v>642</v>
      </c>
      <c r="G736" s="1639" t="s">
        <v>1849</v>
      </c>
      <c r="H736" s="1641"/>
      <c r="I736" s="1639" t="s">
        <v>568</v>
      </c>
      <c r="J736" s="1639">
        <v>1</v>
      </c>
      <c r="K736" s="1639">
        <v>2</v>
      </c>
      <c r="L736" s="1639">
        <v>3</v>
      </c>
      <c r="M736" s="1639">
        <v>4</v>
      </c>
    </row>
    <row r="737" spans="1:13">
      <c r="B737" s="742" t="s">
        <v>1851</v>
      </c>
      <c r="D737" s="2111" t="str">
        <f>'Part V-Utility Allowances'!D29</f>
        <v>Electric Heat Pump</v>
      </c>
      <c r="E737" s="2111">
        <f>'Part V-Utility Allowances'!E29</f>
        <v>0</v>
      </c>
      <c r="F737" s="2144">
        <f>'Part V-Utility Allowances'!F29</f>
        <v>0</v>
      </c>
      <c r="G737" s="2144" t="str">
        <f>'Part V-Utility Allowances'!G29</f>
        <v>X</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1597</v>
      </c>
      <c r="D738" s="2111" t="str">
        <f>'Part V-Utility Allowances'!D30</f>
        <v>Electric</v>
      </c>
      <c r="E738" s="2111">
        <f>'Part V-Utility Allowances'!E30</f>
        <v>0</v>
      </c>
      <c r="F738" s="2144">
        <f>'Part V-Utility Allowances'!F30</f>
        <v>0</v>
      </c>
      <c r="G738" s="2144" t="str">
        <f>'Part V-Utility Allowances'!G30</f>
        <v>X</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1598</v>
      </c>
      <c r="D739" s="2111" t="str">
        <f>'Part V-Utility Allowances'!D31</f>
        <v>Electric</v>
      </c>
      <c r="E739" s="2111">
        <f>'Part V-Utility Allowances'!E31</f>
        <v>0</v>
      </c>
      <c r="F739" s="2144">
        <f>'Part V-Utility Allowances'!F31</f>
        <v>0</v>
      </c>
      <c r="G739" s="2144" t="str">
        <f>'Part V-Utility Allowances'!G31</f>
        <v>X</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467</v>
      </c>
      <c r="D740" s="742" t="s">
        <v>1596</v>
      </c>
      <c r="F740" s="2144">
        <f>'Part V-Utility Allowances'!F32</f>
        <v>0</v>
      </c>
      <c r="G740" s="2144" t="str">
        <f>'Part V-Utility Allowances'!G32</f>
        <v>X</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3801</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3802</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3803</v>
      </c>
      <c r="D743" s="742" t="s">
        <v>1596</v>
      </c>
      <c r="F743" s="2144">
        <f>'Part V-Utility Allowances'!F35</f>
        <v>0</v>
      </c>
      <c r="G743" s="2144" t="str">
        <f>'Part V-Utility Allowances'!G35</f>
        <v>X</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1370</v>
      </c>
      <c r="D744" s="742" t="s">
        <v>4522</v>
      </c>
      <c r="E744" s="1637" t="str">
        <f>'Part V-Utility Allowances'!E36</f>
        <v>Yes</v>
      </c>
      <c r="F744" s="2144">
        <f>'Part V-Utility Allowances'!F36</f>
        <v>0</v>
      </c>
      <c r="G744" s="2144" t="str">
        <f>'Part V-Utility Allowances'!G36</f>
        <v>X</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1850</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4523</v>
      </c>
      <c r="F748" s="1637"/>
      <c r="G748" s="1637"/>
      <c r="I748" s="1639"/>
      <c r="J748" s="1639"/>
      <c r="K748" s="1639"/>
      <c r="L748" s="1639"/>
      <c r="M748" s="1639"/>
    </row>
    <row r="749" spans="1:13">
      <c r="A749" s="1641"/>
      <c r="B749" s="1641" t="s">
        <v>572</v>
      </c>
    </row>
    <row r="750" spans="1:13" ht="409.5">
      <c r="B750" s="1485" t="str">
        <f>'Part V-Utility Allowances'!B43</f>
        <v>The HUD Utility Schedule Model is an allowed utility allowance for a Tax Credit Building with no HOME per Threshold Section 1 Feasibility, Subsection 7 Operating Utility Allowance. The PBRA units will be owner paid. All documentation used in the calculation has been submitted in Folder 01 Feasibility.</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1844</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55 Milton,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55 Milton,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2365</v>
      </c>
      <c r="D760" s="1652" t="s">
        <v>3569</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2439</v>
      </c>
      <c r="FD760" s="1632" t="s">
        <v>2440</v>
      </c>
      <c r="FE760" s="1632" t="s">
        <v>2441</v>
      </c>
      <c r="FF760" s="1632" t="s">
        <v>2442</v>
      </c>
      <c r="FG760" s="1632" t="s">
        <v>485</v>
      </c>
      <c r="FH760" s="1632" t="s">
        <v>2439</v>
      </c>
      <c r="FI760" s="1632" t="s">
        <v>2440</v>
      </c>
      <c r="FJ760" s="1632" t="s">
        <v>2441</v>
      </c>
      <c r="FK760" s="1632" t="s">
        <v>2442</v>
      </c>
      <c r="FL760" s="1633"/>
      <c r="FM760" s="1633"/>
      <c r="FN760" s="1633"/>
      <c r="FO760" s="1633"/>
      <c r="FP760" s="1633"/>
      <c r="FQ760" s="1633"/>
      <c r="FR760" s="1633"/>
      <c r="FS760" s="1633"/>
      <c r="FT760" s="1633"/>
      <c r="FU760" s="1633"/>
      <c r="FV760" s="1632" t="s">
        <v>485</v>
      </c>
      <c r="FW760" s="1632" t="s">
        <v>2439</v>
      </c>
      <c r="FX760" s="1632" t="s">
        <v>2440</v>
      </c>
      <c r="FY760" s="1632" t="s">
        <v>2441</v>
      </c>
      <c r="FZ760" s="1632" t="s">
        <v>2442</v>
      </c>
      <c r="GA760" s="1632" t="s">
        <v>485</v>
      </c>
      <c r="GB760" s="1632" t="s">
        <v>2439</v>
      </c>
      <c r="GC760" s="1632" t="s">
        <v>2440</v>
      </c>
      <c r="GD760" s="1632" t="s">
        <v>2441</v>
      </c>
      <c r="GE760" s="1632" t="s">
        <v>2442</v>
      </c>
      <c r="GF760" s="1632" t="s">
        <v>485</v>
      </c>
      <c r="GG760" s="1632" t="s">
        <v>2439</v>
      </c>
      <c r="GH760" s="1632" t="s">
        <v>2440</v>
      </c>
      <c r="GI760" s="1632" t="s">
        <v>2441</v>
      </c>
      <c r="GJ760" s="1632" t="s">
        <v>2442</v>
      </c>
      <c r="GK760" s="1632" t="s">
        <v>485</v>
      </c>
      <c r="GL760" s="1632" t="s">
        <v>2439</v>
      </c>
      <c r="GM760" s="1632" t="s">
        <v>2440</v>
      </c>
      <c r="GN760" s="1632" t="s">
        <v>2441</v>
      </c>
      <c r="GO760" s="1632" t="s">
        <v>2442</v>
      </c>
      <c r="GP760" s="1632" t="s">
        <v>485</v>
      </c>
      <c r="GQ760" s="1632" t="s">
        <v>2439</v>
      </c>
      <c r="GR760" s="1632" t="s">
        <v>2440</v>
      </c>
      <c r="GS760" s="1632" t="s">
        <v>2441</v>
      </c>
      <c r="GT760" s="1632" t="s">
        <v>2442</v>
      </c>
      <c r="GU760" s="1632" t="s">
        <v>485</v>
      </c>
      <c r="GV760" s="1632" t="s">
        <v>2439</v>
      </c>
      <c r="GW760" s="1632" t="s">
        <v>2440</v>
      </c>
      <c r="GX760" s="1632" t="s">
        <v>2441</v>
      </c>
      <c r="GY760" s="1632" t="s">
        <v>2442</v>
      </c>
      <c r="GZ760" s="1632" t="s">
        <v>485</v>
      </c>
      <c r="HA760" s="1632" t="s">
        <v>2439</v>
      </c>
      <c r="HB760" s="1632" t="s">
        <v>2440</v>
      </c>
      <c r="HC760" s="1632" t="s">
        <v>2441</v>
      </c>
      <c r="HD760" s="1632" t="s">
        <v>2442</v>
      </c>
      <c r="HE760" s="1632" t="s">
        <v>485</v>
      </c>
      <c r="HF760" s="1632" t="s">
        <v>2439</v>
      </c>
      <c r="HG760" s="1632" t="s">
        <v>2440</v>
      </c>
      <c r="HH760" s="1632" t="s">
        <v>2441</v>
      </c>
      <c r="HI760" s="1632" t="s">
        <v>2442</v>
      </c>
      <c r="HJ760" s="1632" t="s">
        <v>485</v>
      </c>
      <c r="HK760" s="1632" t="s">
        <v>2439</v>
      </c>
      <c r="HL760" s="1632" t="s">
        <v>2440</v>
      </c>
      <c r="HM760" s="1632" t="s">
        <v>2441</v>
      </c>
      <c r="HN760" s="1632" t="s">
        <v>2442</v>
      </c>
      <c r="HO760" s="1632" t="s">
        <v>485</v>
      </c>
      <c r="HP760" s="1632" t="s">
        <v>2439</v>
      </c>
      <c r="HQ760" s="1632" t="s">
        <v>2440</v>
      </c>
      <c r="HR760" s="1632" t="s">
        <v>2441</v>
      </c>
      <c r="HS760" s="1632" t="s">
        <v>2442</v>
      </c>
      <c r="HT760" s="1632" t="s">
        <v>485</v>
      </c>
      <c r="HU760" s="1632" t="s">
        <v>2439</v>
      </c>
      <c r="HV760" s="1632" t="s">
        <v>2440</v>
      </c>
      <c r="HW760" s="1632" t="s">
        <v>2441</v>
      </c>
      <c r="HX760" s="1632" t="s">
        <v>2442</v>
      </c>
      <c r="HY760" s="1632" t="s">
        <v>485</v>
      </c>
      <c r="HZ760" s="1632" t="s">
        <v>2439</v>
      </c>
      <c r="IA760" s="1632" t="s">
        <v>2440</v>
      </c>
      <c r="IB760" s="1632" t="s">
        <v>2441</v>
      </c>
      <c r="IC760" s="1632" t="s">
        <v>2442</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3422</v>
      </c>
      <c r="JD760" s="1635" t="s">
        <v>3423</v>
      </c>
      <c r="JE760" s="1635" t="s">
        <v>3424</v>
      </c>
      <c r="JF760" s="1635" t="s">
        <v>3425</v>
      </c>
      <c r="JG760" s="1635" t="s">
        <v>3426</v>
      </c>
    </row>
    <row r="761" spans="1:277" s="1631" customFormat="1" ht="3" customHeight="1">
      <c r="B761" s="1629"/>
      <c r="D761" s="1629"/>
      <c r="P761" s="1808" t="s">
        <v>4524</v>
      </c>
      <c r="Q761" s="1809"/>
      <c r="R761" s="1636"/>
      <c r="S761" s="1636"/>
      <c r="T761" s="1636"/>
      <c r="U761" s="1636"/>
      <c r="W761" s="1810" t="s">
        <v>919</v>
      </c>
      <c r="X761" s="1810" t="s">
        <v>756</v>
      </c>
      <c r="Y761" s="1810" t="s">
        <v>757</v>
      </c>
      <c r="Z761" s="1810" t="s">
        <v>758</v>
      </c>
      <c r="AA761" s="1810" t="s">
        <v>759</v>
      </c>
      <c r="AB761" s="1810" t="s">
        <v>920</v>
      </c>
      <c r="AC761" s="1810" t="s">
        <v>2309</v>
      </c>
      <c r="AD761" s="1810" t="s">
        <v>2310</v>
      </c>
      <c r="AE761" s="1810" t="s">
        <v>2311</v>
      </c>
      <c r="AF761" s="1810" t="s">
        <v>2312</v>
      </c>
      <c r="AG761" s="1810" t="s">
        <v>921</v>
      </c>
      <c r="AH761" s="1810" t="s">
        <v>2313</v>
      </c>
      <c r="AI761" s="1810" t="s">
        <v>2314</v>
      </c>
      <c r="AJ761" s="1810" t="s">
        <v>2315</v>
      </c>
      <c r="AK761" s="1810" t="s">
        <v>2316</v>
      </c>
      <c r="AL761" s="1810" t="s">
        <v>129</v>
      </c>
      <c r="AM761" s="1810" t="s">
        <v>2317</v>
      </c>
      <c r="AN761" s="1810" t="s">
        <v>2318</v>
      </c>
      <c r="AO761" s="1810" t="s">
        <v>2319</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2429</v>
      </c>
      <c r="BV761" s="1810" t="s">
        <v>2430</v>
      </c>
      <c r="BW761" s="1810" t="s">
        <v>2431</v>
      </c>
      <c r="BX761" s="1810" t="s">
        <v>2432</v>
      </c>
      <c r="BY761" s="1810" t="s">
        <v>2433</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2428</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2207</v>
      </c>
      <c r="EN761" s="1635" t="s">
        <v>2208</v>
      </c>
      <c r="EO761" s="1635" t="s">
        <v>2209</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2522</v>
      </c>
      <c r="IF761" s="1635" t="s">
        <v>2523</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1845</v>
      </c>
      <c r="E762" s="1629"/>
      <c r="G762" s="1630" t="str">
        <f>'Part VI-Revenues &amp; Expenses'!G5</f>
        <v>&lt;Select&gt;</v>
      </c>
      <c r="H762" s="1629"/>
      <c r="I762" s="1812" t="s">
        <v>798</v>
      </c>
      <c r="J762" s="1812" t="s">
        <v>3564</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3417</v>
      </c>
      <c r="JI762" s="1636" t="s">
        <v>3418</v>
      </c>
      <c r="JJ762" s="1636" t="s">
        <v>3419</v>
      </c>
      <c r="JK762" s="1636" t="s">
        <v>3420</v>
      </c>
      <c r="JL762" s="1636" t="s">
        <v>3421</v>
      </c>
      <c r="JM762" s="1635" t="s">
        <v>3431</v>
      </c>
      <c r="JN762" s="1635" t="s">
        <v>3433</v>
      </c>
      <c r="JO762" s="1635" t="s">
        <v>3434</v>
      </c>
      <c r="JP762" s="1635" t="s">
        <v>3435</v>
      </c>
      <c r="JQ762" s="1635" t="s">
        <v>3436</v>
      </c>
    </row>
    <row r="763" spans="1:277" s="1631" customFormat="1" ht="13.35" customHeight="1">
      <c r="A763" s="1811"/>
      <c r="B763" s="1814" t="s">
        <v>1805</v>
      </c>
      <c r="E763" s="1629"/>
      <c r="F763" s="1637" t="str">
        <f>'Part VI-Revenues &amp; Expenses'!F6</f>
        <v>&lt;Select&gt;</v>
      </c>
      <c r="G763" s="1812" t="s">
        <v>3664</v>
      </c>
      <c r="H763" s="1808" t="s">
        <v>3888</v>
      </c>
      <c r="I763" s="1812" t="s">
        <v>799</v>
      </c>
      <c r="J763" s="1812" t="s">
        <v>3667</v>
      </c>
      <c r="K763" s="1636"/>
      <c r="L763" s="1636"/>
      <c r="M763" s="1815" t="str">
        <f>'Part I-Project Information'!$O$40</f>
        <v>Atlanta-Sandy Springs-Marietta</v>
      </c>
      <c r="N763" s="1815"/>
      <c r="O763" s="1816">
        <f>VLOOKUP('Part I-Project Information'!$O$40,'DCA Underwriting Assumptions'!$C$158:$D$268,2)</f>
        <v>74800</v>
      </c>
      <c r="P763" s="1808"/>
      <c r="Q763" s="1809"/>
      <c r="S763" s="1629" t="s">
        <v>2697</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3665</v>
      </c>
      <c r="H764" s="1808"/>
      <c r="I764" s="1785" t="s">
        <v>3849</v>
      </c>
      <c r="J764" s="1812" t="s">
        <v>3668</v>
      </c>
      <c r="K764" s="1636"/>
      <c r="L764" s="1636"/>
      <c r="P764" s="1808"/>
      <c r="Q764" s="1809"/>
      <c r="R764" s="1636"/>
      <c r="S764" s="1817"/>
      <c r="T764" s="1818" t="s">
        <v>2694</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3665</v>
      </c>
      <c r="I765" s="1785"/>
      <c r="J765" s="1812" t="s">
        <v>4525</v>
      </c>
      <c r="K765" s="1820" t="s">
        <v>145</v>
      </c>
      <c r="L765" s="1820"/>
      <c r="M765" s="1812" t="s">
        <v>2366</v>
      </c>
      <c r="N765" s="1812" t="s">
        <v>532</v>
      </c>
      <c r="O765" s="1812" t="s">
        <v>383</v>
      </c>
      <c r="P765" s="1808"/>
      <c r="Q765" s="1820" t="s">
        <v>3573</v>
      </c>
      <c r="R765" s="1820"/>
      <c r="S765" s="1812" t="s">
        <v>2693</v>
      </c>
      <c r="T765" s="1812" t="s">
        <v>2695</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2439</v>
      </c>
      <c r="EY765" s="1637" t="s">
        <v>2440</v>
      </c>
      <c r="EZ765" s="1637" t="s">
        <v>2441</v>
      </c>
      <c r="FA765" s="1637" t="s">
        <v>2442</v>
      </c>
      <c r="FB765" s="1635" t="s">
        <v>2496</v>
      </c>
      <c r="FC765" s="1635" t="s">
        <v>2496</v>
      </c>
      <c r="FD765" s="1635" t="s">
        <v>2496</v>
      </c>
      <c r="FE765" s="1635" t="s">
        <v>2496</v>
      </c>
      <c r="FF765" s="1635" t="s">
        <v>2496</v>
      </c>
      <c r="FG765" s="1635" t="s">
        <v>3365</v>
      </c>
      <c r="FH765" s="1635" t="s">
        <v>3365</v>
      </c>
      <c r="FI765" s="1635" t="s">
        <v>3365</v>
      </c>
      <c r="FJ765" s="1635" t="s">
        <v>3365</v>
      </c>
      <c r="FK765" s="1635" t="s">
        <v>3365</v>
      </c>
      <c r="FL765" s="1637" t="s">
        <v>568</v>
      </c>
      <c r="FM765" s="1637" t="s">
        <v>2439</v>
      </c>
      <c r="FN765" s="1637" t="s">
        <v>2440</v>
      </c>
      <c r="FO765" s="1637" t="s">
        <v>2441</v>
      </c>
      <c r="FP765" s="1637" t="s">
        <v>2442</v>
      </c>
      <c r="FQ765" s="1637" t="s">
        <v>568</v>
      </c>
      <c r="FR765" s="1637" t="s">
        <v>2439</v>
      </c>
      <c r="FS765" s="1637" t="s">
        <v>2440</v>
      </c>
      <c r="FT765" s="1637" t="s">
        <v>2441</v>
      </c>
      <c r="FU765" s="1637" t="s">
        <v>2442</v>
      </c>
      <c r="FV765" s="1635" t="s">
        <v>2498</v>
      </c>
      <c r="FW765" s="1635" t="s">
        <v>2498</v>
      </c>
      <c r="FX765" s="1635" t="s">
        <v>2498</v>
      </c>
      <c r="FY765" s="1635" t="s">
        <v>2498</v>
      </c>
      <c r="FZ765" s="1635" t="s">
        <v>2498</v>
      </c>
      <c r="GA765" s="1635" t="s">
        <v>3361</v>
      </c>
      <c r="GB765" s="1635" t="s">
        <v>3361</v>
      </c>
      <c r="GC765" s="1635" t="s">
        <v>3361</v>
      </c>
      <c r="GD765" s="1635" t="s">
        <v>3361</v>
      </c>
      <c r="GE765" s="1635" t="s">
        <v>3361</v>
      </c>
      <c r="GF765" s="1635" t="s">
        <v>358</v>
      </c>
      <c r="GG765" s="1635" t="s">
        <v>358</v>
      </c>
      <c r="GH765" s="1635" t="s">
        <v>358</v>
      </c>
      <c r="GI765" s="1635" t="s">
        <v>358</v>
      </c>
      <c r="GJ765" s="1635" t="s">
        <v>358</v>
      </c>
      <c r="GK765" s="1635" t="s">
        <v>3360</v>
      </c>
      <c r="GL765" s="1635" t="s">
        <v>3360</v>
      </c>
      <c r="GM765" s="1635" t="s">
        <v>3360</v>
      </c>
      <c r="GN765" s="1635" t="s">
        <v>3360</v>
      </c>
      <c r="GO765" s="1635" t="s">
        <v>3360</v>
      </c>
      <c r="GP765" s="1635" t="s">
        <v>359</v>
      </c>
      <c r="GQ765" s="1635" t="s">
        <v>359</v>
      </c>
      <c r="GR765" s="1635" t="s">
        <v>359</v>
      </c>
      <c r="GS765" s="1635" t="s">
        <v>359</v>
      </c>
      <c r="GT765" s="1635" t="s">
        <v>359</v>
      </c>
      <c r="GU765" s="1635" t="s">
        <v>3359</v>
      </c>
      <c r="GV765" s="1635" t="s">
        <v>3359</v>
      </c>
      <c r="GW765" s="1635" t="s">
        <v>3359</v>
      </c>
      <c r="GX765" s="1635" t="s">
        <v>3359</v>
      </c>
      <c r="GY765" s="1635" t="s">
        <v>3359</v>
      </c>
      <c r="GZ765" s="1635" t="s">
        <v>360</v>
      </c>
      <c r="HA765" s="1635" t="s">
        <v>360</v>
      </c>
      <c r="HB765" s="1635" t="s">
        <v>360</v>
      </c>
      <c r="HC765" s="1635" t="s">
        <v>360</v>
      </c>
      <c r="HD765" s="1635" t="s">
        <v>360</v>
      </c>
      <c r="HE765" s="1635" t="s">
        <v>3362</v>
      </c>
      <c r="HF765" s="1635" t="s">
        <v>3362</v>
      </c>
      <c r="HG765" s="1635" t="s">
        <v>3362</v>
      </c>
      <c r="HH765" s="1635" t="s">
        <v>3362</v>
      </c>
      <c r="HI765" s="1635" t="s">
        <v>3362</v>
      </c>
      <c r="HJ765" s="1635" t="s">
        <v>361</v>
      </c>
      <c r="HK765" s="1635" t="s">
        <v>361</v>
      </c>
      <c r="HL765" s="1635" t="s">
        <v>361</v>
      </c>
      <c r="HM765" s="1635" t="s">
        <v>361</v>
      </c>
      <c r="HN765" s="1635" t="s">
        <v>361</v>
      </c>
      <c r="HO765" s="1635" t="s">
        <v>3363</v>
      </c>
      <c r="HP765" s="1635" t="s">
        <v>3363</v>
      </c>
      <c r="HQ765" s="1635" t="s">
        <v>3363</v>
      </c>
      <c r="HR765" s="1635" t="s">
        <v>3363</v>
      </c>
      <c r="HS765" s="1635" t="s">
        <v>3363</v>
      </c>
      <c r="HT765" s="1635" t="s">
        <v>1461</v>
      </c>
      <c r="HU765" s="1635" t="s">
        <v>1461</v>
      </c>
      <c r="HV765" s="1635" t="s">
        <v>1461</v>
      </c>
      <c r="HW765" s="1635" t="s">
        <v>1461</v>
      </c>
      <c r="HX765" s="1635" t="s">
        <v>1461</v>
      </c>
      <c r="HY765" s="1635" t="s">
        <v>3364</v>
      </c>
      <c r="HZ765" s="1635" t="s">
        <v>3364</v>
      </c>
      <c r="IA765" s="1635" t="s">
        <v>3364</v>
      </c>
      <c r="IB765" s="1635" t="s">
        <v>3364</v>
      </c>
      <c r="IC765" s="1635" t="s">
        <v>3364</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3666</v>
      </c>
      <c r="H766" s="1812" t="s">
        <v>1478</v>
      </c>
      <c r="I766" s="1785"/>
      <c r="J766" s="1821" t="s">
        <v>350</v>
      </c>
      <c r="K766" s="1812" t="s">
        <v>1530</v>
      </c>
      <c r="L766" s="1812" t="s">
        <v>539</v>
      </c>
      <c r="M766" s="1812" t="s">
        <v>1476</v>
      </c>
      <c r="N766" s="1812" t="s">
        <v>3314</v>
      </c>
      <c r="O766" s="1812" t="s">
        <v>384</v>
      </c>
      <c r="P766" s="1808"/>
      <c r="Q766" s="1812" t="s">
        <v>3574</v>
      </c>
      <c r="R766" s="1812" t="s">
        <v>1040</v>
      </c>
      <c r="S766" s="1812" t="s">
        <v>1478</v>
      </c>
      <c r="T766" s="1812" t="s">
        <v>2696</v>
      </c>
      <c r="U766" s="1807" t="s">
        <v>1844</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2495</v>
      </c>
      <c r="EY766" s="1637" t="s">
        <v>2495</v>
      </c>
      <c r="EZ766" s="1637" t="s">
        <v>2495</v>
      </c>
      <c r="FA766" s="1637" t="s">
        <v>2495</v>
      </c>
      <c r="FB766" s="1635"/>
      <c r="FC766" s="1635"/>
      <c r="FD766" s="1635"/>
      <c r="FE766" s="1635"/>
      <c r="FF766" s="1635"/>
      <c r="FG766" s="1635"/>
      <c r="FH766" s="1635"/>
      <c r="FI766" s="1635"/>
      <c r="FJ766" s="1635"/>
      <c r="FK766" s="1635"/>
      <c r="FL766" s="1637" t="s">
        <v>2497</v>
      </c>
      <c r="FM766" s="1637" t="s">
        <v>2497</v>
      </c>
      <c r="FN766" s="1637" t="s">
        <v>2497</v>
      </c>
      <c r="FO766" s="1637" t="s">
        <v>2497</v>
      </c>
      <c r="FP766" s="1637" t="s">
        <v>2497</v>
      </c>
      <c r="FQ766" s="1637" t="s">
        <v>3366</v>
      </c>
      <c r="FR766" s="1637" t="s">
        <v>3366</v>
      </c>
      <c r="FS766" s="1637" t="s">
        <v>3366</v>
      </c>
      <c r="FT766" s="1637" t="s">
        <v>3366</v>
      </c>
      <c r="FU766" s="1637" t="s">
        <v>3366</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50</v>
      </c>
      <c r="C774" s="2146">
        <f>'Part VI-Revenues &amp; Expenses'!C17</f>
        <v>1</v>
      </c>
      <c r="D774" s="2147">
        <f>'Part VI-Revenues &amp; Expenses'!D17</f>
        <v>1</v>
      </c>
      <c r="E774" s="2148">
        <f>'Part VI-Revenues &amp; Expenses'!E17</f>
        <v>18</v>
      </c>
      <c r="F774" s="2148">
        <f>'Part VI-Revenues &amp; Expenses'!F17</f>
        <v>653</v>
      </c>
      <c r="G774" s="2148">
        <f>'Part VI-Revenues &amp; Expenses'!G17</f>
        <v>747</v>
      </c>
      <c r="H774" s="2148">
        <f>'Part VI-Revenues &amp; Expenses'!H17</f>
        <v>897</v>
      </c>
      <c r="I774" s="2148">
        <f>'Part VI-Revenues &amp; Expenses'!I17</f>
        <v>0</v>
      </c>
      <c r="J774" s="2149" t="str">
        <f>'Part VI-Revenues &amp; Expenses'!J17</f>
        <v>PHA PBRA</v>
      </c>
      <c r="K774" s="1822">
        <f t="shared" si="1"/>
        <v>897</v>
      </c>
      <c r="L774" s="1822">
        <f t="shared" si="2"/>
        <v>16146</v>
      </c>
      <c r="M774" s="2133" t="str">
        <f>'Part VI-Revenues &amp; Expenses'!M17</f>
        <v>No</v>
      </c>
      <c r="N774" s="2133" t="str">
        <f>'Part VI-Revenues &amp; Expenses'!N17</f>
        <v>3+ Story</v>
      </c>
      <c r="O774" s="2133" t="str">
        <f>'Part VI-Revenues &amp; Expenses'!O17</f>
        <v>New Construction</v>
      </c>
      <c r="P774" s="1633" t="str">
        <f>'Part VI-Revenues &amp; Expenses'!P17</f>
        <v>No</v>
      </c>
      <c r="Q774" s="1823">
        <f>'Part VI-Revenues &amp; Expenses'!Q17</f>
        <v>35880</v>
      </c>
      <c r="R774" s="1824">
        <f>'Part VI-Revenues &amp; Expenses'!R17</f>
        <v>0.63957219251336894</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f t="shared" si="79"/>
        <v>11754</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f t="shared" si="89"/>
        <v>18</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18</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f t="shared" si="209"/>
        <v>18</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0</v>
      </c>
      <c r="JI774" s="1637">
        <f t="shared" si="249"/>
        <v>18</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50</v>
      </c>
      <c r="C775" s="2146">
        <f>'Part VI-Revenues &amp; Expenses'!C18</f>
        <v>2</v>
      </c>
      <c r="D775" s="2147">
        <f>'Part VI-Revenues &amp; Expenses'!D18</f>
        <v>2</v>
      </c>
      <c r="E775" s="2148">
        <f>'Part VI-Revenues &amp; Expenses'!E18</f>
        <v>20</v>
      </c>
      <c r="F775" s="2148">
        <f>'Part VI-Revenues &amp; Expenses'!F18</f>
        <v>963</v>
      </c>
      <c r="G775" s="2148">
        <f>'Part VI-Revenues &amp; Expenses'!G18</f>
        <v>897</v>
      </c>
      <c r="H775" s="2148">
        <f>'Part VI-Revenues &amp; Expenses'!H18</f>
        <v>897</v>
      </c>
      <c r="I775" s="2148">
        <f>'Part VI-Revenues &amp; Expenses'!I18</f>
        <v>94</v>
      </c>
      <c r="J775" s="2149">
        <f>'Part VI-Revenues &amp; Expenses'!J18</f>
        <v>0</v>
      </c>
      <c r="K775" s="1822">
        <f t="shared" si="1"/>
        <v>803</v>
      </c>
      <c r="L775" s="1822">
        <f t="shared" si="2"/>
        <v>16060</v>
      </c>
      <c r="M775" s="2133" t="str">
        <f>'Part VI-Revenues &amp; Expenses'!M18</f>
        <v>No</v>
      </c>
      <c r="N775" s="2133" t="str">
        <f>'Part VI-Revenues &amp; Expenses'!N18</f>
        <v>3+ Story</v>
      </c>
      <c r="O775" s="2133" t="str">
        <f>'Part VI-Revenues &amp; Expenses'!O18</f>
        <v>New Construction</v>
      </c>
      <c r="P775" s="1633" t="str">
        <f>'Part VI-Revenues &amp; Expenses'!P18</f>
        <v>No</v>
      </c>
      <c r="Q775" s="1823">
        <f>'Part VI-Revenues &amp; Expenses'!Q18</f>
        <v>35880</v>
      </c>
      <c r="R775" s="1824">
        <f>'Part VI-Revenues &amp; Expenses'!R18</f>
        <v>0.53297682709447414</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f t="shared" si="90"/>
        <v>20</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f t="shared" si="135"/>
        <v>20</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f t="shared" si="210"/>
        <v>20</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0</v>
      </c>
      <c r="JJ775" s="1637">
        <f t="shared" si="250"/>
        <v>20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50</v>
      </c>
      <c r="C776" s="2146">
        <f>'Part VI-Revenues &amp; Expenses'!C19</f>
        <v>3</v>
      </c>
      <c r="D776" s="2147">
        <f>'Part VI-Revenues &amp; Expenses'!D19</f>
        <v>2</v>
      </c>
      <c r="E776" s="2148">
        <f>'Part VI-Revenues &amp; Expenses'!E19</f>
        <v>8</v>
      </c>
      <c r="F776" s="2148">
        <f>'Part VI-Revenues &amp; Expenses'!F19</f>
        <v>1115</v>
      </c>
      <c r="G776" s="2148">
        <f>'Part VI-Revenues &amp; Expenses'!G19</f>
        <v>1036</v>
      </c>
      <c r="H776" s="2148">
        <f>'Part VI-Revenues &amp; Expenses'!H19</f>
        <v>1036</v>
      </c>
      <c r="I776" s="2148">
        <f>'Part VI-Revenues &amp; Expenses'!I19</f>
        <v>118</v>
      </c>
      <c r="J776" s="2149">
        <f>'Part VI-Revenues &amp; Expenses'!J19</f>
        <v>0</v>
      </c>
      <c r="K776" s="1822">
        <f t="shared" si="1"/>
        <v>918</v>
      </c>
      <c r="L776" s="1822">
        <f t="shared" si="2"/>
        <v>7344</v>
      </c>
      <c r="M776" s="2133" t="str">
        <f>'Part VI-Revenues &amp; Expenses'!M19</f>
        <v>No</v>
      </c>
      <c r="N776" s="2133" t="str">
        <f>'Part VI-Revenues &amp; Expenses'!N19</f>
        <v>3+ Story</v>
      </c>
      <c r="O776" s="2133" t="str">
        <f>'Part VI-Revenues &amp; Expenses'!O19</f>
        <v>New Construction</v>
      </c>
      <c r="P776" s="1633" t="str">
        <f>'Part VI-Revenues &amp; Expenses'!P19</f>
        <v>No</v>
      </c>
      <c r="Q776" s="1823">
        <f>'Part VI-Revenues &amp; Expenses'!Q19</f>
        <v>41440</v>
      </c>
      <c r="R776" s="1824">
        <f>'Part VI-Revenues &amp; Expenses'!R19</f>
        <v>0.53270259152612098</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f t="shared" si="91"/>
        <v>8</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f t="shared" si="136"/>
        <v>8</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f t="shared" si="211"/>
        <v>8</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0</v>
      </c>
      <c r="JJ776" s="1637">
        <f t="shared" si="250"/>
        <v>0</v>
      </c>
      <c r="JK776" s="1637">
        <f t="shared" si="251"/>
        <v>8</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1</v>
      </c>
      <c r="D777" s="2147">
        <f>'Part VI-Revenues &amp; Expenses'!D20</f>
        <v>1</v>
      </c>
      <c r="E777" s="2148">
        <f>'Part VI-Revenues &amp; Expenses'!E20</f>
        <v>34</v>
      </c>
      <c r="F777" s="2148">
        <f>'Part VI-Revenues &amp; Expenses'!F20</f>
        <v>653</v>
      </c>
      <c r="G777" s="2148">
        <f>'Part VI-Revenues &amp; Expenses'!G20</f>
        <v>897</v>
      </c>
      <c r="H777" s="2148">
        <f>'Part VI-Revenues &amp; Expenses'!H20</f>
        <v>822</v>
      </c>
      <c r="I777" s="2148">
        <f>'Part VI-Revenues &amp; Expenses'!I20</f>
        <v>72</v>
      </c>
      <c r="J777" s="2149">
        <f>'Part VI-Revenues &amp; Expenses'!J20</f>
        <v>0</v>
      </c>
      <c r="K777" s="1822">
        <f t="shared" si="1"/>
        <v>750</v>
      </c>
      <c r="L777" s="1822">
        <f t="shared" si="2"/>
        <v>25500</v>
      </c>
      <c r="M777" s="2133" t="str">
        <f>'Part VI-Revenues &amp; Expenses'!M20</f>
        <v>No</v>
      </c>
      <c r="N777" s="2133" t="str">
        <f>'Part VI-Revenues &amp; Expenses'!N20</f>
        <v>3+ Story</v>
      </c>
      <c r="O777" s="2133" t="str">
        <f>'Part VI-Revenues &amp; Expenses'!O20</f>
        <v>New Construction</v>
      </c>
      <c r="P777" s="1633" t="str">
        <f>'Part VI-Revenues &amp; Expenses'!P20</f>
        <v>No</v>
      </c>
      <c r="Q777" s="1823">
        <f>'Part VI-Revenues &amp; Expenses'!Q20</f>
        <v>32880</v>
      </c>
      <c r="R777" s="1824">
        <f>'Part VI-Revenues &amp; Expenses'!R20</f>
        <v>0.58609625668449195</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f t="shared" si="89"/>
        <v>34</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f t="shared" si="134"/>
        <v>34</v>
      </c>
      <c r="EY777" s="1638" t="str">
        <f t="shared" si="135"/>
        <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f t="shared" si="209"/>
        <v>34</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34</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60</v>
      </c>
      <c r="C778" s="2146">
        <f>'Part VI-Revenues &amp; Expenses'!C21</f>
        <v>2</v>
      </c>
      <c r="D778" s="2147">
        <f>'Part VI-Revenues &amp; Expenses'!D21</f>
        <v>2</v>
      </c>
      <c r="E778" s="2148">
        <f>'Part VI-Revenues &amp; Expenses'!E21</f>
        <v>38</v>
      </c>
      <c r="F778" s="2148">
        <f>'Part VI-Revenues &amp; Expenses'!F21</f>
        <v>963</v>
      </c>
      <c r="G778" s="2148">
        <f>'Part VI-Revenues &amp; Expenses'!G21</f>
        <v>1077</v>
      </c>
      <c r="H778" s="2148">
        <f>'Part VI-Revenues &amp; Expenses'!H21</f>
        <v>994</v>
      </c>
      <c r="I778" s="2148">
        <f>'Part VI-Revenues &amp; Expenses'!I21</f>
        <v>94</v>
      </c>
      <c r="J778" s="2149">
        <f>'Part VI-Revenues &amp; Expenses'!J21</f>
        <v>0</v>
      </c>
      <c r="K778" s="1822">
        <f t="shared" si="1"/>
        <v>900</v>
      </c>
      <c r="L778" s="1822">
        <f t="shared" si="2"/>
        <v>34200</v>
      </c>
      <c r="M778" s="2133" t="str">
        <f>'Part VI-Revenues &amp; Expenses'!M21</f>
        <v>No</v>
      </c>
      <c r="N778" s="2133" t="str">
        <f>'Part VI-Revenues &amp; Expenses'!N21</f>
        <v>3+ Story</v>
      </c>
      <c r="O778" s="2133" t="str">
        <f>'Part VI-Revenues &amp; Expenses'!O21</f>
        <v>New Construction</v>
      </c>
      <c r="P778" s="1633" t="str">
        <f>'Part VI-Revenues &amp; Expenses'!P21</f>
        <v>No</v>
      </c>
      <c r="Q778" s="1823">
        <f>'Part VI-Revenues &amp; Expenses'!Q21</f>
        <v>39760</v>
      </c>
      <c r="R778" s="1824">
        <f>'Part VI-Revenues &amp; Expenses'!R21</f>
        <v>0.5906120023767083</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f t="shared" si="90"/>
        <v>38</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f t="shared" si="135"/>
        <v>38</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f t="shared" si="210"/>
        <v>38</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38</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60</v>
      </c>
      <c r="C779" s="2146">
        <f>'Part VI-Revenues &amp; Expenses'!C22</f>
        <v>3</v>
      </c>
      <c r="D779" s="2147">
        <f>'Part VI-Revenues &amp; Expenses'!D22</f>
        <v>2</v>
      </c>
      <c r="E779" s="2148">
        <f>'Part VI-Revenues &amp; Expenses'!E22</f>
        <v>15</v>
      </c>
      <c r="F779" s="2148">
        <f>'Part VI-Revenues &amp; Expenses'!F22</f>
        <v>1115</v>
      </c>
      <c r="G779" s="2148">
        <f>'Part VI-Revenues &amp; Expenses'!G22</f>
        <v>1243</v>
      </c>
      <c r="H779" s="2148">
        <f>'Part VI-Revenues &amp; Expenses'!H22</f>
        <v>1143</v>
      </c>
      <c r="I779" s="2148">
        <f>'Part VI-Revenues &amp; Expenses'!I22</f>
        <v>118</v>
      </c>
      <c r="J779" s="2149">
        <f>'Part VI-Revenues &amp; Expenses'!J22</f>
        <v>0</v>
      </c>
      <c r="K779" s="1822">
        <f t="shared" si="1"/>
        <v>1025</v>
      </c>
      <c r="L779" s="1822">
        <f t="shared" si="2"/>
        <v>15375</v>
      </c>
      <c r="M779" s="2133" t="str">
        <f>'Part VI-Revenues &amp; Expenses'!M22</f>
        <v>No</v>
      </c>
      <c r="N779" s="2133" t="str">
        <f>'Part VI-Revenues &amp; Expenses'!N22</f>
        <v>3+ Story</v>
      </c>
      <c r="O779" s="2133" t="str">
        <f>'Part VI-Revenues &amp; Expenses'!O22</f>
        <v>New Construction</v>
      </c>
      <c r="P779" s="1633" t="str">
        <f>'Part VI-Revenues &amp; Expenses'!P22</f>
        <v>No</v>
      </c>
      <c r="Q779" s="1823">
        <f>'Part VI-Revenues &amp; Expenses'!Q22</f>
        <v>45720</v>
      </c>
      <c r="R779" s="1824">
        <f>'Part VI-Revenues &amp; Expenses'!R22</f>
        <v>0.58772110242698483</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f t="shared" si="91"/>
        <v>15</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f t="shared" si="136"/>
        <v>15</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f t="shared" si="211"/>
        <v>15</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15</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80</v>
      </c>
      <c r="C780" s="2146">
        <f>'Part VI-Revenues &amp; Expenses'!C23</f>
        <v>1</v>
      </c>
      <c r="D780" s="2147">
        <f>'Part VI-Revenues &amp; Expenses'!D23</f>
        <v>1</v>
      </c>
      <c r="E780" s="2148">
        <f>'Part VI-Revenues &amp; Expenses'!E23</f>
        <v>9</v>
      </c>
      <c r="F780" s="2148">
        <f>'Part VI-Revenues &amp; Expenses'!F23</f>
        <v>653</v>
      </c>
      <c r="G780" s="2148">
        <f>'Part VI-Revenues &amp; Expenses'!G23</f>
        <v>1196</v>
      </c>
      <c r="H780" s="2148">
        <f>'Part VI-Revenues &amp; Expenses'!H23</f>
        <v>972</v>
      </c>
      <c r="I780" s="2148">
        <f>'Part VI-Revenues &amp; Expenses'!I23</f>
        <v>72</v>
      </c>
      <c r="J780" s="2149">
        <f>'Part VI-Revenues &amp; Expenses'!J23</f>
        <v>0</v>
      </c>
      <c r="K780" s="1822">
        <f t="shared" si="1"/>
        <v>900</v>
      </c>
      <c r="L780" s="1822">
        <f t="shared" si="2"/>
        <v>8100</v>
      </c>
      <c r="M780" s="2133" t="str">
        <f>'Part VI-Revenues &amp; Expenses'!M23</f>
        <v>No</v>
      </c>
      <c r="N780" s="2133" t="str">
        <f>'Part VI-Revenues &amp; Expenses'!N23</f>
        <v>3+ Story</v>
      </c>
      <c r="O780" s="2133" t="str">
        <f>'Part VI-Revenues &amp; Expenses'!O23</f>
        <v>New Construction</v>
      </c>
      <c r="P780" s="1633" t="str">
        <f>'Part VI-Revenues &amp; Expenses'!P23</f>
        <v>No</v>
      </c>
      <c r="Q780" s="1823">
        <f>'Part VI-Revenues &amp; Expenses'!Q23</f>
        <v>38880</v>
      </c>
      <c r="R780" s="1824">
        <f>'Part VI-Revenues &amp; Expenses'!R23</f>
        <v>0.69304812834224594</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f t="shared" si="89"/>
        <v>9</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f t="shared" si="134"/>
        <v>9</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f t="shared" si="209"/>
        <v>9</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9</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80</v>
      </c>
      <c r="C781" s="2146">
        <f>'Part VI-Revenues &amp; Expenses'!C24</f>
        <v>2</v>
      </c>
      <c r="D781" s="2147">
        <f>'Part VI-Revenues &amp; Expenses'!D24</f>
        <v>2</v>
      </c>
      <c r="E781" s="2148">
        <f>'Part VI-Revenues &amp; Expenses'!E24</f>
        <v>10</v>
      </c>
      <c r="F781" s="2148">
        <f>'Part VI-Revenues &amp; Expenses'!F24</f>
        <v>963</v>
      </c>
      <c r="G781" s="2148">
        <f>'Part VI-Revenues &amp; Expenses'!G24</f>
        <v>1436</v>
      </c>
      <c r="H781" s="2148">
        <f>'Part VI-Revenues &amp; Expenses'!H24</f>
        <v>1194</v>
      </c>
      <c r="I781" s="2148">
        <f>'Part VI-Revenues &amp; Expenses'!I24</f>
        <v>94</v>
      </c>
      <c r="J781" s="2149">
        <f>'Part VI-Revenues &amp; Expenses'!J24</f>
        <v>0</v>
      </c>
      <c r="K781" s="1822">
        <f t="shared" si="1"/>
        <v>1100</v>
      </c>
      <c r="L781" s="1822">
        <f t="shared" si="2"/>
        <v>11000</v>
      </c>
      <c r="M781" s="2133" t="str">
        <f>'Part VI-Revenues &amp; Expenses'!M24</f>
        <v>No</v>
      </c>
      <c r="N781" s="2133" t="str">
        <f>'Part VI-Revenues &amp; Expenses'!N24</f>
        <v>3+ Story</v>
      </c>
      <c r="O781" s="2133" t="str">
        <f>'Part VI-Revenues &amp; Expenses'!O24</f>
        <v>New Construction</v>
      </c>
      <c r="P781" s="1633" t="str">
        <f>'Part VI-Revenues &amp; Expenses'!P24</f>
        <v>No</v>
      </c>
      <c r="Q781" s="1823">
        <f>'Part VI-Revenues &amp; Expenses'!Q24</f>
        <v>47760</v>
      </c>
      <c r="R781" s="1824">
        <f>'Part VI-Revenues &amp; Expenses'!R24</f>
        <v>0.70944741532976829</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f t="shared" si="90"/>
        <v>10</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f t="shared" si="135"/>
        <v>10</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f t="shared" si="210"/>
        <v>10</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10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80</v>
      </c>
      <c r="C782" s="2146">
        <f>'Part VI-Revenues &amp; Expenses'!C25</f>
        <v>3</v>
      </c>
      <c r="D782" s="2147">
        <f>'Part VI-Revenues &amp; Expenses'!D25</f>
        <v>2</v>
      </c>
      <c r="E782" s="2148">
        <f>'Part VI-Revenues &amp; Expenses'!E25</f>
        <v>4</v>
      </c>
      <c r="F782" s="2148">
        <f>'Part VI-Revenues &amp; Expenses'!F25</f>
        <v>1115</v>
      </c>
      <c r="G782" s="2148">
        <f>'Part VI-Revenues &amp; Expenses'!G25</f>
        <v>1658</v>
      </c>
      <c r="H782" s="2148">
        <f>'Part VI-Revenues &amp; Expenses'!H25</f>
        <v>1363</v>
      </c>
      <c r="I782" s="2148">
        <f>'Part VI-Revenues &amp; Expenses'!I25</f>
        <v>118</v>
      </c>
      <c r="J782" s="2149">
        <f>'Part VI-Revenues &amp; Expenses'!J25</f>
        <v>0</v>
      </c>
      <c r="K782" s="1822">
        <f t="shared" si="1"/>
        <v>1245</v>
      </c>
      <c r="L782" s="1822">
        <f t="shared" si="2"/>
        <v>4980</v>
      </c>
      <c r="M782" s="2133" t="str">
        <f>'Part VI-Revenues &amp; Expenses'!M25</f>
        <v>No</v>
      </c>
      <c r="N782" s="2133" t="str">
        <f>'Part VI-Revenues &amp; Expenses'!N25</f>
        <v>3+ Story</v>
      </c>
      <c r="O782" s="2133" t="str">
        <f>'Part VI-Revenues &amp; Expenses'!O25</f>
        <v>New Construction</v>
      </c>
      <c r="P782" s="1633" t="str">
        <f>'Part VI-Revenues &amp; Expenses'!P25</f>
        <v>No</v>
      </c>
      <c r="Q782" s="1823">
        <f>'Part VI-Revenues &amp; Expenses'!Q25</f>
        <v>54520</v>
      </c>
      <c r="R782" s="1824">
        <f>'Part VI-Revenues &amp; Expenses'!R25</f>
        <v>0.70084327437268612</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f t="shared" si="91"/>
        <v>4</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f t="shared" si="136"/>
        <v>4</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f t="shared" si="211"/>
        <v>4</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4</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156</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135422</v>
      </c>
      <c r="G805" s="522"/>
      <c r="H805" s="522"/>
      <c r="I805" s="522"/>
      <c r="J805" s="522"/>
      <c r="K805" s="1828" t="s">
        <v>1302</v>
      </c>
      <c r="L805" s="1826">
        <f>SUM(L767:L804)</f>
        <v>138705</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11754</v>
      </c>
      <c r="CV805" s="1640">
        <f t="shared" si="259"/>
        <v>0</v>
      </c>
      <c r="CW805" s="1640">
        <f t="shared" si="259"/>
        <v>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61</v>
      </c>
      <c r="DF805" s="1640">
        <f t="shared" si="259"/>
        <v>68</v>
      </c>
      <c r="DG805" s="1640">
        <f t="shared" si="259"/>
        <v>27</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0</v>
      </c>
      <c r="DU805" s="1640">
        <f t="shared" si="259"/>
        <v>0</v>
      </c>
      <c r="DV805" s="1640">
        <f t="shared" si="259"/>
        <v>0</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61</v>
      </c>
      <c r="EY805" s="1640">
        <f t="shared" si="260"/>
        <v>68</v>
      </c>
      <c r="EZ805" s="1640">
        <f t="shared" si="260"/>
        <v>27</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61</v>
      </c>
      <c r="HV805" s="1640">
        <f t="shared" si="261"/>
        <v>68</v>
      </c>
      <c r="HW805" s="1640">
        <f t="shared" si="261"/>
        <v>27</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0</v>
      </c>
      <c r="JF805" s="1640">
        <f t="shared" si="261"/>
        <v>0</v>
      </c>
      <c r="JG805" s="1640">
        <f t="shared" si="261"/>
        <v>0</v>
      </c>
      <c r="JH805" s="1640">
        <f t="shared" si="261"/>
        <v>0</v>
      </c>
      <c r="JI805" s="1640">
        <f t="shared" si="261"/>
        <v>61</v>
      </c>
      <c r="JJ805" s="1640">
        <f t="shared" si="261"/>
        <v>68</v>
      </c>
      <c r="JK805" s="1640">
        <f t="shared" si="261"/>
        <v>27</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1664460</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4526</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c r="A812" s="1641"/>
      <c r="B812" s="1641" t="s">
        <v>1136</v>
      </c>
      <c r="J812" s="1832" t="s">
        <v>568</v>
      </c>
      <c r="K812" s="1832" t="s">
        <v>535</v>
      </c>
      <c r="L812" s="1832" t="s">
        <v>536</v>
      </c>
      <c r="M812" s="1832" t="s">
        <v>537</v>
      </c>
      <c r="N812" s="1832" t="s">
        <v>538</v>
      </c>
      <c r="O812" s="1832" t="s">
        <v>539</v>
      </c>
      <c r="R812" s="1807" t="s">
        <v>1844</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3669</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2510</v>
      </c>
      <c r="D818" s="1631"/>
      <c r="E818" s="1631"/>
      <c r="F818" s="1631"/>
      <c r="H818" s="521"/>
      <c r="J818" s="1833">
        <f>BU805</f>
        <v>0</v>
      </c>
      <c r="K818" s="1833">
        <f>BV805</f>
        <v>0</v>
      </c>
      <c r="L818" s="1833">
        <f>BW805</f>
        <v>0</v>
      </c>
      <c r="M818" s="1833">
        <f>BX805</f>
        <v>0</v>
      </c>
      <c r="N818" s="1833">
        <f>BY805</f>
        <v>0</v>
      </c>
      <c r="O818" s="1833">
        <f t="shared" si="262"/>
        <v>0</v>
      </c>
      <c r="P818" s="1652" t="s">
        <v>3670</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2511</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2511</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2294</v>
      </c>
      <c r="F829" s="1631"/>
      <c r="H829" s="521" t="s">
        <v>1432</v>
      </c>
      <c r="J829" s="1833">
        <f>DD805</f>
        <v>0</v>
      </c>
      <c r="K829" s="1833">
        <f>DE805</f>
        <v>61</v>
      </c>
      <c r="L829" s="1833">
        <f>DF805</f>
        <v>68</v>
      </c>
      <c r="M829" s="1833">
        <f>DG805</f>
        <v>27</v>
      </c>
      <c r="N829" s="1833">
        <f>DH805</f>
        <v>0</v>
      </c>
      <c r="O829" s="1833">
        <f t="shared" ref="O829:O839" si="263">SUM(J829:N829)</f>
        <v>156</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61</v>
      </c>
      <c r="L831" s="1833">
        <f>SUM(L829:L830)+DP805</f>
        <v>68</v>
      </c>
      <c r="M831" s="1833">
        <f>SUM(M829:M830)+DQ805</f>
        <v>27</v>
      </c>
      <c r="N831" s="1833">
        <f>SUM(N829:N830)+DR805</f>
        <v>0</v>
      </c>
      <c r="O831" s="1833">
        <f t="shared" si="263"/>
        <v>156</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2136</v>
      </c>
      <c r="F832" s="1631"/>
      <c r="H832" s="521" t="s">
        <v>1432</v>
      </c>
      <c r="J832" s="1833">
        <f>DS805</f>
        <v>0</v>
      </c>
      <c r="K832" s="1833">
        <f>DT805</f>
        <v>0</v>
      </c>
      <c r="L832" s="1833">
        <f>DU805</f>
        <v>0</v>
      </c>
      <c r="M832" s="1833">
        <f>DV805</f>
        <v>0</v>
      </c>
      <c r="N832" s="1833">
        <f>DW805</f>
        <v>0</v>
      </c>
      <c r="O832" s="1833">
        <f t="shared" si="263"/>
        <v>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0</v>
      </c>
      <c r="M834" s="1833">
        <f>SUM(M832:M833)+EF805</f>
        <v>0</v>
      </c>
      <c r="N834" s="1833">
        <f>SUM(N832:N833)+EG805</f>
        <v>0</v>
      </c>
      <c r="O834" s="1833">
        <f t="shared" si="263"/>
        <v>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4527</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3356</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4528</v>
      </c>
      <c r="D843" s="1838"/>
      <c r="E843" s="1634" t="s">
        <v>39</v>
      </c>
      <c r="F843" s="1631"/>
      <c r="G843" s="1652"/>
      <c r="J843" s="1833">
        <f t="shared" ref="J843:O843" si="264">SUM(J844:J851)</f>
        <v>0</v>
      </c>
      <c r="K843" s="1833">
        <f t="shared" si="264"/>
        <v>61</v>
      </c>
      <c r="L843" s="1833">
        <f t="shared" si="264"/>
        <v>68</v>
      </c>
      <c r="M843" s="1833">
        <f t="shared" si="264"/>
        <v>27</v>
      </c>
      <c r="N843" s="1833">
        <f t="shared" si="264"/>
        <v>0</v>
      </c>
      <c r="O843" s="1833">
        <f t="shared" si="264"/>
        <v>156</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2603</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3356</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2604</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3356</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2606</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3356</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2605</v>
      </c>
      <c r="J850" s="1833">
        <f>HT805</f>
        <v>0</v>
      </c>
      <c r="K850" s="1833">
        <f>HU805</f>
        <v>61</v>
      </c>
      <c r="L850" s="1833">
        <f>HV805</f>
        <v>68</v>
      </c>
      <c r="M850" s="1833">
        <f>HW805</f>
        <v>27</v>
      </c>
      <c r="N850" s="1833">
        <f>HX805</f>
        <v>0</v>
      </c>
      <c r="O850" s="1833">
        <f t="shared" si="265"/>
        <v>156</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3356</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3356</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3356</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3356</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3356</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4529</v>
      </c>
      <c r="D861" s="1838"/>
      <c r="E861" s="1634" t="s">
        <v>3351</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3356</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3352</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3356</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3353</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3356</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3354</v>
      </c>
      <c r="F867" s="1652"/>
      <c r="H867" s="1841"/>
      <c r="J867" s="1833">
        <f>J846+J850</f>
        <v>0</v>
      </c>
      <c r="K867" s="1833">
        <f t="shared" ref="K867:N868" si="270">K846+K850</f>
        <v>61</v>
      </c>
      <c r="L867" s="1833">
        <f t="shared" si="270"/>
        <v>68</v>
      </c>
      <c r="M867" s="1833">
        <f t="shared" si="270"/>
        <v>27</v>
      </c>
      <c r="N867" s="1833">
        <f t="shared" si="270"/>
        <v>0</v>
      </c>
      <c r="O867" s="1833">
        <f t="shared" si="267"/>
        <v>156</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3356</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2164</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2135</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2510</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4530</v>
      </c>
      <c r="R877" s="1641" t="s">
        <v>1844</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33289.199999999997</v>
      </c>
      <c r="I879" s="2151">
        <f>'Part VI-Revenues &amp; Expenses'!I173</f>
        <v>0</v>
      </c>
      <c r="J879" s="1486"/>
      <c r="K879" s="1849" t="s">
        <v>4531</v>
      </c>
      <c r="L879" s="1486"/>
      <c r="M879" s="1486"/>
      <c r="N879" s="1486"/>
      <c r="O879" s="1850">
        <f>H879/L806</f>
        <v>1.9999999999999997E-2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2285</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4532</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4533</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2285</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2621</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4532</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4533</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2285</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2622</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4532</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4533</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2285</v>
      </c>
      <c r="C909" s="1486"/>
      <c r="D909" s="1486"/>
      <c r="E909" s="1486"/>
      <c r="F909" s="1486"/>
      <c r="G909" s="1855">
        <v>31</v>
      </c>
      <c r="H909" s="1855">
        <v>32</v>
      </c>
      <c r="I909" s="1855">
        <v>33</v>
      </c>
      <c r="J909" s="1855">
        <v>34</v>
      </c>
      <c r="K909" s="1855">
        <v>35</v>
      </c>
      <c r="L909" s="1486"/>
      <c r="M909" s="1486"/>
      <c r="N909" s="1486"/>
      <c r="O909" s="1486"/>
      <c r="P909" s="1486"/>
      <c r="R909" s="1825" t="s">
        <v>2622</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4532</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4533</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1844</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2195</v>
      </c>
      <c r="F921" s="1847">
        <f>'Part VI-Revenues &amp; Expenses'!F215</f>
        <v>77568</v>
      </c>
      <c r="G921" s="1847">
        <f>'Part VI-Revenues &amp; Expenses'!G215</f>
        <v>0</v>
      </c>
      <c r="I921" s="1631" t="s">
        <v>1378</v>
      </c>
      <c r="K921" s="1847">
        <f>'Part VI-Revenues &amp; Expenses'!K215</f>
        <v>0</v>
      </c>
      <c r="L921" s="1847">
        <f>'Part VI-Revenues &amp; Expenses'!L215</f>
        <v>0</v>
      </c>
      <c r="N921" s="1631" t="s">
        <v>929</v>
      </c>
      <c r="P921" s="1862">
        <f>'Part VI-Revenues &amp; Expenses'!P215</f>
        <v>179014</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80000</v>
      </c>
      <c r="G922" s="1847">
        <f>'Part VI-Revenues &amp; Expenses'!G216</f>
        <v>0</v>
      </c>
      <c r="I922" s="1631" t="s">
        <v>1379</v>
      </c>
      <c r="K922" s="1847">
        <f>'Part VI-Revenues &amp; Expenses'!K216</f>
        <v>0</v>
      </c>
      <c r="L922" s="1847">
        <f>'Part VI-Revenues &amp; Expenses'!L216</f>
        <v>0</v>
      </c>
      <c r="N922" s="1631" t="s">
        <v>147</v>
      </c>
      <c r="P922" s="1862">
        <f>'Part VI-Revenues &amp; Expenses'!P216</f>
        <v>41670</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0</v>
      </c>
      <c r="G923" s="1847">
        <f>'Part VI-Revenues &amp; Expenses'!G217</f>
        <v>0</v>
      </c>
      <c r="J923" s="1861" t="s">
        <v>191</v>
      </c>
      <c r="K923" s="1847">
        <f>SUM(K921:L922)</f>
        <v>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Benefits, Payroll Taxes, WC</v>
      </c>
      <c r="C924" s="521">
        <f>'Part VI-Revenues &amp; Expenses'!C218</f>
        <v>0</v>
      </c>
      <c r="D924" s="521">
        <f>'Part VI-Revenues &amp; Expenses'!D218</f>
        <v>0</v>
      </c>
      <c r="E924" s="521">
        <f>'Part VI-Revenues &amp; Expenses'!E218</f>
        <v>0</v>
      </c>
      <c r="F924" s="1847">
        <f>'Part VI-Revenues &amp; Expenses'!F218</f>
        <v>68252</v>
      </c>
      <c r="G924" s="1847">
        <f>'Part VI-Revenues &amp; Expenses'!G218</f>
        <v>0</v>
      </c>
      <c r="N924" s="1861" t="s">
        <v>191</v>
      </c>
      <c r="P924" s="1862">
        <f>SUM(P921:P923)</f>
        <v>220684</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225820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78945</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4800</v>
      </c>
      <c r="G928" s="1847">
        <f>'Part VI-Revenues &amp; Expenses'!G222</f>
        <v>0</v>
      </c>
      <c r="I928" s="1631" t="s">
        <v>1602</v>
      </c>
      <c r="K928" s="1862">
        <f>'Part VI-Revenues &amp; Expenses'!K222</f>
        <v>5000</v>
      </c>
      <c r="L928" s="1862">
        <f>'Part VI-Revenues &amp; Expenses'!L222</f>
        <v>0</v>
      </c>
      <c r="N928" s="1865" t="e">
        <f>+P927/(O819*0.93)</f>
        <v>#DIV/0!</v>
      </c>
      <c r="O928" s="1866" t="s">
        <v>2755</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9600</v>
      </c>
      <c r="G929" s="1847">
        <f>'Part VI-Revenues &amp; Expenses'!G223</f>
        <v>0</v>
      </c>
      <c r="I929" s="1631" t="s">
        <v>2048</v>
      </c>
      <c r="K929" s="1862">
        <f>'Part VI-Revenues &amp; Expenses'!K223</f>
        <v>10000</v>
      </c>
      <c r="L929" s="1862">
        <f>'Part VI-Revenues &amp; Expenses'!L223</f>
        <v>0</v>
      </c>
      <c r="N929" s="1865" t="e">
        <f>+P927/(O819*0.93)/12</f>
        <v>#DIV/0!</v>
      </c>
      <c r="O929" s="1866" t="s">
        <v>2756</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0</v>
      </c>
      <c r="G930" s="1847">
        <f>'Part VI-Revenues &amp; Expenses'!G224</f>
        <v>0</v>
      </c>
      <c r="I930" s="1631" t="s">
        <v>1603</v>
      </c>
      <c r="K930" s="1862">
        <f>'Part VI-Revenues &amp; Expenses'!K224</f>
        <v>5000</v>
      </c>
      <c r="L930" s="1862">
        <f>'Part VI-Revenues &amp; Expenses'!L224</f>
        <v>0</v>
      </c>
      <c r="N930" s="521" t="s">
        <v>3728</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2340</v>
      </c>
      <c r="D931" s="1863"/>
      <c r="F931" s="1847">
        <f>'Part VI-Revenues &amp; Expenses'!F225</f>
        <v>0</v>
      </c>
      <c r="G931" s="1847">
        <f>'Part VI-Revenues &amp; Expenses'!G225</f>
        <v>0</v>
      </c>
      <c r="I931" s="2154" t="str">
        <f>'Part VI-Revenues &amp; Expenses'!I225</f>
        <v>Credit Reports</v>
      </c>
      <c r="J931" s="2154">
        <f>'Part VI-Revenues &amp; Expenses'!J225</f>
        <v>0</v>
      </c>
      <c r="K931" s="1862">
        <f>'Part VI-Revenues &amp; Expenses'!K225</f>
        <v>2500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0</v>
      </c>
      <c r="G932" s="1847">
        <f>'Part VI-Revenues &amp; Expenses'!G226</f>
        <v>0</v>
      </c>
      <c r="I932" s="1629"/>
      <c r="J932" s="1861" t="s">
        <v>191</v>
      </c>
      <c r="K932" s="1862">
        <f>SUM(K928:K931)</f>
        <v>22500</v>
      </c>
      <c r="L932" s="1862"/>
      <c r="M932" s="1868" t="str">
        <f>IF(P934="","",IF(P932&lt;P934, "WARNING! OE below required minimum.",""))</f>
        <v/>
      </c>
      <c r="N932" s="1629" t="s">
        <v>2185</v>
      </c>
      <c r="P932" s="1862">
        <f>F925+F934+F945+K923+K932+K942+P924+P927</f>
        <v>841179</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Other Admin, Software Cost, Compliance Fees</v>
      </c>
      <c r="C933" s="521">
        <f>'Part VI-Revenues &amp; Expenses'!C227</f>
        <v>0</v>
      </c>
      <c r="D933" s="521">
        <f>'Part VI-Revenues &amp; Expenses'!D227</f>
        <v>0</v>
      </c>
      <c r="E933" s="521">
        <f>'Part VI-Revenues &amp; Expenses'!E227</f>
        <v>0</v>
      </c>
      <c r="F933" s="1847">
        <f>'Part VI-Revenues &amp; Expenses'!F227</f>
        <v>15200</v>
      </c>
      <c r="G933" s="1847">
        <f>'Part VI-Revenues &amp; Expenses'!G227</f>
        <v>0</v>
      </c>
      <c r="J933" s="1833"/>
      <c r="M933" s="1868"/>
      <c r="N933" s="1866" t="s">
        <v>2757</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29600</v>
      </c>
      <c r="G934" s="1847"/>
      <c r="J934" s="1833"/>
      <c r="M934" s="1868"/>
      <c r="O934" s="1866" t="s">
        <v>3729</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2754</v>
      </c>
      <c r="N936" s="1629" t="s">
        <v>3480</v>
      </c>
      <c r="O936" s="1629"/>
      <c r="P936" s="2155">
        <f>'Part VI-Revenues &amp; Expenses'!P230</f>
        <v>46800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12000</v>
      </c>
      <c r="G937" s="1847">
        <f>'Part VI-Revenues &amp; Expenses'!G231</f>
        <v>0</v>
      </c>
      <c r="I937" s="1631" t="s">
        <v>1368</v>
      </c>
      <c r="J937" s="1736" t="e">
        <f>K937/12/O819</f>
        <v>#DIV/0!</v>
      </c>
      <c r="K937" s="1862">
        <f>'Part VI-Revenues &amp; Expenses'!K231</f>
        <v>45000</v>
      </c>
      <c r="L937" s="1862">
        <f>'Part VI-Revenues &amp; Expenses'!L231</f>
        <v>0</v>
      </c>
      <c r="M937" s="1868" t="str">
        <f>IF(P936&lt;P945, "WARNING! RR proposed is below the DCA required minimum.","")</f>
        <v/>
      </c>
      <c r="N937" s="521" t="s">
        <v>3737</v>
      </c>
      <c r="P937" s="1869">
        <f>P936/O945</f>
        <v>300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10000</v>
      </c>
      <c r="G938" s="1847">
        <f>'Part VI-Revenues &amp; Expenses'!G232</f>
        <v>0</v>
      </c>
      <c r="I938" s="1631" t="s">
        <v>1369</v>
      </c>
      <c r="J938" s="1736" t="e">
        <f>K938/12/O819</f>
        <v>#DIV/0!</v>
      </c>
      <c r="K938" s="1862">
        <f>'Part VI-Revenues &amp; Expenses'!K232</f>
        <v>0</v>
      </c>
      <c r="L938" s="1862">
        <f>'Part VI-Revenues &amp; Expenses'!L232</f>
        <v>0</v>
      </c>
      <c r="M938" s="1868"/>
      <c r="N938" s="1870" t="s">
        <v>3736</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7500</v>
      </c>
      <c r="G939" s="1847">
        <f>'Part VI-Revenues &amp; Expenses'!G233</f>
        <v>0</v>
      </c>
      <c r="I939" s="1631" t="s">
        <v>2351</v>
      </c>
      <c r="J939" s="1736" t="e">
        <f>K939/12/O819</f>
        <v>#DIV/0!</v>
      </c>
      <c r="K939" s="1862">
        <f>'Part VI-Revenues &amp; Expenses'!K233</f>
        <v>155000</v>
      </c>
      <c r="L939" s="1862">
        <f>'Part VI-Revenues &amp; Expenses'!L233</f>
        <v>0</v>
      </c>
      <c r="M939" s="1868"/>
      <c r="N939" s="1871" t="s">
        <v>2713</v>
      </c>
      <c r="O939" s="1872" t="s">
        <v>3848</v>
      </c>
      <c r="P939" s="1872" t="s">
        <v>3437</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4800</v>
      </c>
      <c r="G940" s="1847">
        <f>'Part VI-Revenues &amp; Expenses'!G234</f>
        <v>0</v>
      </c>
      <c r="I940" s="1631" t="s">
        <v>1371</v>
      </c>
      <c r="K940" s="1862">
        <f>'Part VI-Revenues &amp; Expenses'!K234</f>
        <v>16330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8000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3429</v>
      </c>
      <c r="O941" s="1874" t="str">
        <f>CONCATENATE(SUM(JC805:JG805)," units x $",'DCA Underwriting Assumptions'!$Q$64," =")</f>
        <v>0 units x $350 =</v>
      </c>
      <c r="P941" s="1874">
        <f>SUM(JC805:JG805)*'DCA Underwriting Assumptions'!$Q$64</f>
        <v>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0</v>
      </c>
      <c r="G942" s="1847">
        <f>'Part VI-Revenues &amp; Expenses'!G236</f>
        <v>0</v>
      </c>
      <c r="J942" s="1861" t="s">
        <v>191</v>
      </c>
      <c r="K942" s="1862">
        <f>SUM(K937:K941)</f>
        <v>216330</v>
      </c>
      <c r="L942" s="1862"/>
      <c r="M942" s="1868"/>
      <c r="N942" s="1652" t="s">
        <v>3428</v>
      </c>
      <c r="O942" s="1874" t="str">
        <f>CONCATENATE(SUM(JH805:JL805)," units x $",'DCA Underwriting Assumptions'!$Q$65," =")</f>
        <v>156 units x $250 =</v>
      </c>
      <c r="P942" s="1874">
        <f>SUM(JH805:JL805)*'DCA Underwriting Assumptions'!$Q$65</f>
        <v>39000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5000</v>
      </c>
      <c r="G943" s="1847">
        <f>'Part VI-Revenues &amp; Expenses'!G237</f>
        <v>0</v>
      </c>
      <c r="J943" s="1833"/>
      <c r="M943" s="1868"/>
      <c r="N943" s="1741" t="s">
        <v>3432</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7">
        <f>'Part VI-Revenues &amp; Expenses'!F238</f>
        <v>0</v>
      </c>
      <c r="G944" s="1847">
        <f>'Part VI-Revenues &amp; Expenses'!G238</f>
        <v>0</v>
      </c>
      <c r="J944" s="1833"/>
      <c r="N944" s="1741" t="s">
        <v>3427</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47300</v>
      </c>
      <c r="G945" s="1847"/>
      <c r="J945" s="1833"/>
      <c r="N945" s="1828" t="s">
        <v>2716</v>
      </c>
      <c r="O945" s="1823">
        <f>SUM(JC805:JG805)+SUM(JH805:JL805)+SUM(JM805:JQ805)+O841</f>
        <v>156</v>
      </c>
      <c r="P945" s="1875">
        <f>SUM(P941:P944)</f>
        <v>39000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2186</v>
      </c>
      <c r="P947" s="1862">
        <f>P932+P936</f>
        <v>887979</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4105</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See Tab 1 of the LIHTC application for a full explanation of insurance and real estate tax estimates.   As per discussion with the tax office, the income approach to value is to be used and an 7% cap rate was applied to the projected NOI to establish appraised value.  Insurance estimates were provided by our insurance company.
PBRA units are based on an Atlanta Housing contract. These units will receive 60% AMI rents, and will be 100% owner paid utilities.</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4104</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2019-5 55 Milton,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ht="13.5">
      <c r="A959" s="1641" t="s">
        <v>90</v>
      </c>
      <c r="D959" s="1641" t="s">
        <v>80</v>
      </c>
      <c r="E959" s="1813"/>
      <c r="F959" s="1649" t="s">
        <v>4534</v>
      </c>
    </row>
    <row r="961" spans="1:19" ht="12.75" customHeight="1">
      <c r="A961" s="742" t="s">
        <v>2187</v>
      </c>
      <c r="B961" s="1876">
        <v>0.02</v>
      </c>
      <c r="D961" s="1838" t="s">
        <v>4535</v>
      </c>
      <c r="E961" s="1838"/>
      <c r="F961" s="1838"/>
      <c r="G961" s="2156">
        <f>'Part VII-Pro Forma'!G5</f>
        <v>5000</v>
      </c>
      <c r="H961" s="1843" t="s">
        <v>1906</v>
      </c>
      <c r="K961" s="1877" t="e">
        <f>IF(($B$14+$B$15+$B$16+$B$17)=0,"",B984/($B$14+$B$15+$B$16+$B$17))</f>
        <v>#VALUE!</v>
      </c>
    </row>
    <row r="962" spans="1:19">
      <c r="A962" s="742" t="s">
        <v>2188</v>
      </c>
      <c r="B962" s="1876">
        <v>0.03</v>
      </c>
      <c r="D962" s="1838"/>
      <c r="E962" s="1838"/>
      <c r="F962" s="1838"/>
      <c r="G962" s="1878">
        <f>IF(OR('Part III-Sources of Funds'!B967="Yes",'Part III-Sources of Funds'!E967&gt;0),'DCA Underwriting Assumptions'!$Q$96,0)</f>
        <v>0</v>
      </c>
    </row>
    <row r="963" spans="1:19">
      <c r="A963" s="742" t="s">
        <v>2190</v>
      </c>
      <c r="B963" s="1876">
        <v>0.03</v>
      </c>
      <c r="D963" s="1631" t="s">
        <v>270</v>
      </c>
      <c r="G963" s="1879"/>
      <c r="H963" s="1843" t="s">
        <v>2373</v>
      </c>
      <c r="K963" s="1877" t="e">
        <f>IF(($B$14+$B$15+$B$16+$B$17)=0,"",-B976/($B$14+$B$15+$B$16+$B$17))</f>
        <v>#VALUE!</v>
      </c>
    </row>
    <row r="964" spans="1:19">
      <c r="A964" s="742" t="s">
        <v>2189</v>
      </c>
      <c r="B964" s="1876">
        <f>'Part VII-Pro Forma'!B8</f>
        <v>7.0000000000000007E-2</v>
      </c>
      <c r="D964" s="1631" t="s">
        <v>2507</v>
      </c>
      <c r="G964" s="2157" t="str">
        <f>'Part VII-Pro Forma'!G8</f>
        <v>Yes</v>
      </c>
      <c r="H964" s="1880" t="s">
        <v>1444</v>
      </c>
      <c r="K964" s="2158">
        <f>'Part VII-Pro Forma'!K8</f>
        <v>78945</v>
      </c>
    </row>
    <row r="965" spans="1:19">
      <c r="A965" s="742" t="s">
        <v>1418</v>
      </c>
      <c r="B965" s="1876">
        <v>0.02</v>
      </c>
      <c r="D965" s="1631" t="s">
        <v>1718</v>
      </c>
      <c r="G965" s="2157">
        <f>'Part VII-Pro Forma'!G9</f>
        <v>0</v>
      </c>
      <c r="H965" s="1880" t="s">
        <v>2355</v>
      </c>
      <c r="K965" s="2159">
        <f>'Part VII-Pro Forma'!K9</f>
        <v>0</v>
      </c>
    </row>
    <row r="967" spans="1:19">
      <c r="A967" s="1641" t="s">
        <v>91</v>
      </c>
      <c r="D967" s="1805"/>
    </row>
    <row r="969" spans="1:19">
      <c r="A969" s="1641" t="s">
        <v>2479</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2403</v>
      </c>
      <c r="B970" s="1881">
        <f>'Part VI-Revenues &amp; Expenses'!$L$49</f>
        <v>1664460</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17" t="s">
        <v>4186</v>
      </c>
    </row>
    <row r="971" spans="1:19">
      <c r="A971" s="742" t="s">
        <v>1016</v>
      </c>
      <c r="B971" s="1881">
        <f>MIN(B970*B965,'Part VI-Revenues &amp; Expenses'!$H$173)</f>
        <v>33289.199999999997</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17"/>
    </row>
    <row r="972" spans="1:19">
      <c r="A972" s="742" t="s">
        <v>2404</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17" t="s">
        <v>3882</v>
      </c>
      <c r="R972" s="4317" t="s">
        <v>4185</v>
      </c>
      <c r="S972" s="4317"/>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17"/>
      <c r="R973" s="4317"/>
      <c r="S973" s="4317"/>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-762234</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137226.09878327139</v>
      </c>
      <c r="S975" s="518">
        <f>B986+R975</f>
        <v>335013.54278327129</v>
      </c>
    </row>
    <row r="976" spans="1:19">
      <c r="A976" s="742" t="s">
        <v>1115</v>
      </c>
      <c r="B976" s="1881">
        <f>IF(AND('Part VII-Pro Forma'!$G$8="Yes",'Part VII-Pro Forma'!$G$9="Yes"),"Choose One!",IF('Part VII-Pro Forma'!$G$8="Yes",ROUND((-$K$8*(1+'Part VII-Pro Forma'!$B$6)^('Part VII-Pro Forma'!B977-1)),),IF('Part VII-Pro Forma'!$G$9="Yes",ROUND((-(SUM(B970:B973)*'Part VII-Pro Forma'!$K$9)),),"Choose mgt fee")))</f>
        <v>0</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292478</v>
      </c>
      <c r="S976" s="518">
        <f>SUM(B986:C986)+R976</f>
        <v>-218838.11443345738</v>
      </c>
    </row>
    <row r="977" spans="1:19">
      <c r="A977" s="742" t="s">
        <v>1202</v>
      </c>
      <c r="B977" s="1881">
        <f>-('Part VI-Revenues &amp; Expenses'!$P$230)</f>
        <v>-46800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292478</v>
      </c>
      <c r="S977" s="518">
        <f>SUM(B986:D986)+R977</f>
        <v>-772844.27165018604</v>
      </c>
    </row>
    <row r="978" spans="1:19">
      <c r="A978" s="742" t="s">
        <v>1203</v>
      </c>
      <c r="B978" s="1881">
        <f t="shared" ref="B978:K978" si="284">SUM(B970:B977)</f>
        <v>888715.2</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292478</v>
      </c>
      <c r="S978" s="518">
        <f>SUM(B986:E986)+R978</f>
        <v>-1327009.5638669147</v>
      </c>
    </row>
    <row r="979" spans="1:19">
      <c r="A979" s="742" t="s">
        <v>1591</v>
      </c>
      <c r="B979" s="1881">
        <f>'Part VII-Pro Forma'!B25</f>
        <v>-548701.65721672866</v>
      </c>
      <c r="C979" s="1881">
        <f>'Part VII-Pro Forma'!C25</f>
        <v>-548701.65721672866</v>
      </c>
      <c r="D979" s="1881">
        <f>'Part VII-Pro Forma'!D25</f>
        <v>-548701.65721672866</v>
      </c>
      <c r="E979" s="1881">
        <f>'Part VII-Pro Forma'!E25</f>
        <v>-548701.65721672866</v>
      </c>
      <c r="F979" s="1881">
        <f>'Part VII-Pro Forma'!F25</f>
        <v>-548701.65721672866</v>
      </c>
      <c r="G979" s="1881">
        <f>'Part VII-Pro Forma'!G25</f>
        <v>-548701.65721672866</v>
      </c>
      <c r="H979" s="1881">
        <f>'Part VII-Pro Forma'!H25</f>
        <v>-548701.65721672866</v>
      </c>
      <c r="I979" s="1881">
        <f>'Part VII-Pro Forma'!I25</f>
        <v>-548701.65721672866</v>
      </c>
      <c r="J979" s="1881">
        <f>'Part VII-Pro Forma'!J25</f>
        <v>-548701.65721672866</v>
      </c>
      <c r="K979" s="1881">
        <f>'Part VII-Pro Forma'!K25</f>
        <v>-548701.65721672866</v>
      </c>
      <c r="Q979" s="517">
        <v>5</v>
      </c>
      <c r="R979" s="518">
        <f>-SUM(B985:F985)</f>
        <v>292478</v>
      </c>
      <c r="S979" s="518">
        <f>SUM(B986:F986)+R979</f>
        <v>-1881338.7651336435</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292478</v>
      </c>
      <c r="S980" s="518">
        <f>SUM(B986:G986)+R980</f>
        <v>-2435836.7927218722</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292478</v>
      </c>
      <c r="S981" s="518">
        <f>SUM(B986:H986)+R981</f>
        <v>-2990508.7114212457</v>
      </c>
    </row>
    <row r="982" spans="1:19">
      <c r="A982" s="742" t="s">
        <v>3851</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292478</v>
      </c>
      <c r="S982" s="518">
        <f>SUM(B986:I986)+R982</f>
        <v>-3545359.7379650986</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292478</v>
      </c>
      <c r="S983" s="518">
        <f>SUM(B986:J986)+R983</f>
        <v>-4100395.2455887655</v>
      </c>
    </row>
    <row r="984" spans="1:19">
      <c r="A984" s="742" t="s">
        <v>1163</v>
      </c>
      <c r="B984" s="1881">
        <f>'Part VII-Pro Forma'!B30</f>
        <v>-5000</v>
      </c>
      <c r="C984" s="1881">
        <f>'Part VII-Pro Forma'!C30</f>
        <v>-5150</v>
      </c>
      <c r="D984" s="1881">
        <f>'Part VII-Pro Forma'!D30</f>
        <v>-5304.5</v>
      </c>
      <c r="E984" s="1881">
        <f>'Part VII-Pro Forma'!E30</f>
        <v>-5463.6350000000002</v>
      </c>
      <c r="F984" s="1881">
        <f>'Part VII-Pro Forma'!F30</f>
        <v>-5627.5440500000004</v>
      </c>
      <c r="G984" s="1881">
        <f>'Part VII-Pro Forma'!G30</f>
        <v>-5796.3703715000001</v>
      </c>
      <c r="H984" s="1881">
        <f>'Part VII-Pro Forma'!H30</f>
        <v>-5970.2614826449999</v>
      </c>
      <c r="I984" s="1881">
        <f>'Part VII-Pro Forma'!I30</f>
        <v>-6149.3693271243501</v>
      </c>
      <c r="J984" s="1881">
        <f>'Part VII-Pro Forma'!J30</f>
        <v>-6333.8504069380806</v>
      </c>
      <c r="K984" s="1881">
        <f>'Part VII-Pro Forma'!K30</f>
        <v>-6523.865919146223</v>
      </c>
      <c r="Q984" s="517">
        <v>10</v>
      </c>
      <c r="R984" s="518">
        <f>-SUM(B985:K985)</f>
        <v>292478</v>
      </c>
      <c r="S984" s="518">
        <f>SUM(B986:K986)+R984</f>
        <v>-4655620.7687246408</v>
      </c>
    </row>
    <row r="985" spans="1:19">
      <c r="A985" s="742" t="s">
        <v>4083</v>
      </c>
      <c r="B985" s="1881">
        <f>'Part VII-Pro Forma'!B31</f>
        <v>-137226.09878327139</v>
      </c>
      <c r="C985" s="1881">
        <f>'Part VII-Pro Forma'!C31</f>
        <v>-155251.90121672861</v>
      </c>
      <c r="D985" s="1881">
        <f>'Part VII-Pro Forma'!D31</f>
        <v>0</v>
      </c>
      <c r="E985" s="1881">
        <f>'Part VII-Pro Forma'!E31</f>
        <v>0</v>
      </c>
      <c r="F985" s="1881">
        <f>'Part VII-Pro Forma'!F31</f>
        <v>0</v>
      </c>
      <c r="G985" s="1881">
        <f>'Part VII-Pro Forma'!G31</f>
        <v>0</v>
      </c>
      <c r="H985" s="1881">
        <f>'Part VII-Pro Forma'!H31</f>
        <v>0</v>
      </c>
      <c r="I985" s="1881">
        <f>'Part VII-Pro Forma'!I31</f>
        <v>0</v>
      </c>
      <c r="J985" s="1881">
        <f>'Part VII-Pro Forma'!J31</f>
        <v>0</v>
      </c>
      <c r="K985" s="1881">
        <f>'Part VII-Pro Forma'!K31</f>
        <v>0</v>
      </c>
      <c r="Q985" s="517">
        <v>11</v>
      </c>
      <c r="R985" s="518">
        <f>-SUM(B985:K985)-B1015</f>
        <v>292478</v>
      </c>
      <c r="S985" s="518">
        <f>SUM(B986:K986)+B1016+R985</f>
        <v>-5211042.00783809</v>
      </c>
    </row>
    <row r="986" spans="1:19">
      <c r="A986" s="742" t="s">
        <v>1164</v>
      </c>
      <c r="B986" s="1881">
        <f>SUM(B978:B985)</f>
        <v>197787.4439999999</v>
      </c>
      <c r="C986" s="1881">
        <f t="shared" ref="C986:K986" si="285">SUM(C978:C985)</f>
        <v>-709103.55843345728</v>
      </c>
      <c r="D986" s="1881">
        <f t="shared" si="285"/>
        <v>-554006.15721672866</v>
      </c>
      <c r="E986" s="1881">
        <f t="shared" si="285"/>
        <v>-554165.29221672867</v>
      </c>
      <c r="F986" s="1881">
        <f t="shared" si="285"/>
        <v>-554329.20126672869</v>
      </c>
      <c r="G986" s="1881">
        <f t="shared" si="285"/>
        <v>-554498.0275882287</v>
      </c>
      <c r="H986" s="1881">
        <f t="shared" si="285"/>
        <v>-554671.91869937361</v>
      </c>
      <c r="I986" s="1881">
        <f t="shared" si="285"/>
        <v>-554851.02654385299</v>
      </c>
      <c r="J986" s="1881">
        <f t="shared" si="285"/>
        <v>-555035.50762366678</v>
      </c>
      <c r="K986" s="1881">
        <f t="shared" si="285"/>
        <v>-555225.52313587489</v>
      </c>
      <c r="Q986" s="517">
        <v>12</v>
      </c>
      <c r="R986" s="518">
        <f>-SUM(B985:K985) - SUM(B1015:C1015)</f>
        <v>292478</v>
      </c>
      <c r="S986" s="518">
        <f>SUM(B986:K986) + SUM(B60:C60)+R986</f>
        <v>-4655620.7687246408</v>
      </c>
    </row>
    <row r="987" spans="1:19">
      <c r="A987" s="742" t="str">
        <f>IF('Part III-Sources of Funds'!$E$38 = "Neither", "", "DCR Mortgage A")</f>
        <v>DCR Mortgage A</v>
      </c>
      <c r="B987" s="1882">
        <f t="shared" ref="B987:K987" si="286">IF(B979=0,"",-B978/B979)</f>
        <v>1.6196692470512646</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292478</v>
      </c>
      <c r="S987" s="518">
        <f>SUM(B986:K986) + SUM(B1016:D1016)+R987</f>
        <v>-6322495.2960594008</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292478</v>
      </c>
      <c r="S988" s="518">
        <f>SUM(B986:K986) + SUM(B1016:E1016)+R988</f>
        <v>-6878539.6218433874</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292478</v>
      </c>
      <c r="S989" s="518">
        <f>SUM(B986:K986) + SUM(B1016:F1016)+R989</f>
        <v>-7434804.2276843917</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292478</v>
      </c>
      <c r="S990" s="518">
        <f>SUM(B986:K986) + SUM(B1016:G1016)+R990</f>
        <v>-7983505.8849011203</v>
      </c>
    </row>
    <row r="991" spans="1:19">
      <c r="A991" s="742" t="s">
        <v>3712</v>
      </c>
      <c r="B991" s="1882">
        <f t="shared" ref="B991:K991" si="290">IF(AND(B979=0,B980=0,B981=0,B982=0),"",-B978/(B979+B980+B981+B982))</f>
        <v>1.6196692470512646</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292478</v>
      </c>
      <c r="S991" s="518">
        <f>SUM(B986:K986) + SUM(B1016:H1016)+R991</f>
        <v>-8532207.542117849</v>
      </c>
    </row>
    <row r="992" spans="1:19">
      <c r="A992" s="742" t="s">
        <v>770</v>
      </c>
      <c r="B992" s="1883">
        <f t="shared" ref="B992:K992" si="291">IF(OR(B976="Choose mgt fee",B976="Choose One!"),"",(B970+B971+B972+B973+B974) / -(B975+B976+B977))</f>
        <v>2.0984893094727788</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292478</v>
      </c>
      <c r="S992" s="518">
        <f>SUM(B986:K986) + SUM(B1016:I1016)+R992</f>
        <v>-9080909.1993345767</v>
      </c>
    </row>
    <row r="993" spans="1:19">
      <c r="A993" s="742" t="s">
        <v>2616</v>
      </c>
      <c r="B993" s="1881">
        <f>'Part VII-Pro Forma'!B39</f>
        <v>10294308.523943068</v>
      </c>
      <c r="C993" s="1881">
        <f>'Part VII-Pro Forma'!C39</f>
        <v>10191373.10179431</v>
      </c>
      <c r="D993" s="1881">
        <f>'Part VII-Pro Forma'!D39</f>
        <v>10083869.627243839</v>
      </c>
      <c r="E993" s="1881">
        <f>'Part VII-Pro Forma'!E39</f>
        <v>9971595.379961675</v>
      </c>
      <c r="F993" s="1881">
        <f>'Part VII-Pro Forma'!F39</f>
        <v>9854338.6433260757</v>
      </c>
      <c r="G993" s="1881">
        <f>'Part VII-Pro Forma'!G39</f>
        <v>9731878.3051874768</v>
      </c>
      <c r="H993" s="1881">
        <f>'Part VII-Pro Forma'!H39</f>
        <v>9603983.4409152009</v>
      </c>
      <c r="I993" s="1881">
        <f>'Part VII-Pro Forma'!I39</f>
        <v>9470412.8779406734</v>
      </c>
      <c r="J993" s="1881">
        <f>'Part VII-Pro Forma'!J39</f>
        <v>9330914.7409759983</v>
      </c>
      <c r="K993" s="1881">
        <f>'Part VII-Pro Forma'!K39</f>
        <v>9185225.9770503249</v>
      </c>
      <c r="Q993" s="517">
        <v>19</v>
      </c>
      <c r="R993" s="518">
        <f>-SUM(B985:K985) - SUM(B1015:J1015)</f>
        <v>292478</v>
      </c>
      <c r="S993" s="518">
        <f>SUM(B986:K986) + SUM(B1016:J1016)+R993</f>
        <v>-9629610.8565513063</v>
      </c>
    </row>
    <row r="994" spans="1:19">
      <c r="A994" s="742" t="s">
        <v>2617</v>
      </c>
      <c r="B994" s="1881">
        <f>'Part VII-Pro Forma'!B40</f>
        <v>2020091.921774361</v>
      </c>
      <c r="C994" s="1881">
        <f>'Part VII-Pro Forma'!C40</f>
        <v>2040385.6862090158</v>
      </c>
      <c r="D994" s="1881">
        <f>'Part VII-Pro Forma'!D40</f>
        <v>2060883.3210074347</v>
      </c>
      <c r="E994" s="1881">
        <f>'Part VII-Pro Forma'!E40</f>
        <v>2081586.8742433183</v>
      </c>
      <c r="F994" s="1881">
        <f>'Part VII-Pro Forma'!F40</f>
        <v>2102498.4145652354</v>
      </c>
      <c r="G994" s="1881">
        <f>'Part VII-Pro Forma'!G40</f>
        <v>2123620.0314033171</v>
      </c>
      <c r="H994" s="1881">
        <f>'Part VII-Pro Forma'!H40</f>
        <v>2144953.8351780279</v>
      </c>
      <c r="I994" s="1881">
        <f>'Part VII-Pro Forma'!I40</f>
        <v>2166501.9575110343</v>
      </c>
      <c r="J994" s="1881">
        <f>'Part VII-Pro Forma'!J40</f>
        <v>2188266.5514381905</v>
      </c>
      <c r="K994" s="1881">
        <f>'Part VII-Pro Forma'!K40</f>
        <v>2210249.7916246639</v>
      </c>
      <c r="Q994" s="517">
        <v>20</v>
      </c>
      <c r="R994" s="518">
        <f>-SUM(B985:K985) - SUM(B1015:K1015)</f>
        <v>292478</v>
      </c>
      <c r="S994" s="518">
        <f>SUM(B986:K986) + SUM(B1016:K1016)+R994</f>
        <v>-10178312.513768036</v>
      </c>
    </row>
    <row r="995" spans="1:19">
      <c r="A995" s="742" t="s">
        <v>2618</v>
      </c>
      <c r="B995" s="1881">
        <f>'Part VII-Pro Forma'!B41</f>
        <v>720000</v>
      </c>
      <c r="C995" s="1881">
        <f>'Part VII-Pro Forma'!C41</f>
        <v>720000</v>
      </c>
      <c r="D995" s="1881">
        <f>'Part VII-Pro Forma'!D41</f>
        <v>720000</v>
      </c>
      <c r="E995" s="1881">
        <f>'Part VII-Pro Forma'!E41</f>
        <v>720000</v>
      </c>
      <c r="F995" s="1881">
        <f>'Part VII-Pro Forma'!F41</f>
        <v>720000</v>
      </c>
      <c r="G995" s="1881">
        <f>'Part VII-Pro Forma'!G41</f>
        <v>720000</v>
      </c>
      <c r="H995" s="1881">
        <f>'Part VII-Pro Forma'!H41</f>
        <v>720000</v>
      </c>
      <c r="I995" s="1881">
        <f>'Part VII-Pro Forma'!I41</f>
        <v>720000</v>
      </c>
      <c r="J995" s="1881">
        <f>'Part VII-Pro Forma'!J41</f>
        <v>720000</v>
      </c>
      <c r="K995" s="1881">
        <f>'Part VII-Pro Forma'!K41</f>
        <v>720000</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4084</v>
      </c>
      <c r="B997" s="1881">
        <f>'Part VII-Pro Forma'!B43</f>
        <v>155251.90121672861</v>
      </c>
      <c r="C997" s="1881">
        <f>'Part VII-Pro Forma'!C43</f>
        <v>0</v>
      </c>
      <c r="D997" s="1881">
        <f>'Part VII-Pro Forma'!D43</f>
        <v>0</v>
      </c>
      <c r="E997" s="1881">
        <f>'Part VII-Pro Forma'!E43</f>
        <v>0</v>
      </c>
      <c r="F997" s="1881">
        <f>'Part VII-Pro Forma'!F43</f>
        <v>0</v>
      </c>
      <c r="G997" s="1881">
        <f>'Part VII-Pro Forma'!G43</f>
        <v>0</v>
      </c>
      <c r="H997" s="1881">
        <f>'Part VII-Pro Forma'!H43</f>
        <v>0</v>
      </c>
      <c r="I997" s="1881">
        <f>'Part VII-Pro Forma'!I43</f>
        <v>0</v>
      </c>
      <c r="J997" s="1881">
        <f>'Part VII-Pro Forma'!J43</f>
        <v>0</v>
      </c>
      <c r="K997" s="1881">
        <f>'Part VII-Pro Forma'!K43</f>
        <v>0</v>
      </c>
    </row>
    <row r="998" spans="1:19">
      <c r="B998" s="1881"/>
      <c r="C998" s="1881"/>
      <c r="D998" s="1881"/>
      <c r="E998" s="1881"/>
      <c r="F998" s="1881"/>
      <c r="G998" s="1881"/>
      <c r="H998" s="1881"/>
      <c r="I998" s="1881"/>
      <c r="J998" s="1881"/>
      <c r="K998" s="1881"/>
    </row>
    <row r="999" spans="1:19">
      <c r="A999" s="1641" t="s">
        <v>2479</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2403</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2404</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-548701.65721672866</v>
      </c>
      <c r="C1009" s="1881">
        <f>'Part VII-Pro Forma'!C57</f>
        <v>-548701.65721672866</v>
      </c>
      <c r="D1009" s="1881">
        <f>'Part VII-Pro Forma'!D57</f>
        <v>-548701.65721672866</v>
      </c>
      <c r="E1009" s="1881">
        <f>'Part VII-Pro Forma'!E57</f>
        <v>-548701.65721672866</v>
      </c>
      <c r="F1009" s="1881">
        <f>'Part VII-Pro Forma'!F57</f>
        <v>-548701.65721672866</v>
      </c>
      <c r="G1009" s="1881">
        <f>'Part VII-Pro Forma'!G57</f>
        <v>-548701.65721672866</v>
      </c>
      <c r="H1009" s="1881">
        <f>'Part VII-Pro Forma'!H57</f>
        <v>-548701.65721672866</v>
      </c>
      <c r="I1009" s="1881">
        <f>'Part VII-Pro Forma'!I57</f>
        <v>-548701.65721672866</v>
      </c>
      <c r="J1009" s="1881">
        <f>'Part VII-Pro Forma'!J57</f>
        <v>-548701.65721672866</v>
      </c>
      <c r="K1009" s="1881">
        <f>'Part VII-Pro Forma'!K57</f>
        <v>-548701.65721672866</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-6719.5818967206096</v>
      </c>
      <c r="C1014" s="1881">
        <f>'Part VII-Pro Forma'!C62</f>
        <v>-6921.1693536222283</v>
      </c>
      <c r="D1014" s="1881">
        <f>'Part VII-Pro Forma'!D62</f>
        <v>-7128.8044342308949</v>
      </c>
      <c r="E1014" s="1881">
        <f>'Part VII-Pro Forma'!E62</f>
        <v>-7342.6685672578224</v>
      </c>
      <c r="F1014" s="1881">
        <f>'Part VII-Pro Forma'!F62</f>
        <v>-7562.9486242755574</v>
      </c>
      <c r="G1014" s="1881">
        <f>'Part VII-Pro Forma'!G62</f>
        <v>0</v>
      </c>
      <c r="H1014" s="1881">
        <f>'Part VII-Pro Forma'!H62</f>
        <v>0</v>
      </c>
      <c r="I1014" s="1881">
        <f>'Part VII-Pro Forma'!I62</f>
        <v>0</v>
      </c>
      <c r="J1014" s="1881">
        <f>'Part VII-Pro Forma'!J62</f>
        <v>0</v>
      </c>
      <c r="K1014" s="1881">
        <f>'Part VII-Pro Forma'!K62</f>
        <v>0</v>
      </c>
    </row>
    <row r="1015" spans="1:11">
      <c r="A1015" s="742" t="s">
        <v>4083</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-555421.23911344924</v>
      </c>
      <c r="C1016" s="1881">
        <f t="shared" ref="C1016:K1016" si="299">SUM(C1008:C1015)</f>
        <v>-555622.82657035091</v>
      </c>
      <c r="D1016" s="1881">
        <f t="shared" si="299"/>
        <v>-555830.46165095957</v>
      </c>
      <c r="E1016" s="1881">
        <f t="shared" si="299"/>
        <v>-556044.32578398648</v>
      </c>
      <c r="F1016" s="1881">
        <f t="shared" si="299"/>
        <v>-556264.60584100417</v>
      </c>
      <c r="G1016" s="1881">
        <f t="shared" si="299"/>
        <v>-548701.65721672866</v>
      </c>
      <c r="H1016" s="1881">
        <f t="shared" si="299"/>
        <v>-548701.65721672866</v>
      </c>
      <c r="I1016" s="1881">
        <f t="shared" si="299"/>
        <v>-548701.65721672866</v>
      </c>
      <c r="J1016" s="1881">
        <f t="shared" si="299"/>
        <v>-548701.65721672866</v>
      </c>
      <c r="K1016" s="1881">
        <f t="shared" si="299"/>
        <v>-548701.65721672866</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3712</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2616</v>
      </c>
      <c r="B1023" s="1881">
        <f>'Part VII-Pro Forma'!B71</f>
        <v>9033071.8594683446</v>
      </c>
      <c r="C1023" s="1881">
        <f>'Part VII-Pro Forma'!C71</f>
        <v>8874165.4697555304</v>
      </c>
      <c r="D1023" s="1881">
        <f>'Part VII-Pro Forma'!D71</f>
        <v>8708207.1566132288</v>
      </c>
      <c r="E1023" s="1881">
        <f>'Part VII-Pro Forma'!E71</f>
        <v>8534883.9708633404</v>
      </c>
      <c r="F1023" s="1881">
        <f>'Part VII-Pro Forma'!F71</f>
        <v>8353869.0753170615</v>
      </c>
      <c r="G1023" s="1881">
        <f>'Part VII-Pro Forma'!G71</f>
        <v>8164821.1284548743</v>
      </c>
      <c r="H1023" s="1881">
        <f>'Part VII-Pro Forma'!H71</f>
        <v>7967383.6407555742</v>
      </c>
      <c r="I1023" s="1881">
        <f>'Part VII-Pro Forma'!I71</f>
        <v>7761184.3024605745</v>
      </c>
      <c r="J1023" s="1881">
        <f>'Part VII-Pro Forma'!J71</f>
        <v>7545834.2815058324</v>
      </c>
      <c r="K1023" s="1881">
        <f>'Part VII-Pro Forma'!K71</f>
        <v>7320927.4902975103</v>
      </c>
    </row>
    <row r="1024" spans="1:11">
      <c r="A1024" s="742" t="s">
        <v>2617</v>
      </c>
      <c r="B1024" s="1881">
        <f>'Part VII-Pro Forma'!B72</f>
        <v>2232453.8745822241</v>
      </c>
      <c r="C1024" s="1881">
        <f>'Part VII-Pro Forma'!C72</f>
        <v>2254881.0188887119</v>
      </c>
      <c r="D1024" s="1881">
        <f>'Part VII-Pro Forma'!D72</f>
        <v>2277533.4654097138</v>
      </c>
      <c r="E1024" s="1881">
        <f>'Part VII-Pro Forma'!E72</f>
        <v>2300413.4775224645</v>
      </c>
      <c r="F1024" s="1881">
        <f>'Part VII-Pro Forma'!F72</f>
        <v>2323523.341341998</v>
      </c>
      <c r="G1024" s="1881">
        <f>'Part VII-Pro Forma'!G72</f>
        <v>2346865.3659495707</v>
      </c>
      <c r="H1024" s="1881">
        <f>'Part VII-Pro Forma'!H72</f>
        <v>2370441.8836233788</v>
      </c>
      <c r="I1024" s="1881">
        <f>'Part VII-Pro Forma'!I72</f>
        <v>2394255.250071594</v>
      </c>
      <c r="J1024" s="1881">
        <f>'Part VII-Pro Forma'!J72</f>
        <v>2418307.8446677402</v>
      </c>
      <c r="K1024" s="1881">
        <f>'Part VII-Pro Forma'!K72</f>
        <v>2442602.0706884344</v>
      </c>
    </row>
    <row r="1025" spans="1:11">
      <c r="A1025" s="742" t="s">
        <v>2618</v>
      </c>
      <c r="B1025" s="1881">
        <f>'Part VII-Pro Forma'!B73</f>
        <v>720000</v>
      </c>
      <c r="C1025" s="1881">
        <f>'Part VII-Pro Forma'!C73</f>
        <v>720000</v>
      </c>
      <c r="D1025" s="1881">
        <f>'Part VII-Pro Forma'!D73</f>
        <v>720000</v>
      </c>
      <c r="E1025" s="1881">
        <f>'Part VII-Pro Forma'!E73</f>
        <v>720000</v>
      </c>
      <c r="F1025" s="1881">
        <f>'Part VII-Pro Forma'!F73</f>
        <v>720000</v>
      </c>
      <c r="G1025" s="1881">
        <f>'Part VII-Pro Forma'!G73</f>
        <v>720000</v>
      </c>
      <c r="H1025" s="1881">
        <f>'Part VII-Pro Forma'!H73</f>
        <v>720000</v>
      </c>
      <c r="I1025" s="1881">
        <f>'Part VII-Pro Forma'!I73</f>
        <v>720000</v>
      </c>
      <c r="J1025" s="1881">
        <f>'Part VII-Pro Forma'!J73</f>
        <v>720000</v>
      </c>
      <c r="K1025" s="1881">
        <f>'Part VII-Pro Forma'!K73</f>
        <v>720000</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4084</v>
      </c>
      <c r="B1027" s="1881">
        <f>'Part VII-Pro Forma'!B75</f>
        <v>0</v>
      </c>
      <c r="C1027" s="1881">
        <f>'Part VII-Pro Forma'!C75</f>
        <v>0</v>
      </c>
      <c r="D1027" s="1881">
        <f>'Part VII-Pro Forma'!D75</f>
        <v>0</v>
      </c>
      <c r="E1027" s="1881">
        <f>'Part VII-Pro Forma'!E75</f>
        <v>0</v>
      </c>
      <c r="F1027" s="1881">
        <f>'Part VII-Pro Forma'!F75</f>
        <v>0</v>
      </c>
      <c r="G1027" s="1881">
        <f>'Part VII-Pro Forma'!G75</f>
        <v>0</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2479</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2403</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2404</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-548701.65721672866</v>
      </c>
      <c r="C1039" s="1881">
        <f>'Part VII-Pro Forma'!C89</f>
        <v>-548701.65721672866</v>
      </c>
      <c r="D1039" s="1881">
        <f>'Part VII-Pro Forma'!D89</f>
        <v>-548701.65721672866</v>
      </c>
      <c r="E1039" s="1881">
        <f>'Part VII-Pro Forma'!E89</f>
        <v>-548701.65721672866</v>
      </c>
      <c r="F1039" s="1881">
        <f>'Part VII-Pro Forma'!F89</f>
        <v>-548701.65721672866</v>
      </c>
      <c r="G1039" s="1881">
        <f>'Part VII-Pro Forma'!G89</f>
        <v>-548701.65721672866</v>
      </c>
      <c r="H1039" s="1881">
        <f>'Part VII-Pro Forma'!H89</f>
        <v>-548701.65721672866</v>
      </c>
      <c r="I1039" s="1881">
        <f>'Part VII-Pro Forma'!I89</f>
        <v>-548701.65721672866</v>
      </c>
      <c r="J1039" s="1881">
        <f>'Part VII-Pro Forma'!J89</f>
        <v>-548701.65721672866</v>
      </c>
      <c r="K1039" s="1881">
        <f>'Part VII-Pro Forma'!K89</f>
        <v>-548701.65721672866</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0</v>
      </c>
      <c r="C1044" s="1881">
        <f>'Part VII-Pro Forma'!C94</f>
        <v>0</v>
      </c>
      <c r="D1044" s="1881">
        <f>'Part VII-Pro Forma'!D94</f>
        <v>0</v>
      </c>
      <c r="E1044" s="1881">
        <f>'Part VII-Pro Forma'!E94</f>
        <v>0</v>
      </c>
      <c r="F1044" s="1881">
        <f>'Part VII-Pro Forma'!F94</f>
        <v>0</v>
      </c>
      <c r="G1044" s="1881">
        <f>'Part VII-Pro Forma'!G94</f>
        <v>0</v>
      </c>
      <c r="H1044" s="1881">
        <f>'Part VII-Pro Forma'!H94</f>
        <v>0</v>
      </c>
      <c r="I1044" s="1881">
        <f>'Part VII-Pro Forma'!I94</f>
        <v>0</v>
      </c>
      <c r="J1044" s="1881">
        <f>'Part VII-Pro Forma'!J94</f>
        <v>0</v>
      </c>
      <c r="K1044" s="1881">
        <f>'Part VII-Pro Forma'!K94</f>
        <v>0</v>
      </c>
    </row>
    <row r="1045" spans="1:11">
      <c r="A1045" s="742" t="s">
        <v>1164</v>
      </c>
      <c r="B1045" s="1881">
        <f t="shared" ref="B1045:K1045" si="313">SUM(B1038:B1044)</f>
        <v>-548701.65721672866</v>
      </c>
      <c r="C1045" s="1881">
        <f t="shared" si="313"/>
        <v>-548701.65721672866</v>
      </c>
      <c r="D1045" s="1881">
        <f t="shared" si="313"/>
        <v>-548701.65721672866</v>
      </c>
      <c r="E1045" s="1881">
        <f t="shared" si="313"/>
        <v>-548701.65721672866</v>
      </c>
      <c r="F1045" s="1881">
        <f t="shared" si="313"/>
        <v>-548701.65721672866</v>
      </c>
      <c r="G1045" s="1881">
        <f t="shared" si="313"/>
        <v>-548701.65721672866</v>
      </c>
      <c r="H1045" s="1881">
        <f t="shared" si="313"/>
        <v>-548701.65721672866</v>
      </c>
      <c r="I1045" s="1881">
        <f t="shared" si="313"/>
        <v>-548701.65721672866</v>
      </c>
      <c r="J1045" s="1881">
        <f t="shared" si="313"/>
        <v>-548701.65721672866</v>
      </c>
      <c r="K1045" s="1881">
        <f t="shared" si="313"/>
        <v>-548701.65721672866</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3712</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2616</v>
      </c>
      <c r="B1052" s="1881">
        <f>'Part VII-Pro Forma'!B102</f>
        <v>7086039.8199487142</v>
      </c>
      <c r="C1052" s="1881">
        <f>'Part VII-Pro Forma'!C102</f>
        <v>6840728.3405333115</v>
      </c>
      <c r="D1052" s="1881">
        <f>'Part VII-Pro Forma'!D102</f>
        <v>6584530.4658487318</v>
      </c>
      <c r="E1052" s="1881">
        <f>'Part VII-Pro Forma'!E102</f>
        <v>6316963.0811127434</v>
      </c>
      <c r="F1052" s="1881">
        <f>'Part VII-Pro Forma'!F102</f>
        <v>6037521.6319492869</v>
      </c>
      <c r="G1052" s="1881">
        <f>'Part VII-Pro Forma'!G102</f>
        <v>5745679.172945465</v>
      </c>
      <c r="H1052" s="1881">
        <f>'Part VII-Pro Forma'!H102</f>
        <v>5440885.3739855373</v>
      </c>
      <c r="I1052" s="1881">
        <f>'Part VII-Pro Forma'!I102</f>
        <v>5122565.4824881582</v>
      </c>
      <c r="J1052" s="1881">
        <f>'Part VII-Pro Forma'!J102</f>
        <v>4790119.2395899389</v>
      </c>
      <c r="K1052" s="1881">
        <f>'Part VII-Pro Forma'!K102</f>
        <v>4442919.7482315684</v>
      </c>
    </row>
    <row r="1053" spans="1:11">
      <c r="A1053" s="742" t="s">
        <v>2617</v>
      </c>
      <c r="B1053" s="1881">
        <f>'Part VII-Pro Forma'!B103</f>
        <v>2467140.3555535167</v>
      </c>
      <c r="C1053" s="1881">
        <f>'Part VII-Pro Forma'!C103</f>
        <v>2491925.151068592</v>
      </c>
      <c r="D1053" s="1881">
        <f>'Part VII-Pro Forma'!D103</f>
        <v>2516958.9336700086</v>
      </c>
      <c r="E1053" s="1881">
        <f>'Part VII-Pro Forma'!E103</f>
        <v>2542244.204672297</v>
      </c>
      <c r="F1053" s="1881">
        <f>'Part VII-Pro Forma'!F103</f>
        <v>2567783.4905180964</v>
      </c>
      <c r="G1053" s="1881">
        <f>'Part VII-Pro Forma'!G103</f>
        <v>2593579.3430305892</v>
      </c>
      <c r="H1053" s="1881">
        <f>'Part VII-Pro Forma'!H103</f>
        <v>2619634.3396684742</v>
      </c>
      <c r="I1053" s="1881">
        <f>'Part VII-Pro Forma'!I103</f>
        <v>2645951.083783499</v>
      </c>
      <c r="J1053" s="1881">
        <f>'Part VII-Pro Forma'!J103</f>
        <v>2672532.2048805812</v>
      </c>
      <c r="K1053" s="1881">
        <f>'Part VII-Pro Forma'!K103</f>
        <v>2699380.3588805422</v>
      </c>
    </row>
    <row r="1054" spans="1:11">
      <c r="A1054" s="742" t="s">
        <v>2618</v>
      </c>
      <c r="B1054" s="1881">
        <f>'Part VII-Pro Forma'!B104</f>
        <v>720000</v>
      </c>
      <c r="C1054" s="1881">
        <f>'Part VII-Pro Forma'!C104</f>
        <v>720000</v>
      </c>
      <c r="D1054" s="1881">
        <f>'Part VII-Pro Forma'!D104</f>
        <v>720000</v>
      </c>
      <c r="E1054" s="1881">
        <f>'Part VII-Pro Forma'!E104</f>
        <v>720000</v>
      </c>
      <c r="F1054" s="1881">
        <f>'Part VII-Pro Forma'!F104</f>
        <v>720000</v>
      </c>
      <c r="G1054" s="1881">
        <f>'Part VII-Pro Forma'!G104</f>
        <v>720000</v>
      </c>
      <c r="H1054" s="1881">
        <f>'Part VII-Pro Forma'!H104</f>
        <v>720000</v>
      </c>
      <c r="I1054" s="1881">
        <f>'Part VII-Pro Forma'!I104</f>
        <v>720000</v>
      </c>
      <c r="J1054" s="1881">
        <f>'Part VII-Pro Forma'!J104</f>
        <v>720000</v>
      </c>
      <c r="K1054" s="1881">
        <f>'Part VII-Pro Forma'!K104</f>
        <v>720000</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2479</v>
      </c>
      <c r="B1057" s="1884">
        <f>K1029+1</f>
        <v>31</v>
      </c>
      <c r="C1057" s="1884">
        <f>B1057+1</f>
        <v>32</v>
      </c>
      <c r="D1057" s="1884">
        <f>C1057+1</f>
        <v>33</v>
      </c>
      <c r="E1057" s="1884">
        <f>D1057+1</f>
        <v>34</v>
      </c>
      <c r="F1057" s="1884">
        <f>E1057+1</f>
        <v>35</v>
      </c>
      <c r="G1057" s="1881"/>
      <c r="H1057" s="1881"/>
      <c r="I1057" s="1881"/>
      <c r="J1057" s="1881"/>
      <c r="K1057" s="1881"/>
    </row>
    <row r="1058" spans="1:11">
      <c r="A1058" s="742" t="s">
        <v>2403</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2404</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-548701.65721672866</v>
      </c>
      <c r="C1067" s="1881">
        <f>'Part VII-Pro Forma'!C119</f>
        <v>-548701.65721672866</v>
      </c>
      <c r="D1067" s="1881">
        <f>'Part VII-Pro Forma'!D119</f>
        <v>-548701.65721672866</v>
      </c>
      <c r="E1067" s="1881">
        <f>'Part VII-Pro Forma'!E119</f>
        <v>-548701.65721672866</v>
      </c>
      <c r="F1067" s="1881">
        <f>'Part VII-Pro Forma'!F119</f>
        <v>-548701.65721672866</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0</v>
      </c>
      <c r="C1072" s="1881">
        <f>'Part VII-Pro Forma'!C124</f>
        <v>0</v>
      </c>
      <c r="D1072" s="1881">
        <f>'Part VII-Pro Forma'!D124</f>
        <v>0</v>
      </c>
      <c r="E1072" s="1881">
        <f>'Part VII-Pro Forma'!E124</f>
        <v>0</v>
      </c>
      <c r="F1072" s="1881">
        <f>'Part VII-Pro Forma'!F124</f>
        <v>0</v>
      </c>
      <c r="G1072" s="1881"/>
      <c r="H1072" s="1881"/>
      <c r="I1072" s="1881"/>
      <c r="J1072" s="1881"/>
      <c r="K1072" s="1881"/>
    </row>
    <row r="1073" spans="1:11">
      <c r="A1073" s="742" t="s">
        <v>1164</v>
      </c>
      <c r="B1073" s="1881">
        <f>SUM(B1066:B1072)</f>
        <v>-548701.65721672866</v>
      </c>
      <c r="C1073" s="1881">
        <f>SUM(C1066:C1072)</f>
        <v>-548701.65721672866</v>
      </c>
      <c r="D1073" s="1881">
        <f>SUM(D1066:D1072)</f>
        <v>-548701.65721672866</v>
      </c>
      <c r="E1073" s="1881">
        <f>SUM(E1066:E1072)</f>
        <v>-548701.65721672866</v>
      </c>
      <c r="F1073" s="1881">
        <f>SUM(F1066:F1072)</f>
        <v>-548701.65721672866</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3712</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2616</v>
      </c>
      <c r="B1080" s="1881">
        <f>'Part VII-Pro Forma'!B132</f>
        <v>4080312.2910120329</v>
      </c>
      <c r="C1080" s="1881">
        <f>'Part VII-Pro Forma'!C132</f>
        <v>3701613.0955817532</v>
      </c>
      <c r="D1080" s="1881">
        <f>'Part VII-Pro Forma'!D132</f>
        <v>3306108.0452465257</v>
      </c>
      <c r="E1080" s="1881">
        <f>'Part VII-Pro Forma'!E132</f>
        <v>2893051.3323508445</v>
      </c>
      <c r="F1080" s="1881">
        <f>'Part VII-Pro Forma'!F132</f>
        <v>2461664.0519012706</v>
      </c>
      <c r="G1080" s="1881"/>
      <c r="H1080" s="1881"/>
      <c r="I1080" s="1881"/>
      <c r="J1080" s="1881"/>
      <c r="K1080" s="1881"/>
    </row>
    <row r="1081" spans="1:11">
      <c r="A1081" s="742" t="s">
        <v>2617</v>
      </c>
      <c r="B1081" s="1881">
        <f>'Part VII-Pro Forma'!B133</f>
        <v>2726498.2283854797</v>
      </c>
      <c r="C1081" s="1881">
        <f>'Part VII-Pro Forma'!C133</f>
        <v>2753888.5229468071</v>
      </c>
      <c r="D1081" s="1881">
        <f>'Part VII-Pro Forma'!D133</f>
        <v>2781553.9793359861</v>
      </c>
      <c r="E1081" s="1881">
        <f>'Part VII-Pro Forma'!E133</f>
        <v>2809497.3618179769</v>
      </c>
      <c r="F1081" s="1881">
        <f>'Part VII-Pro Forma'!F133</f>
        <v>2837721.4624274373</v>
      </c>
      <c r="G1081" s="1881"/>
      <c r="H1081" s="1881"/>
      <c r="I1081" s="1881"/>
      <c r="J1081" s="1881"/>
      <c r="K1081" s="1881"/>
    </row>
    <row r="1082" spans="1:11">
      <c r="A1082" s="742" t="s">
        <v>2618</v>
      </c>
      <c r="B1082" s="1881">
        <f>'Part VII-Pro Forma'!B134</f>
        <v>720000</v>
      </c>
      <c r="C1082" s="1881">
        <f>'Part VII-Pro Forma'!C134</f>
        <v>720000</v>
      </c>
      <c r="D1082" s="1881">
        <f>'Part VII-Pro Forma'!D134</f>
        <v>720000</v>
      </c>
      <c r="E1082" s="1881">
        <f>'Part VII-Pro Forma'!E134</f>
        <v>720000</v>
      </c>
      <c r="F1082" s="1881">
        <f>'Part VII-Pro Forma'!F134</f>
        <v>720000</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571</v>
      </c>
      <c r="B1085" s="1641"/>
      <c r="G1085" s="1641" t="s">
        <v>1031</v>
      </c>
    </row>
    <row r="1086" spans="1:11">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2019-5 55 Milton,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1842</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4536</v>
      </c>
      <c r="K1100" s="1887"/>
      <c r="L1100" s="1887"/>
      <c r="M1100" s="1887"/>
      <c r="N1100" s="1887"/>
      <c r="O1100" s="1887"/>
      <c r="P1100" s="1888">
        <f>'Part VIII-Threshold Criteria'!P6</f>
        <v>0</v>
      </c>
      <c r="Q1100" s="1888">
        <f>'Part VIII-Threshold Criteria'!Q6</f>
        <v>0</v>
      </c>
    </row>
    <row r="1101" spans="1:17">
      <c r="A1101" s="1889" t="s">
        <v>3450</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616</v>
      </c>
      <c r="B1123" s="1892" t="s">
        <v>2650</v>
      </c>
      <c r="C1123" s="1893"/>
      <c r="D1123" s="1894"/>
      <c r="E1123" s="1894"/>
      <c r="F1123" s="1894"/>
      <c r="G1123" s="1894"/>
      <c r="I1123" s="1895"/>
      <c r="J1123" s="1895"/>
      <c r="K1123" s="1895"/>
      <c r="L1123" s="1812"/>
      <c r="M1123" s="1812"/>
      <c r="O1123" s="1896" t="s">
        <v>1866</v>
      </c>
      <c r="P1123" s="1820">
        <f>'Part VIII-Threshold Criteria'!P29</f>
        <v>0</v>
      </c>
      <c r="Q1123" s="1820">
        <f>'Part VIII-Threshold Criteria'!Q29</f>
        <v>0</v>
      </c>
    </row>
    <row r="1125" spans="1:17">
      <c r="B1125" s="1866" t="s">
        <v>3753</v>
      </c>
      <c r="C1125" s="1866"/>
      <c r="D1125" s="1866"/>
      <c r="E1125" s="1866"/>
      <c r="F1125" s="1866"/>
      <c r="G1125" s="1895"/>
      <c r="H1125" s="1895"/>
      <c r="I1125" s="1895"/>
      <c r="J1125" s="1895"/>
      <c r="K1125" s="1812"/>
      <c r="L1125" s="1812"/>
      <c r="M1125" s="1812"/>
      <c r="N1125" s="1812"/>
      <c r="O1125" s="1812"/>
      <c r="P1125" s="1812"/>
    </row>
    <row r="1126" spans="1:17" ht="303.75">
      <c r="A1126" s="1900" t="str">
        <f>'Part VIII-Threshold Criteria'!A32</f>
        <v>Construction cost estimate is based off of our historical cost to deliver similar projects that are currently under construction.
Local government fees were confirmed by the local government and our construction management team.</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1865</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740</v>
      </c>
      <c r="B1130" s="1629" t="s">
        <v>2710</v>
      </c>
      <c r="C1130" s="1629"/>
      <c r="D1130" s="1629"/>
      <c r="E1130" s="1899"/>
      <c r="G1130" s="1820"/>
      <c r="H1130" s="1820"/>
      <c r="I1130" s="1820"/>
      <c r="J1130" s="1631"/>
      <c r="L1130" s="1901"/>
      <c r="M1130" s="1901"/>
      <c r="N1130" s="1901"/>
      <c r="O1130" s="1896" t="s">
        <v>1866</v>
      </c>
      <c r="P1130" s="1820">
        <f>'Part VIII-Threshold Criteria'!P36</f>
        <v>0</v>
      </c>
      <c r="Q1130" s="1820">
        <f>'Part VIII-Threshold Criteria'!Q36</f>
        <v>0</v>
      </c>
    </row>
    <row r="1131" spans="1:17" ht="12.75" customHeight="1">
      <c r="A1131" s="1902" t="s">
        <v>4537</v>
      </c>
      <c r="B1131" s="1902"/>
      <c r="C1131" s="1902"/>
      <c r="D1131" s="1902"/>
      <c r="E1131" s="1902"/>
      <c r="F1131" s="1902"/>
      <c r="G1131" s="1741" t="s">
        <v>2714</v>
      </c>
      <c r="H1131" s="1741"/>
      <c r="I1131" s="1894"/>
      <c r="J1131" s="1631"/>
      <c r="K1131" s="1894" t="s">
        <v>3634</v>
      </c>
      <c r="L1131" s="1894"/>
      <c r="M1131" s="1894"/>
      <c r="N1131" s="1894"/>
    </row>
    <row r="1132" spans="1:17" ht="13.5">
      <c r="A1132" s="1902"/>
      <c r="B1132" s="1902"/>
      <c r="C1132" s="1902"/>
      <c r="D1132" s="1902"/>
      <c r="E1132" s="1902"/>
      <c r="F1132" s="1902"/>
      <c r="G1132" s="1741" t="s">
        <v>346</v>
      </c>
      <c r="H1132" s="1741"/>
      <c r="I1132" s="1894"/>
      <c r="J1132" s="1631"/>
      <c r="K1132" s="521" t="s">
        <v>3635</v>
      </c>
      <c r="L1132" s="521"/>
      <c r="M1132" s="521"/>
      <c r="N1132" s="521"/>
      <c r="P1132" s="1753" t="s">
        <v>2734</v>
      </c>
      <c r="Q1132" s="1938">
        <f>'Part VIII-Threshold Criteria'!Q38</f>
        <v>0</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2713</v>
      </c>
      <c r="F1134" s="1904" t="s">
        <v>3452</v>
      </c>
      <c r="G1134" s="1904" t="s">
        <v>3451</v>
      </c>
      <c r="H1134" s="1904"/>
      <c r="I1134" s="1904"/>
      <c r="K1134" s="1904" t="s">
        <v>3452</v>
      </c>
      <c r="L1134" s="1904" t="s">
        <v>3451</v>
      </c>
      <c r="M1134" s="1904"/>
      <c r="N1134" s="1904"/>
    </row>
    <row r="1135" spans="1:17" ht="12.75" customHeight="1">
      <c r="A1135" s="1905" t="s">
        <v>3357</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3890</v>
      </c>
      <c r="Q1135" s="1808"/>
    </row>
    <row r="1136" spans="1:17" ht="12.75" customHeight="1">
      <c r="A1136" s="1905"/>
      <c r="B1136" s="1905"/>
      <c r="C1136" s="1905"/>
      <c r="D1136" s="1906" t="s">
        <v>2439</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c r="A1137" s="1905"/>
      <c r="B1137" s="1905"/>
      <c r="C1137" s="1905"/>
      <c r="D1137" s="1906" t="s">
        <v>2440</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2441</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3631</v>
      </c>
      <c r="Q1138" s="1867"/>
    </row>
    <row r="1139" spans="1:17" ht="12.75" customHeight="1">
      <c r="C1139" s="1631"/>
      <c r="D1139" s="1906" t="s">
        <v>2442</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32698126.5</v>
      </c>
      <c r="Q1139" s="1911">
        <f>'Part VIII-Threshold Criteria'!Q45</f>
        <v>0</v>
      </c>
    </row>
    <row r="1140" spans="1:17" ht="12.75" customHeight="1">
      <c r="C1140" s="1631"/>
      <c r="D1140" s="1912" t="s">
        <v>3367</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3352</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4087</v>
      </c>
      <c r="Q1142" s="1785"/>
    </row>
    <row r="1143" spans="1:17" ht="12.75" customHeight="1">
      <c r="A1143" s="1905"/>
      <c r="B1143" s="1905"/>
      <c r="C1143" s="1905"/>
      <c r="D1143" s="1906" t="s">
        <v>2439</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2440</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2441</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2442</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3629</v>
      </c>
      <c r="Q1146" s="521"/>
    </row>
    <row r="1147" spans="1:17">
      <c r="C1147" s="1631"/>
      <c r="D1147" s="1912" t="s">
        <v>3367</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3245</v>
      </c>
      <c r="Q1147" s="1821" t="s">
        <v>256</v>
      </c>
    </row>
    <row r="1148" spans="1:17">
      <c r="C1148" s="1631"/>
      <c r="D1148" s="1919"/>
      <c r="E1148" s="1919"/>
      <c r="F1148" s="1920"/>
      <c r="G1148" s="1921"/>
      <c r="I1148" s="1920"/>
      <c r="K1148" s="1920"/>
      <c r="M1148" s="1899"/>
      <c r="N1148" s="1920"/>
      <c r="O1148" s="1923"/>
    </row>
    <row r="1149" spans="1:17">
      <c r="A1149" s="1741" t="s">
        <v>3353</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2439</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3630</v>
      </c>
      <c r="Q1150" s="521"/>
    </row>
    <row r="1151" spans="1:17">
      <c r="C1151" s="1631"/>
      <c r="D1151" s="1906" t="s">
        <v>2440</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3245</v>
      </c>
      <c r="Q1151" s="1821" t="s">
        <v>256</v>
      </c>
    </row>
    <row r="1152" spans="1:17">
      <c r="C1152" s="1631"/>
      <c r="D1152" s="1906" t="s">
        <v>2441</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2442</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2769</v>
      </c>
      <c r="Q1153" s="1925"/>
    </row>
    <row r="1154" spans="1:17" ht="12.75" customHeight="1">
      <c r="C1154" s="1631"/>
      <c r="D1154" s="1912" t="s">
        <v>3367</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3354</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2439</v>
      </c>
      <c r="E1157" s="1895">
        <v>1</v>
      </c>
      <c r="F1157" s="1907">
        <f>'Part VI-Revenues &amp; Expenses'!$K$141</f>
        <v>61</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61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31486324</v>
      </c>
      <c r="Q1157" s="1926">
        <f>'Part VIII-Threshold Criteria'!Q63</f>
        <v>0</v>
      </c>
    </row>
    <row r="1158" spans="1:17" ht="12.75" customHeight="1">
      <c r="C1158" s="1631"/>
      <c r="D1158" s="1906" t="s">
        <v>2440</v>
      </c>
      <c r="E1158" s="1895">
        <v>2</v>
      </c>
      <c r="F1158" s="1907">
        <f>'Part VI-Revenues &amp; Expenses'!$L$141</f>
        <v>68</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68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2441</v>
      </c>
      <c r="E1159" s="1895">
        <v>3</v>
      </c>
      <c r="F1159" s="1907">
        <f>'Part VI-Revenues &amp; Expenses'!$M$141</f>
        <v>27</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27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4538</v>
      </c>
      <c r="Q1159" s="1887"/>
    </row>
    <row r="1160" spans="1:17">
      <c r="C1160" s="1631"/>
      <c r="D1160" s="1906" t="s">
        <v>2442</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3367</v>
      </c>
      <c r="E1161" s="1913"/>
      <c r="F1161" s="1914">
        <f>SUM(F1156:F1160)</f>
        <v>156</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ht="13.5">
      <c r="A1163" s="1929" t="s">
        <v>3368</v>
      </c>
      <c r="B1163" s="1631"/>
      <c r="C1163" s="1631"/>
      <c r="D1163" s="1631"/>
      <c r="E1163" s="1634"/>
      <c r="F1163" s="1930">
        <f>F1140+F1147+F1154+F1161</f>
        <v>156</v>
      </c>
      <c r="G1163" s="1698"/>
      <c r="H1163" s="1931">
        <f>'Part VIII-Threshold Criteria'!H69</f>
        <v>31486324</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3753</v>
      </c>
      <c r="D1164" s="1842"/>
      <c r="E1164" s="1842"/>
      <c r="F1164" s="1842"/>
      <c r="G1164" s="1842"/>
      <c r="H1164" s="1841"/>
      <c r="I1164" s="1895"/>
      <c r="J1164" s="1895"/>
      <c r="K1164" s="1897" t="s">
        <v>1865</v>
      </c>
      <c r="L1164" s="1812"/>
      <c r="M1164" s="1812"/>
      <c r="N1164" s="1812"/>
      <c r="O1164" s="1812"/>
      <c r="P1164" s="1812"/>
      <c r="Q1164" s="1812"/>
    </row>
    <row r="1165" spans="1:17" ht="292.5">
      <c r="A1165" s="1900" t="str">
        <f>'Part VIII-Threshold Criteria'!A71</f>
        <v>The 2019 HUD Cost Limit for this development is $32,700,940. DCA has previously analyzed the cost limits for developments based on the most recent HUD published cost limit. The development cost of $32,698,126 is below the 2019 HUD Cost Limit.</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742</v>
      </c>
      <c r="B1167" s="1629" t="s">
        <v>1191</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1866</v>
      </c>
      <c r="P1167" s="1820">
        <f>'Part VIII-Threshold Criteria'!P73</f>
        <v>0</v>
      </c>
      <c r="Q1167" s="1820">
        <f>'Part VIII-Threshold Criteria'!Q73</f>
        <v>0</v>
      </c>
    </row>
    <row r="1168" spans="1:17">
      <c r="B1168" s="1842" t="s">
        <v>3753</v>
      </c>
      <c r="D1168" s="1842"/>
      <c r="E1168" s="1842"/>
      <c r="F1168" s="1842"/>
      <c r="G1168" s="1842"/>
      <c r="H1168" s="1841"/>
      <c r="I1168" s="1895"/>
      <c r="J1168" s="1895"/>
      <c r="K1168" s="1897" t="s">
        <v>1865</v>
      </c>
      <c r="L1168" s="1812"/>
      <c r="M1168" s="1812"/>
      <c r="N1168" s="1812"/>
      <c r="O1168" s="1812"/>
      <c r="P1168" s="1812"/>
      <c r="Q1168" s="1812"/>
    </row>
    <row r="1169" spans="1:17" ht="67.5">
      <c r="A1169" s="1900" t="str">
        <f>'Part VIII-Threshold Criteria'!A75</f>
        <v>This development is a family development.</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1792</v>
      </c>
      <c r="B1171" s="1805" t="s">
        <v>2651</v>
      </c>
      <c r="C1171" s="1929"/>
      <c r="D1171" s="1899"/>
      <c r="E1171" s="1899"/>
      <c r="F1171" s="1899"/>
      <c r="G1171" s="1899"/>
      <c r="H1171" s="1899"/>
      <c r="I1171" s="1899"/>
      <c r="J1171" s="1899"/>
      <c r="K1171" s="1899"/>
      <c r="L1171" s="1899"/>
      <c r="M1171" s="1899"/>
      <c r="O1171" s="1896" t="s">
        <v>1866</v>
      </c>
      <c r="P1171" s="1820">
        <f>'Part VIII-Threshold Criteria'!P77</f>
        <v>0</v>
      </c>
      <c r="Q1171" s="1820">
        <f>'Part VIII-Threshold Criteria'!Q77</f>
        <v>0</v>
      </c>
    </row>
    <row r="1173" spans="1:17">
      <c r="A1173" s="1933" t="s">
        <v>1982</v>
      </c>
      <c r="B1173" s="1921" t="s">
        <v>3741</v>
      </c>
      <c r="D1173" s="1921"/>
      <c r="E1173" s="1921"/>
      <c r="F1173" s="1921"/>
      <c r="G1173" s="1921"/>
      <c r="H1173" s="1921"/>
      <c r="I1173" s="1921"/>
      <c r="K1173" s="1921"/>
      <c r="L1173" s="1921"/>
      <c r="M1173" s="1934" t="s">
        <v>3696</v>
      </c>
      <c r="O1173" s="1900"/>
      <c r="P1173" s="1938" t="str">
        <f>'Part VIII-Threshold Criteria'!P79</f>
        <v>Agree</v>
      </c>
    </row>
    <row r="1174" spans="1:17">
      <c r="A1174" s="1935" t="s">
        <v>1984</v>
      </c>
      <c r="B1174" s="1841" t="s">
        <v>3740</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3483</v>
      </c>
      <c r="E1175" s="1834"/>
      <c r="F1175" s="1834"/>
      <c r="G1175" s="1834"/>
      <c r="H1175" s="1631"/>
      <c r="I1175" s="521" t="s">
        <v>2704</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3580</v>
      </c>
      <c r="E1176" s="1834"/>
      <c r="F1176" s="1834"/>
      <c r="G1176" s="1834"/>
      <c r="H1176" s="1631"/>
      <c r="I1176" s="521" t="s">
        <v>2704</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3581</v>
      </c>
      <c r="E1177" s="1834"/>
      <c r="F1177" s="1834"/>
      <c r="G1177" s="1834"/>
      <c r="H1177" s="1631"/>
      <c r="I1177" s="521" t="s">
        <v>2704</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2364</v>
      </c>
      <c r="C1178" s="1841" t="s">
        <v>3901</v>
      </c>
      <c r="E1178" s="1834"/>
      <c r="I1178" s="521" t="s">
        <v>2704</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3567</v>
      </c>
      <c r="D1179" s="1841"/>
      <c r="E1179" s="1834"/>
      <c r="J1179" s="521"/>
      <c r="K1179" s="521"/>
      <c r="L1179" s="521"/>
      <c r="M1179" s="521"/>
      <c r="N1179" s="521"/>
      <c r="O1179" s="521"/>
      <c r="P1179" s="521"/>
      <c r="Q1179" s="521"/>
    </row>
    <row r="1180" spans="1:17">
      <c r="A1180" s="1936"/>
      <c r="B1180" s="1216" t="s">
        <v>3892</v>
      </c>
      <c r="D1180" s="1867"/>
      <c r="E1180" s="1867"/>
      <c r="F1180" s="1867"/>
      <c r="G1180" s="1867"/>
      <c r="H1180" s="1867"/>
      <c r="I1180" s="1631"/>
      <c r="J1180" s="1631"/>
      <c r="K1180" s="1937" t="s">
        <v>749</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3753</v>
      </c>
      <c r="D1181" s="1842"/>
      <c r="E1181" s="1842"/>
      <c r="F1181" s="1842"/>
      <c r="G1181" s="1842"/>
      <c r="H1181" s="1841"/>
      <c r="I1181" s="1895"/>
      <c r="J1181" s="1895"/>
      <c r="K1181" s="1897" t="s">
        <v>1865</v>
      </c>
      <c r="L1181" s="1812"/>
      <c r="M1181" s="1812"/>
      <c r="N1181" s="1812"/>
      <c r="O1181" s="1812"/>
      <c r="P1181" s="1812"/>
      <c r="Q1181" s="1812"/>
    </row>
    <row r="1182" spans="1:17" ht="146.25">
      <c r="A1182" s="1900" t="str">
        <f>'Part VIII-Threshold Criteria'!A90</f>
        <v>Elmington Property Management will identify the needs of the community and provide social and recreational programming.</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1794</v>
      </c>
      <c r="B1184" s="1805" t="s">
        <v>2652</v>
      </c>
      <c r="C1184" s="1805"/>
      <c r="D1184" s="1899"/>
      <c r="E1184" s="1899"/>
      <c r="F1184" s="1899"/>
      <c r="G1184" s="1899"/>
      <c r="H1184" s="1899"/>
      <c r="I1184" s="1899"/>
      <c r="J1184" s="1899"/>
      <c r="K1184" s="1899"/>
      <c r="O1184" s="1896" t="s">
        <v>1866</v>
      </c>
      <c r="P1184" s="1820">
        <f>'Part VIII-Threshold Criteria'!P92</f>
        <v>0</v>
      </c>
      <c r="Q1184" s="1820">
        <f>'Part VIII-Threshold Criteria'!Q92</f>
        <v>0</v>
      </c>
    </row>
    <row r="1186" spans="1:17">
      <c r="A1186" s="1935" t="s">
        <v>1982</v>
      </c>
      <c r="B1186" s="1216" t="s">
        <v>2459</v>
      </c>
      <c r="D1186" s="1867"/>
      <c r="E1186" s="1867"/>
      <c r="F1186" s="1867"/>
      <c r="G1186" s="1867"/>
      <c r="H1186" s="1867"/>
      <c r="I1186" s="1631"/>
      <c r="J1186" s="1631"/>
      <c r="K1186" s="1631"/>
      <c r="L1186" s="1937" t="s">
        <v>1982</v>
      </c>
      <c r="M1186" s="1894" t="str">
        <f>'Part VIII-Threshold Criteria'!M94</f>
        <v>Real Property Research Group</v>
      </c>
      <c r="N1186" s="1894">
        <f>'Part VIII-Threshold Criteria'!N94</f>
        <v>0</v>
      </c>
      <c r="O1186" s="1894">
        <f>'Part VIII-Threshold Criteria'!O94</f>
        <v>0</v>
      </c>
      <c r="P1186" s="1631">
        <f>'Part VIII-Threshold Criteria'!P94</f>
        <v>0</v>
      </c>
      <c r="Q1186" s="1938">
        <f>'Part VIII-Threshold Criteria'!Q94</f>
        <v>0</v>
      </c>
    </row>
    <row r="1187" spans="1:17">
      <c r="A1187" s="1935" t="s">
        <v>1984</v>
      </c>
      <c r="B1187" s="521" t="s">
        <v>2035</v>
      </c>
      <c r="D1187" s="1867"/>
      <c r="E1187" s="1867"/>
      <c r="F1187" s="1867"/>
      <c r="L1187" s="1937" t="s">
        <v>1984</v>
      </c>
      <c r="M1187" s="1894" t="str">
        <f>'Part VIII-Threshold Criteria'!M95</f>
        <v>7-8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2878</v>
      </c>
      <c r="D1188" s="1867"/>
      <c r="E1188" s="1867"/>
      <c r="F1188" s="1867"/>
      <c r="L1188" s="1937" t="s">
        <v>749</v>
      </c>
      <c r="M1188" s="1939">
        <f>'Part VIII-Threshold Criteria'!M96</f>
        <v>0.96</v>
      </c>
      <c r="N1188" s="1939">
        <f>'Part VIII-Threshold Criteria'!N96</f>
        <v>0</v>
      </c>
      <c r="O1188" s="1939">
        <f>'Part VIII-Threshold Criteria'!O96</f>
        <v>0</v>
      </c>
      <c r="P1188" s="2160">
        <f>'Part VIII-Threshold Criteria'!P96</f>
        <v>0</v>
      </c>
      <c r="Q1188" s="1938">
        <f>'Part VIII-Threshold Criteria'!Q96</f>
        <v>0</v>
      </c>
    </row>
    <row r="1189" spans="1:17">
      <c r="A1189" s="1935" t="s">
        <v>2114</v>
      </c>
      <c r="B1189" s="521" t="s">
        <v>3894</v>
      </c>
      <c r="D1189" s="1867"/>
      <c r="E1189" s="1867"/>
      <c r="F1189" s="1867"/>
      <c r="L1189" s="1937" t="s">
        <v>3895</v>
      </c>
      <c r="M1189" s="2161">
        <f>'Part VIII-Threshold Criteria'!M97</f>
        <v>0.97399999999999998</v>
      </c>
      <c r="N1189" s="1939"/>
      <c r="O1189" s="1940" t="s">
        <v>4126</v>
      </c>
      <c r="P1189" s="2008">
        <f>'Part VIII-Threshold Criteria'!P97</f>
        <v>0.94399999999999995</v>
      </c>
      <c r="Q1189" s="1938">
        <f>'Part VIII-Threshold Criteria'!Q97</f>
        <v>0</v>
      </c>
    </row>
    <row r="1190" spans="1:17">
      <c r="A1190" s="1933" t="s">
        <v>1735</v>
      </c>
      <c r="B1190" s="1921" t="s">
        <v>3893</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2377</v>
      </c>
      <c r="E1191" s="1841" t="s">
        <v>617</v>
      </c>
      <c r="F1191" s="1841"/>
      <c r="H1191" s="521"/>
      <c r="I1191" s="1895" t="s">
        <v>2377</v>
      </c>
      <c r="J1191" s="1841" t="s">
        <v>617</v>
      </c>
      <c r="K1191" s="1841"/>
      <c r="M1191" s="521"/>
      <c r="N1191" s="1895" t="s">
        <v>2377</v>
      </c>
      <c r="O1191" s="1841" t="s">
        <v>617</v>
      </c>
      <c r="P1191" s="1841"/>
      <c r="Q1191" s="1937"/>
    </row>
    <row r="1192" spans="1:17">
      <c r="C1192" s="1937" t="s">
        <v>1737</v>
      </c>
      <c r="D1192" s="1938" t="str">
        <f>'Part VIII-Threshold Criteria'!D100</f>
        <v>2006-504</v>
      </c>
      <c r="E1192" s="1894" t="str">
        <f>'Part VIII-Threshold Criteria'!E100</f>
        <v>Columbia Sylvan Hills</v>
      </c>
      <c r="F1192" s="1894">
        <f>'Part VIII-Threshold Criteria'!F100</f>
        <v>0</v>
      </c>
      <c r="G1192" s="1894">
        <f>'Part VIII-Threshold Criteria'!G100</f>
        <v>0</v>
      </c>
      <c r="H1192" s="1937" t="s">
        <v>1739</v>
      </c>
      <c r="I1192" s="1938" t="str">
        <f>'Part VIII-Threshold Criteria'!I100</f>
        <v>2009-019</v>
      </c>
      <c r="J1192" s="1894" t="str">
        <f>'Part VIII-Threshold Criteria'!J100</f>
        <v>Villas at Lakewood</v>
      </c>
      <c r="K1192" s="1894">
        <f>'Part VIII-Threshold Criteria'!K100</f>
        <v>0</v>
      </c>
      <c r="L1192" s="1894">
        <f>'Part VIII-Threshold Criteria'!L100</f>
        <v>0</v>
      </c>
      <c r="M1192" s="1937" t="s">
        <v>1549</v>
      </c>
      <c r="N1192" s="1938" t="str">
        <f>'Part VIII-Threshold Criteria'!N100</f>
        <v>2013-501</v>
      </c>
      <c r="O1192" s="1894" t="str">
        <f>'Part VIII-Threshold Criteria'!O100</f>
        <v>Trestletree</v>
      </c>
      <c r="P1192" s="1894">
        <f>'Part VIII-Threshold Criteria'!P100</f>
        <v>0</v>
      </c>
      <c r="Q1192" s="1894">
        <f>'Part VIII-Threshold Criteria'!Q100</f>
        <v>0</v>
      </c>
    </row>
    <row r="1193" spans="1:17">
      <c r="C1193" s="1937" t="s">
        <v>1738</v>
      </c>
      <c r="D1193" s="1938" t="str">
        <f>'Part VIII-Threshold Criteria'!D101</f>
        <v>2005-026</v>
      </c>
      <c r="E1193" s="1894" t="str">
        <f>'Part VIII-Threshold Criteria'!E101</f>
        <v>Columbia at Mechanicsville</v>
      </c>
      <c r="F1193" s="1894">
        <f>'Part VIII-Threshold Criteria'!F101</f>
        <v>0</v>
      </c>
      <c r="G1193" s="1894">
        <f>'Part VIII-Threshold Criteria'!G101</f>
        <v>0</v>
      </c>
      <c r="H1193" s="1937" t="s">
        <v>2364</v>
      </c>
      <c r="I1193" s="1938" t="str">
        <f>'Part VIII-Threshold Criteria'!I101</f>
        <v>2009-029</v>
      </c>
      <c r="J1193" s="1894" t="str">
        <f>'Part VIII-Threshold Criteria'!J101</f>
        <v>Columbia Parkside at Mechanicsville</v>
      </c>
      <c r="K1193" s="1894">
        <f>'Part VIII-Threshold Criteria'!K101</f>
        <v>0</v>
      </c>
      <c r="L1193" s="1894">
        <f>'Part VIII-Threshold Criteria'!L101</f>
        <v>0</v>
      </c>
      <c r="M1193" s="1937" t="s">
        <v>1550</v>
      </c>
      <c r="N1193" s="1938" t="str">
        <f>'Part VIII-Threshold Criteria'!N101</f>
        <v>2013-051</v>
      </c>
      <c r="O1193" s="1894" t="str">
        <f>'Part VIII-Threshold Criteria'!O101</f>
        <v>Stanton Oaks</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t="str">
        <f>'Part VIII-Threshold Criteria'!P102</f>
        <v>Yes</v>
      </c>
      <c r="Q1194" s="1938">
        <f>'Part VIII-Threshold Criteria'!Q102</f>
        <v>0</v>
      </c>
    </row>
    <row r="1195" spans="1:17">
      <c r="A1195" s="1216" t="s">
        <v>1670</v>
      </c>
      <c r="M1195" s="1941"/>
      <c r="O1195" s="1942"/>
      <c r="Q1195" s="1943" t="s">
        <v>2509</v>
      </c>
    </row>
    <row r="1196" spans="1:17" ht="12.75" customHeight="1">
      <c r="A1196" s="1933" t="s">
        <v>1946</v>
      </c>
      <c r="B1196" s="1900" t="s">
        <v>3612</v>
      </c>
      <c r="C1196" s="1900"/>
      <c r="D1196" s="1900"/>
      <c r="E1196" s="1900"/>
      <c r="F1196" s="1900"/>
      <c r="G1196" s="1900"/>
      <c r="H1196" s="1900"/>
      <c r="I1196" s="1900"/>
      <c r="J1196" s="1900"/>
      <c r="K1196" s="1900"/>
      <c r="L1196" s="1900"/>
      <c r="M1196" s="1900"/>
      <c r="N1196" s="1900"/>
      <c r="O1196" s="1900"/>
      <c r="P1196" s="1944" t="s">
        <v>1946</v>
      </c>
      <c r="Q1196" s="1945" t="e">
        <f>'Part VIII-Threshold Criteria'!#REF!</f>
        <v>#REF!</v>
      </c>
    </row>
    <row r="1197" spans="1:17" ht="12.75" customHeight="1">
      <c r="A1197" s="1933" t="s">
        <v>3369</v>
      </c>
      <c r="B1197" s="1900" t="s">
        <v>2729</v>
      </c>
      <c r="C1197" s="1900"/>
      <c r="D1197" s="1900"/>
      <c r="E1197" s="1900"/>
      <c r="F1197" s="1900"/>
      <c r="G1197" s="1900"/>
      <c r="H1197" s="1900"/>
      <c r="I1197" s="1900"/>
      <c r="J1197" s="1900"/>
      <c r="K1197" s="1900"/>
      <c r="L1197" s="1900"/>
      <c r="M1197" s="1900"/>
      <c r="N1197" s="1900"/>
      <c r="O1197" s="1900"/>
      <c r="P1197" s="1944" t="s">
        <v>3369</v>
      </c>
      <c r="Q1197" s="1945" t="e">
        <f>'Part VIII-Threshold Criteria'!#REF!</f>
        <v>#REF!</v>
      </c>
    </row>
    <row r="1198" spans="1:17">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c r="A1199" s="1933" t="s">
        <v>3370</v>
      </c>
      <c r="B1199" s="1921" t="s">
        <v>3613</v>
      </c>
      <c r="C1199" s="1913"/>
      <c r="D1199" s="1913"/>
      <c r="E1199" s="1913"/>
      <c r="F1199" s="1913"/>
      <c r="G1199" s="1913"/>
      <c r="H1199" s="1913"/>
      <c r="I1199" s="1913"/>
      <c r="J1199" s="1913"/>
      <c r="K1199" s="1913"/>
      <c r="L1199" s="1946"/>
      <c r="M1199" s="1913"/>
      <c r="N1199" s="1942"/>
      <c r="O1199" s="1913"/>
      <c r="P1199" s="1937" t="s">
        <v>3370</v>
      </c>
      <c r="Q1199" s="1945" t="e">
        <f>'Part VIII-Threshold Criteria'!#REF!</f>
        <v>#REF!</v>
      </c>
    </row>
    <row r="1200" spans="1:17">
      <c r="B1200" s="1842" t="s">
        <v>3753</v>
      </c>
      <c r="D1200" s="1842"/>
      <c r="E1200" s="1842"/>
      <c r="F1200" s="1842"/>
      <c r="G1200" s="1842"/>
      <c r="H1200" s="1841"/>
      <c r="I1200" s="1895"/>
      <c r="J1200" s="1895"/>
      <c r="K1200" s="1895"/>
      <c r="L1200" s="1812"/>
      <c r="M1200" s="1812"/>
      <c r="N1200" s="1812"/>
      <c r="O1200" s="1812"/>
      <c r="P1200" s="1812"/>
      <c r="Q1200" s="1812"/>
    </row>
    <row r="1201" spans="1:17" ht="303.75">
      <c r="A1201" s="1900" t="str">
        <f>'Part VIII-Threshold Criteria'!A104</f>
        <v>The subject property is located in the middle of a revitalizing area.  It should not have any issues leasing up as it is only a few feet away from the Beltline.  There is a high demand for tax credit units based on the market study and has a capture rate of 2.9%.</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1865</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530</v>
      </c>
      <c r="B1204" s="1805" t="s">
        <v>2653</v>
      </c>
      <c r="C1204" s="1805"/>
      <c r="D1204" s="1899"/>
      <c r="E1204" s="1899"/>
      <c r="F1204" s="1899"/>
      <c r="G1204" s="1899"/>
      <c r="H1204" s="1899"/>
      <c r="I1204" s="1899"/>
      <c r="J1204" s="1899"/>
      <c r="K1204" s="1899"/>
      <c r="L1204" s="1899"/>
      <c r="M1204" s="1899"/>
      <c r="O1204" s="1896" t="s">
        <v>1866</v>
      </c>
      <c r="P1204" s="1820">
        <f>'Part VIII-Threshold Criteria'!P107</f>
        <v>0</v>
      </c>
      <c r="Q1204" s="1820">
        <f>'Part VIII-Threshold Criteria'!Q107</f>
        <v>0</v>
      </c>
    </row>
    <row r="1206" spans="1:17">
      <c r="A1206" s="1935" t="s">
        <v>1982</v>
      </c>
      <c r="B1206" s="521" t="s">
        <v>493</v>
      </c>
      <c r="C1206" s="521"/>
      <c r="E1206" s="521"/>
      <c r="F1206" s="521"/>
      <c r="G1206" s="521"/>
      <c r="H1206" s="521"/>
      <c r="I1206" s="521"/>
      <c r="J1206" s="521"/>
      <c r="K1206" s="521"/>
      <c r="L1206" s="521"/>
      <c r="M1206" s="521"/>
      <c r="O1206" s="1937" t="s">
        <v>1982</v>
      </c>
      <c r="P1206" s="1938" t="str">
        <f>'Part VIII-Threshold Criteria'!P110</f>
        <v>Yes</v>
      </c>
      <c r="Q1206" s="1938">
        <f>'Part VIII-Threshold Criteria'!Q110</f>
        <v>0</v>
      </c>
    </row>
    <row r="1207" spans="1:17">
      <c r="A1207" s="1935" t="s">
        <v>1984</v>
      </c>
      <c r="B1207" s="521" t="s">
        <v>1304</v>
      </c>
      <c r="C1207" s="521"/>
      <c r="E1207" s="521"/>
      <c r="F1207" s="521"/>
      <c r="G1207" s="521"/>
      <c r="H1207" s="521"/>
      <c r="I1207" s="521"/>
      <c r="J1207" s="521"/>
      <c r="K1207" s="521"/>
      <c r="L1207" s="1841"/>
      <c r="M1207" s="1841"/>
      <c r="O1207" s="1937" t="s">
        <v>1984</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Brian Neukam</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3470</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3471</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2879</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2364</v>
      </c>
      <c r="C1212" s="1900" t="s">
        <v>2688</v>
      </c>
      <c r="D1212" s="1900"/>
      <c r="E1212" s="1900"/>
      <c r="F1212" s="1900"/>
      <c r="G1212" s="1900"/>
      <c r="H1212" s="1900"/>
      <c r="I1212" s="1900"/>
      <c r="J1212" s="1900"/>
      <c r="K1212" s="1900"/>
      <c r="L1212" s="1900"/>
      <c r="M1212" s="1900"/>
      <c r="N1212" s="1900"/>
      <c r="O1212" s="1944" t="s">
        <v>2364</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t="str">
        <f>'Part VIII-Threshold Criteria'!P118</f>
        <v>Yes</v>
      </c>
      <c r="Q1213" s="1938">
        <f>'Part VIII-Threshold Criteria'!Q118</f>
        <v>0</v>
      </c>
    </row>
    <row r="1214" spans="1:17">
      <c r="A1214" s="1935" t="s">
        <v>2114</v>
      </c>
      <c r="B1214" s="521" t="s">
        <v>1428</v>
      </c>
      <c r="D1214" s="521"/>
      <c r="E1214" s="521"/>
      <c r="G1214" s="521"/>
      <c r="I1214" s="521"/>
      <c r="K1214" s="521"/>
      <c r="L1214" s="1841"/>
      <c r="M1214" s="1841"/>
      <c r="N1214" s="1841"/>
      <c r="O1214" s="1937" t="s">
        <v>2114</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Yes</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3753</v>
      </c>
      <c r="D1218" s="1842"/>
      <c r="E1218" s="1842"/>
      <c r="F1218" s="1842"/>
      <c r="G1218" s="1842"/>
      <c r="H1218" s="1841"/>
      <c r="I1218" s="1895"/>
      <c r="J1218" s="1895"/>
      <c r="K1218" s="1895"/>
      <c r="L1218" s="1812"/>
      <c r="M1218" s="1812"/>
      <c r="N1218" s="1812"/>
      <c r="O1218" s="1812"/>
      <c r="P1218" s="1812"/>
      <c r="Q1218" s="1812"/>
    </row>
    <row r="1219" spans="1:17" ht="409.5">
      <c r="A1219" s="1900" t="str">
        <f>'Part VIII-Threshold Criteria'!A124</f>
        <v>The subject property for 55 Milton Avenue was rezoned by Prestwick Development Company on December 13, 2017 while under contract by Prestwick Land Holdings.  Prestwick Land Holdings, LLC an affiliated entity of Prestwick Development Company and Milton Family I, LP is under contract with Milton Family I, LP for the sale of the subject property.</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1865</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772</v>
      </c>
      <c r="B1222" s="1805" t="s">
        <v>2654</v>
      </c>
      <c r="C1222" s="1841"/>
      <c r="D1222" s="1899"/>
      <c r="E1222" s="1899"/>
      <c r="F1222" s="1899"/>
      <c r="G1222" s="1899"/>
      <c r="H1222" s="1899"/>
      <c r="I1222" s="1899"/>
      <c r="J1222" s="1899"/>
      <c r="K1222" s="1899"/>
      <c r="L1222" s="1899"/>
      <c r="M1222" s="1899"/>
      <c r="O1222" s="1896" t="s">
        <v>1866</v>
      </c>
      <c r="P1222" s="1820">
        <f>'Part VIII-Threshold Criteria'!P127</f>
        <v>0</v>
      </c>
      <c r="Q1222" s="1820">
        <f>'Part VIII-Threshold Criteria'!Q127</f>
        <v>0</v>
      </c>
    </row>
    <row r="1224" spans="1:17">
      <c r="A1224" s="1935" t="s">
        <v>1982</v>
      </c>
      <c r="B1224" s="521" t="s">
        <v>3636</v>
      </c>
      <c r="D1224" s="1867"/>
      <c r="E1224" s="1867"/>
      <c r="F1224" s="1867"/>
      <c r="G1224" s="1867"/>
      <c r="H1224" s="1867"/>
      <c r="I1224" s="1631"/>
      <c r="J1224" s="1631"/>
      <c r="K1224" s="1937" t="s">
        <v>1982</v>
      </c>
      <c r="L1224" s="1820" t="str">
        <f>'Part VIII-Threshold Criteria'!L129</f>
        <v>Geotechnical &amp; Environmental Consulting, Inc.</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1984</v>
      </c>
      <c r="B1225" s="521" t="s">
        <v>1538</v>
      </c>
      <c r="D1225" s="1867"/>
      <c r="E1225" s="1867"/>
      <c r="F1225" s="1867"/>
      <c r="G1225" s="1867"/>
      <c r="H1225" s="1867"/>
      <c r="I1225" s="1631"/>
      <c r="J1225" s="1631"/>
      <c r="K1225" s="1867"/>
      <c r="L1225" s="1834"/>
      <c r="O1225" s="1937" t="s">
        <v>1984</v>
      </c>
      <c r="P1225" s="1938" t="str">
        <f>'Part VIII-Threshold Criteria'!P130</f>
        <v>Yes</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2687</v>
      </c>
      <c r="E1227" s="1867"/>
      <c r="F1227" s="1867"/>
      <c r="G1227" s="1867"/>
      <c r="H1227" s="1867"/>
      <c r="I1227" s="1631"/>
      <c r="J1227" s="1631"/>
      <c r="K1227" s="1937" t="s">
        <v>1737</v>
      </c>
      <c r="L1227" s="1820" t="str">
        <f>'Part VIII-Threshold Criteria'!L132</f>
        <v>Geotechnical &amp; Environmental Consulting, Inc.</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3472</v>
      </c>
      <c r="E1228" s="1631"/>
      <c r="F1228" s="1631"/>
      <c r="G1228" s="1631"/>
      <c r="H1228" s="521"/>
      <c r="I1228" s="1631"/>
      <c r="J1228" s="1631"/>
      <c r="K1228" s="1867"/>
      <c r="L1228" s="1834"/>
      <c r="M1228" s="1834"/>
      <c r="O1228" s="1937" t="s">
        <v>1738</v>
      </c>
      <c r="P1228" s="1938">
        <f>'Part VIII-Threshold Criteria'!P133</f>
        <v>61.7</v>
      </c>
      <c r="Q1228" s="1938">
        <f>'Part VIII-Threshold Criteria'!Q133</f>
        <v>0</v>
      </c>
    </row>
    <row r="1229" spans="1:17">
      <c r="A1229" s="1825"/>
      <c r="B1229" s="1937" t="s">
        <v>1739</v>
      </c>
      <c r="C1229" s="521" t="s">
        <v>4113</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2114</v>
      </c>
      <c r="B1231" s="521" t="s">
        <v>1260</v>
      </c>
      <c r="D1231" s="1867"/>
      <c r="E1231" s="1867"/>
      <c r="F1231" s="1867"/>
      <c r="G1231" s="1867"/>
      <c r="H1231" s="1867"/>
      <c r="I1231" s="1631"/>
      <c r="J1231" s="1631"/>
      <c r="K1231" s="1867"/>
      <c r="L1231" s="1834"/>
      <c r="M1231" s="1834"/>
      <c r="N1231" s="1834"/>
      <c r="O1231" s="1937" t="s">
        <v>2114</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Yes</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2631</v>
      </c>
      <c r="E1234" s="1937" t="s">
        <v>2434</v>
      </c>
      <c r="F1234" s="521" t="s">
        <v>2632</v>
      </c>
      <c r="G1234" s="1631"/>
      <c r="H1234" s="521"/>
      <c r="I1234" s="1631"/>
      <c r="J1234" s="1631"/>
      <c r="K1234" s="1867"/>
      <c r="L1234" s="1834"/>
      <c r="M1234" s="1834"/>
      <c r="O1234" s="1937" t="s">
        <v>2434</v>
      </c>
      <c r="P1234" s="1949">
        <f>'Part VIII-Threshold Criteria'!P138</f>
        <v>0</v>
      </c>
      <c r="Q1234" s="1949">
        <f>'Part VIII-Threshold Criteria'!Q138</f>
        <v>0</v>
      </c>
    </row>
    <row r="1235" spans="1:17">
      <c r="A1235" s="1935"/>
      <c r="B1235" s="1937"/>
      <c r="E1235" s="1937" t="s">
        <v>2435</v>
      </c>
      <c r="F1235" s="521" t="s">
        <v>2633</v>
      </c>
      <c r="G1235" s="1631"/>
      <c r="H1235" s="521"/>
      <c r="I1235" s="1631"/>
      <c r="J1235" s="1631"/>
      <c r="K1235" s="1867"/>
      <c r="L1235" s="1834"/>
      <c r="M1235" s="1834"/>
      <c r="O1235" s="1937" t="s">
        <v>2435</v>
      </c>
      <c r="P1235" s="1938">
        <f>'Part VIII-Threshold Criteria'!P139</f>
        <v>0</v>
      </c>
      <c r="Q1235" s="1938">
        <f>'Part VIII-Threshold Criteria'!Q139</f>
        <v>0</v>
      </c>
    </row>
    <row r="1236" spans="1:17">
      <c r="A1236" s="1935"/>
      <c r="B1236" s="1937"/>
      <c r="E1236" s="1937" t="s">
        <v>2436</v>
      </c>
      <c r="F1236" s="521" t="s">
        <v>2634</v>
      </c>
      <c r="G1236" s="1631"/>
      <c r="H1236" s="521"/>
      <c r="I1236" s="1631"/>
      <c r="J1236" s="1631"/>
      <c r="K1236" s="1867"/>
      <c r="L1236" s="1834"/>
      <c r="M1236" s="1834"/>
      <c r="O1236" s="1937" t="s">
        <v>2436</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c r="A1238" s="1935"/>
      <c r="B1238" s="1937"/>
      <c r="C1238" s="521" t="s">
        <v>2631</v>
      </c>
      <c r="E1238" s="1937" t="s">
        <v>2434</v>
      </c>
      <c r="F1238" s="521" t="s">
        <v>2635</v>
      </c>
      <c r="G1238" s="1631"/>
      <c r="H1238" s="521"/>
      <c r="I1238" s="1631"/>
      <c r="J1238" s="1631"/>
      <c r="K1238" s="1867"/>
      <c r="L1238" s="1834"/>
      <c r="O1238" s="1937" t="s">
        <v>2434</v>
      </c>
      <c r="P1238" s="1949">
        <f>'Part VIII-Threshold Criteria'!P142</f>
        <v>0</v>
      </c>
      <c r="Q1238" s="1949">
        <f>'Part VIII-Threshold Criteria'!Q142</f>
        <v>0</v>
      </c>
    </row>
    <row r="1239" spans="1:17">
      <c r="A1239" s="1935"/>
      <c r="B1239" s="1937"/>
      <c r="E1239" s="1937" t="s">
        <v>2435</v>
      </c>
      <c r="F1239" s="521" t="s">
        <v>2636</v>
      </c>
      <c r="G1239" s="1631"/>
      <c r="H1239" s="521"/>
      <c r="I1239" s="1631"/>
      <c r="J1239" s="1631"/>
      <c r="O1239" s="1937" t="s">
        <v>2435</v>
      </c>
      <c r="P1239" s="1938">
        <f>'Part VIII-Threshold Criteria'!P143</f>
        <v>0</v>
      </c>
      <c r="Q1239" s="1938">
        <f>'Part VIII-Threshold Criteria'!Q143</f>
        <v>0</v>
      </c>
    </row>
    <row r="1240" spans="1:17">
      <c r="A1240" s="1935"/>
      <c r="B1240" s="1937"/>
      <c r="E1240" s="1937" t="s">
        <v>2436</v>
      </c>
      <c r="F1240" s="521" t="s">
        <v>2634</v>
      </c>
      <c r="G1240" s="1631"/>
      <c r="H1240" s="521"/>
      <c r="I1240" s="1631"/>
      <c r="J1240" s="1631"/>
      <c r="O1240" s="1937" t="s">
        <v>2436</v>
      </c>
      <c r="P1240" s="1938">
        <f>'Part VIII-Threshold Criteria'!P144</f>
        <v>0</v>
      </c>
      <c r="Q1240" s="1938">
        <f>'Part VIII-Threshold Criteria'!Q144</f>
        <v>0</v>
      </c>
    </row>
    <row r="1241" spans="1:17">
      <c r="A1241" s="521"/>
      <c r="B1241" s="1937" t="s">
        <v>2364</v>
      </c>
      <c r="C1241" s="521" t="s">
        <v>2637</v>
      </c>
      <c r="E1241" s="1867"/>
      <c r="F1241" s="1867"/>
      <c r="G1241" s="1867"/>
      <c r="H1241" s="1867"/>
      <c r="I1241" s="1631"/>
      <c r="J1241" s="1631"/>
      <c r="O1241" s="1937" t="s">
        <v>2364</v>
      </c>
      <c r="P1241" s="1938" t="e">
        <f>'Part VIII-Threshold Criteria'!#REF!</f>
        <v>#REF!</v>
      </c>
      <c r="Q1241" s="1938" t="e">
        <f>'Part VIII-Threshold Criteria'!#REF!</f>
        <v>#REF!</v>
      </c>
    </row>
    <row r="1242" spans="1:17">
      <c r="A1242" s="1935" t="s">
        <v>1735</v>
      </c>
      <c r="B1242" s="1841" t="s">
        <v>2413</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2494</v>
      </c>
      <c r="E1243" s="1867"/>
      <c r="F1243" s="1938" t="str">
        <f>'Part VIII-Threshold Criteria'!F146</f>
        <v>Yes</v>
      </c>
      <c r="G1243" s="1938">
        <f>'Part VIII-Threshold Criteria'!G146</f>
        <v>0</v>
      </c>
      <c r="H1243" s="1937" t="s">
        <v>1549</v>
      </c>
      <c r="I1243" s="1216" t="s">
        <v>2639</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c r="A1244" s="521"/>
      <c r="B1244" s="1937" t="s">
        <v>1738</v>
      </c>
      <c r="C1244" s="521" t="s">
        <v>2802</v>
      </c>
      <c r="E1244" s="1867"/>
      <c r="F1244" s="1938" t="str">
        <f>'Part VIII-Threshold Criteria'!F147</f>
        <v>Yes</v>
      </c>
      <c r="G1244" s="1938">
        <f>'Part VIII-Threshold Criteria'!G147</f>
        <v>0</v>
      </c>
      <c r="H1244" s="1937" t="s">
        <v>1550</v>
      </c>
      <c r="I1244" s="1216" t="s">
        <v>2640</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2638</v>
      </c>
      <c r="E1245" s="1867"/>
      <c r="F1245" s="1938" t="str">
        <f>'Part VIII-Threshold Criteria'!F148</f>
        <v>No</v>
      </c>
      <c r="G1245" s="1938">
        <f>'Part VIII-Threshold Criteria'!G148</f>
        <v>0</v>
      </c>
      <c r="H1245" s="1937" t="s">
        <v>98</v>
      </c>
      <c r="I1245" s="1216" t="s">
        <v>3845</v>
      </c>
      <c r="L1245" s="1938" t="str">
        <f>'Part VIII-Threshold Criteria'!L148</f>
        <v>Yes</v>
      </c>
      <c r="M1245" s="1938">
        <f>'Part VIII-Threshold Criteria'!M148</f>
        <v>0</v>
      </c>
      <c r="N1245" s="1937" t="s">
        <v>2804</v>
      </c>
      <c r="O1245" s="521" t="s">
        <v>1553</v>
      </c>
      <c r="P1245" s="1938" t="str">
        <f>'Part VIII-Threshold Criteria'!P148</f>
        <v>Yes</v>
      </c>
      <c r="Q1245" s="1938">
        <f>'Part VIII-Threshold Criteria'!Q148</f>
        <v>0</v>
      </c>
    </row>
    <row r="1246" spans="1:17">
      <c r="A1246" s="521"/>
      <c r="B1246" s="1937" t="s">
        <v>2364</v>
      </c>
      <c r="C1246" s="521" t="s">
        <v>2805</v>
      </c>
      <c r="E1246" s="1867"/>
      <c r="F1246" s="1938" t="str">
        <f>'Part VIII-Threshold Criteria'!F149</f>
        <v>No</v>
      </c>
      <c r="G1246" s="1938">
        <f>'Part VIII-Threshold Criteria'!G149</f>
        <v>0</v>
      </c>
      <c r="H1246" s="1937" t="s">
        <v>511</v>
      </c>
      <c r="I1246" s="521" t="s">
        <v>2801</v>
      </c>
      <c r="L1246" s="1938" t="str">
        <f>'Part VIII-Threshold Criteria'!L149</f>
        <v>Yes</v>
      </c>
      <c r="M1246" s="1938">
        <f>'Part VIII-Threshold Criteria'!M149</f>
        <v>0</v>
      </c>
      <c r="O1246" s="1937"/>
    </row>
    <row r="1247" spans="1:17">
      <c r="A1247" s="521"/>
      <c r="B1247" s="1937" t="s">
        <v>2893</v>
      </c>
      <c r="C1247" s="521" t="s">
        <v>2803</v>
      </c>
      <c r="E1247" s="1867"/>
      <c r="F1247" s="1867"/>
      <c r="G1247" s="1867"/>
      <c r="H1247" s="1867"/>
      <c r="I1247" s="1867"/>
      <c r="J1247" s="1867"/>
      <c r="K1247" s="1867"/>
      <c r="L1247" s="1867"/>
      <c r="M1247" s="521"/>
      <c r="O1247" s="1937"/>
      <c r="P1247" s="1937"/>
    </row>
    <row r="1248" spans="1:17">
      <c r="A1248" s="521"/>
      <c r="C1248" s="1867">
        <f>'Part VIII-Threshold Criteria'!C151</f>
        <v>0</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3570</v>
      </c>
      <c r="D1249" s="1867"/>
      <c r="E1249" s="1867"/>
      <c r="F1249" s="1867"/>
      <c r="G1249" s="1867"/>
      <c r="H1249" s="1867"/>
      <c r="I1249" s="1631"/>
      <c r="J1249" s="1631"/>
      <c r="K1249" s="1867"/>
      <c r="L1249" s="1867"/>
      <c r="M1249" s="1834"/>
    </row>
    <row r="1250" spans="1:17">
      <c r="A1250" s="1631"/>
      <c r="B1250" s="1937" t="s">
        <v>1737</v>
      </c>
      <c r="C1250" s="521" t="s">
        <v>2806</v>
      </c>
      <c r="E1250" s="1867"/>
      <c r="F1250" s="1867"/>
      <c r="G1250" s="1867"/>
      <c r="H1250" s="1867"/>
      <c r="O1250" s="1937" t="s">
        <v>1737</v>
      </c>
      <c r="P1250" s="1938">
        <f>'Part VIII-Threshold Criteria'!P153</f>
        <v>0</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c r="A1253" s="1935" t="s">
        <v>1946</v>
      </c>
      <c r="B1253" s="521" t="s">
        <v>1753</v>
      </c>
      <c r="D1253" s="1867"/>
      <c r="E1253" s="1867"/>
      <c r="F1253" s="1867"/>
      <c r="G1253" s="1867"/>
      <c r="H1253" s="1867"/>
      <c r="I1253" s="1631"/>
      <c r="J1253" s="1631"/>
      <c r="K1253" s="1867"/>
      <c r="L1253" s="1867"/>
      <c r="M1253" s="1834"/>
      <c r="O1253" s="1937" t="s">
        <v>1946</v>
      </c>
      <c r="P1253" s="1938" t="e">
        <f>'Part VIII-Threshold Criteria'!#REF!</f>
        <v>#REF!</v>
      </c>
      <c r="Q1253" s="1938" t="e">
        <f>'Part VIII-Threshold Criteria'!#REF!</f>
        <v>#REF!</v>
      </c>
    </row>
    <row r="1254" spans="1:17">
      <c r="A1254" s="1950" t="s">
        <v>3462</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3369</v>
      </c>
      <c r="B1255" s="1900" t="s">
        <v>4539</v>
      </c>
      <c r="C1255" s="1900"/>
      <c r="D1255" s="1900"/>
      <c r="E1255" s="1900"/>
      <c r="F1255" s="1900"/>
      <c r="G1255" s="1900"/>
      <c r="H1255" s="1900"/>
      <c r="I1255" s="1900"/>
      <c r="J1255" s="1900"/>
      <c r="K1255" s="1900"/>
      <c r="L1255" s="1900"/>
      <c r="M1255" s="1944" t="s">
        <v>3369</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3370</v>
      </c>
      <c r="B1257" s="1841" t="s">
        <v>1415</v>
      </c>
      <c r="C1257" s="1631"/>
      <c r="D1257" s="1947"/>
      <c r="E1257" s="1947"/>
      <c r="F1257" s="1947"/>
      <c r="G1257" s="1630"/>
      <c r="H1257" s="1630"/>
      <c r="I1257" s="1841"/>
      <c r="J1257" s="1631"/>
      <c r="K1257" s="1630"/>
      <c r="L1257" s="1630"/>
      <c r="M1257" s="1630"/>
      <c r="N1257" s="1631"/>
      <c r="O1257" s="1937" t="s">
        <v>3370</v>
      </c>
      <c r="P1257" s="1938" t="e">
        <f>'Part VIII-Threshold Criteria'!#REF!</f>
        <v>#REF!</v>
      </c>
      <c r="Q1257" s="1938" t="e">
        <f>'Part VIII-Threshold Criteria'!#REF!</f>
        <v>#REF!</v>
      </c>
    </row>
    <row r="1258" spans="1:17">
      <c r="B1258" s="1842" t="s">
        <v>3753</v>
      </c>
      <c r="D1258" s="1842"/>
      <c r="E1258" s="1842"/>
      <c r="F1258" s="1842"/>
      <c r="G1258" s="1842"/>
      <c r="H1258" s="1841"/>
      <c r="I1258" s="1895"/>
      <c r="J1258" s="1895"/>
      <c r="K1258" s="1895"/>
      <c r="L1258" s="1812"/>
      <c r="M1258" s="1812"/>
      <c r="N1258" s="1812"/>
      <c r="O1258" s="1812"/>
      <c r="P1258" s="1812"/>
      <c r="Q1258" s="1812"/>
    </row>
    <row r="1259" spans="1:17" ht="247.5">
      <c r="A1259" s="1900" t="str">
        <f>'Part VIII-Threshold Criteria'!A160</f>
        <v>The phase I recommended a phase II.  The prospective purchaser corrective action plan (CAP) has been received from the Georgia Environmental Protection Division.  The Noise levels are below the maximum threshold.</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1865</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2655</v>
      </c>
      <c r="C1264" s="1805"/>
      <c r="D1264" s="1899"/>
      <c r="E1264" s="1899"/>
      <c r="F1264" s="1899"/>
      <c r="G1264" s="1899"/>
      <c r="H1264" s="1899"/>
      <c r="I1264" s="1899"/>
      <c r="J1264" s="1899"/>
      <c r="K1264" s="1899"/>
      <c r="O1264" s="1896" t="s">
        <v>1866</v>
      </c>
      <c r="P1264" s="1820">
        <f>'Part VIII-Threshold Criteria'!P165</f>
        <v>0</v>
      </c>
      <c r="Q1264" s="1820">
        <f>'Part VIII-Threshold Criteria'!Q165</f>
        <v>0</v>
      </c>
    </row>
    <row r="1265" spans="1:17">
      <c r="A1265" s="1935" t="s">
        <v>1982</v>
      </c>
      <c r="B1265" s="521" t="s">
        <v>4540</v>
      </c>
      <c r="D1265" s="521"/>
      <c r="E1265" s="521"/>
      <c r="F1265" s="521"/>
      <c r="G1265" s="521"/>
      <c r="I1265" s="521" t="s">
        <v>2706</v>
      </c>
      <c r="K1265" s="2162">
        <f>'Part VIII-Threshold Criteria'!K166</f>
        <v>44150</v>
      </c>
      <c r="L1265" s="2162">
        <f>'Part VIII-Threshold Criteria'!L166</f>
        <v>0</v>
      </c>
      <c r="N1265" s="521"/>
      <c r="O1265" s="1937" t="s">
        <v>1982</v>
      </c>
      <c r="P1265" s="1938" t="str">
        <f>'Part VIII-Threshold Criteria'!P166</f>
        <v>Yes</v>
      </c>
      <c r="Q1265" s="1938">
        <f>'Part VIII-Threshold Criteria'!Q166</f>
        <v>0</v>
      </c>
    </row>
    <row r="1266" spans="1:17">
      <c r="A1266" s="1935" t="s">
        <v>1984</v>
      </c>
      <c r="B1266" s="1921" t="s">
        <v>150</v>
      </c>
      <c r="D1266" s="1921"/>
      <c r="E1266" s="1921"/>
      <c r="F1266" s="1921"/>
      <c r="G1266" s="1921"/>
      <c r="H1266" s="1921"/>
      <c r="M1266" s="1937" t="s">
        <v>1984</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Milton Family I, LP</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2114</v>
      </c>
      <c r="B1268" s="1921" t="s">
        <v>2881</v>
      </c>
      <c r="D1268" s="1921"/>
      <c r="E1268" s="1921"/>
      <c r="F1268" s="1921"/>
      <c r="G1268" s="1921"/>
      <c r="H1268" s="1921"/>
      <c r="J1268" s="1937"/>
      <c r="K1268" s="1937"/>
      <c r="L1268" s="1937"/>
      <c r="M1268" s="1937"/>
      <c r="N1268" s="1937"/>
      <c r="O1268" s="1937" t="s">
        <v>2114</v>
      </c>
      <c r="P1268" s="1938" t="e">
        <f>'Part VIII-Threshold Criteria'!#REF!</f>
        <v>#REF!</v>
      </c>
      <c r="Q1268" s="1938" t="e">
        <f>'Part VIII-Threshold Criteria'!#REF!</f>
        <v>#REF!</v>
      </c>
    </row>
    <row r="1269" spans="1:17">
      <c r="B1269" s="1842" t="s">
        <v>3753</v>
      </c>
      <c r="D1269" s="1842"/>
      <c r="E1269" s="1842"/>
      <c r="F1269" s="1842"/>
      <c r="G1269" s="1842"/>
      <c r="H1269" s="1841"/>
      <c r="I1269" s="1895"/>
      <c r="J1269" s="1895"/>
      <c r="K1269" s="1895"/>
      <c r="L1269" s="1812"/>
      <c r="M1269" s="1812"/>
      <c r="N1269" s="1812"/>
      <c r="O1269" s="1812"/>
      <c r="P1269" s="1812"/>
      <c r="Q1269" s="1812"/>
    </row>
    <row r="1270" spans="1:17" ht="213.75">
      <c r="A1270" s="1900" t="str">
        <f>'Part VIII-Threshold Criteria'!A170</f>
        <v>The entity with site control and the applicant are the same. There is also an identity of interest between the owner of the land, Prestwick Land Holdings, and the applicant.</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1865</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2656</v>
      </c>
      <c r="C1274" s="1805"/>
      <c r="D1274" s="1899"/>
      <c r="E1274" s="1899"/>
      <c r="F1274" s="1899"/>
      <c r="G1274" s="1899"/>
      <c r="H1274" s="1899"/>
      <c r="I1274" s="1899"/>
      <c r="J1274" s="1899"/>
      <c r="K1274" s="1899"/>
      <c r="L1274" s="1899"/>
      <c r="M1274" s="1899"/>
      <c r="O1274" s="1896" t="s">
        <v>1866</v>
      </c>
      <c r="P1274" s="1820">
        <f>'Part VIII-Threshold Criteria'!P174</f>
        <v>0</v>
      </c>
      <c r="Q1274" s="1820">
        <f>'Part VIII-Threshold Criteria'!Q174</f>
        <v>0</v>
      </c>
    </row>
    <row r="1275" spans="1:17" ht="12.75" customHeight="1">
      <c r="A1275" s="1933" t="s">
        <v>1982</v>
      </c>
      <c r="B1275" s="1900" t="s">
        <v>3742</v>
      </c>
      <c r="C1275" s="1900"/>
      <c r="D1275" s="1900"/>
      <c r="E1275" s="1900"/>
      <c r="F1275" s="1900"/>
      <c r="G1275" s="1900"/>
      <c r="H1275" s="1900"/>
      <c r="I1275" s="1900"/>
      <c r="J1275" s="1900"/>
      <c r="K1275" s="1900"/>
      <c r="L1275" s="1900"/>
      <c r="M1275" s="1900"/>
      <c r="N1275" s="1900"/>
      <c r="O1275" s="1944" t="s">
        <v>1982</v>
      </c>
      <c r="P1275" s="1945" t="str">
        <f>'Part VIII-Threshold Criteria'!P175</f>
        <v>Yes</v>
      </c>
      <c r="Q1275" s="1945">
        <f>'Part VIII-Threshold Criteria'!Q175</f>
        <v>0</v>
      </c>
    </row>
    <row r="1276" spans="1:17" ht="12.75" customHeight="1">
      <c r="A1276" s="1933" t="s">
        <v>1984</v>
      </c>
      <c r="B1276" s="1900" t="s">
        <v>3637</v>
      </c>
      <c r="C1276" s="1900"/>
      <c r="D1276" s="1900"/>
      <c r="E1276" s="1900"/>
      <c r="F1276" s="1900"/>
      <c r="G1276" s="1900"/>
      <c r="H1276" s="1900"/>
      <c r="I1276" s="1900"/>
      <c r="J1276" s="1900"/>
      <c r="K1276" s="1900"/>
      <c r="L1276" s="1900"/>
      <c r="M1276" s="1900"/>
      <c r="N1276" s="1900"/>
      <c r="O1276" s="1944" t="s">
        <v>1984</v>
      </c>
      <c r="P1276" s="1945" t="str">
        <f>'Part VIII-Threshold Criteria'!P176</f>
        <v>N/Ap</v>
      </c>
      <c r="Q1276" s="1945">
        <f>'Part VIII-Threshold Criteria'!Q176</f>
        <v>0</v>
      </c>
    </row>
    <row r="1277" spans="1:17" ht="12.75" customHeight="1">
      <c r="A1277" s="1933" t="s">
        <v>749</v>
      </c>
      <c r="B1277" s="1900" t="s">
        <v>3743</v>
      </c>
      <c r="C1277" s="1900"/>
      <c r="D1277" s="1900"/>
      <c r="E1277" s="1900"/>
      <c r="F1277" s="1900"/>
      <c r="G1277" s="1900"/>
      <c r="H1277" s="1900"/>
      <c r="I1277" s="1900"/>
      <c r="J1277" s="1900"/>
      <c r="K1277" s="1900"/>
      <c r="L1277" s="1900"/>
      <c r="M1277" s="1900"/>
      <c r="N1277" s="1900"/>
      <c r="O1277" s="1944" t="s">
        <v>749</v>
      </c>
      <c r="P1277" s="1945" t="str">
        <f>'Part VIII-Threshold Criteria'!P177</f>
        <v>N/Ap</v>
      </c>
      <c r="Q1277" s="1945">
        <f>'Part VIII-Threshold Criteria'!Q177</f>
        <v>0</v>
      </c>
    </row>
    <row r="1278" spans="1:17" ht="12.75" customHeight="1">
      <c r="A1278" s="1933" t="s">
        <v>2114</v>
      </c>
      <c r="B1278" s="1900" t="s">
        <v>2641</v>
      </c>
      <c r="C1278" s="1900"/>
      <c r="D1278" s="1900"/>
      <c r="E1278" s="1900"/>
      <c r="F1278" s="1900"/>
      <c r="G1278" s="1900"/>
      <c r="H1278" s="1900"/>
      <c r="I1278" s="1900"/>
      <c r="J1278" s="1900"/>
      <c r="K1278" s="1900"/>
      <c r="L1278" s="1900"/>
      <c r="M1278" s="1900"/>
      <c r="N1278" s="1900"/>
      <c r="O1278" s="1944" t="s">
        <v>2114</v>
      </c>
      <c r="P1278" s="1945" t="str">
        <f>'Part VIII-Threshold Criteria'!P178</f>
        <v>N/Ap</v>
      </c>
      <c r="Q1278" s="1945">
        <f>'Part VIII-Threshold Criteria'!Q178</f>
        <v>0</v>
      </c>
    </row>
    <row r="1279" spans="1:17">
      <c r="B1279" s="1842" t="s">
        <v>3753</v>
      </c>
      <c r="D1279" s="1842"/>
      <c r="E1279" s="1842"/>
      <c r="F1279" s="1842"/>
      <c r="G1279" s="1842"/>
      <c r="H1279" s="1841"/>
      <c r="I1279" s="1895"/>
      <c r="J1279" s="1895"/>
      <c r="K1279" s="1895"/>
      <c r="L1279" s="1812"/>
      <c r="M1279" s="1812"/>
      <c r="N1279" s="1812"/>
      <c r="O1279" s="1812"/>
      <c r="P1279" s="1812"/>
      <c r="Q1279" s="1812"/>
    </row>
    <row r="1280" spans="1:17" ht="78.75">
      <c r="A1280" s="1900" t="str">
        <f>'Part VIII-Threshold Criteria'!A180</f>
        <v>The site is accessed off of a public street, Milton Avenue.</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1865</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2657</v>
      </c>
      <c r="C1284" s="1629"/>
      <c r="D1284" s="1629"/>
      <c r="O1284" s="1896" t="s">
        <v>1866</v>
      </c>
      <c r="P1284" s="1820">
        <f>'Part VIII-Threshold Criteria'!P184</f>
        <v>0</v>
      </c>
      <c r="Q1284" s="1820">
        <f>'Part VIII-Threshold Criteria'!Q184</f>
        <v>0</v>
      </c>
    </row>
    <row r="1285" spans="1:17">
      <c r="A1285" s="1933" t="s">
        <v>1982</v>
      </c>
      <c r="B1285" s="1952" t="s">
        <v>468</v>
      </c>
      <c r="D1285" s="1952"/>
      <c r="E1285" s="1952"/>
      <c r="F1285" s="1952"/>
      <c r="G1285" s="1952"/>
      <c r="H1285" s="1952"/>
      <c r="I1285" s="1952"/>
      <c r="J1285" s="1952"/>
      <c r="K1285" s="1952"/>
      <c r="L1285" s="1952"/>
      <c r="M1285" s="1952"/>
      <c r="O1285" s="1944" t="s">
        <v>1982</v>
      </c>
      <c r="P1285" s="1938" t="str">
        <f>'Part VIII-Threshold Criteria'!P185</f>
        <v>Yes</v>
      </c>
      <c r="Q1285" s="1938">
        <f>'Part VIII-Threshold Criteria'!Q185</f>
        <v>0</v>
      </c>
    </row>
    <row r="1286" spans="1:17">
      <c r="A1286" s="1933" t="s">
        <v>1984</v>
      </c>
      <c r="B1286" s="1952" t="s">
        <v>2642</v>
      </c>
      <c r="D1286" s="1952"/>
      <c r="E1286" s="1952"/>
      <c r="F1286" s="1952"/>
      <c r="G1286" s="1952"/>
      <c r="H1286" s="1952"/>
      <c r="I1286" s="1952"/>
      <c r="J1286" s="1952"/>
      <c r="K1286" s="1952"/>
      <c r="L1286" s="1952"/>
      <c r="M1286" s="1952"/>
      <c r="O1286" s="1944" t="s">
        <v>1984</v>
      </c>
      <c r="P1286" s="1938" t="str">
        <f>'Part VIII-Threshold Criteria'!P186</f>
        <v>Yes</v>
      </c>
      <c r="Q1286" s="1938">
        <f>'Part VIII-Threshold Criteria'!Q186</f>
        <v>0</v>
      </c>
    </row>
    <row r="1287" spans="1:17">
      <c r="A1287" s="1933" t="s">
        <v>749</v>
      </c>
      <c r="B1287" s="1952" t="s">
        <v>2643</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2631</v>
      </c>
      <c r="C1288" s="1900"/>
      <c r="D1288" s="1937" t="s">
        <v>1737</v>
      </c>
      <c r="E1288" s="1841" t="s">
        <v>2644</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4541</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3744</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2364</v>
      </c>
      <c r="E1291" s="1841" t="s">
        <v>2646</v>
      </c>
      <c r="G1291" s="1952"/>
      <c r="H1291" s="1952"/>
      <c r="I1291" s="1952"/>
      <c r="J1291" s="1952"/>
      <c r="K1291" s="1952"/>
      <c r="L1291" s="1952"/>
      <c r="M1291" s="1952"/>
      <c r="O1291" s="1953" t="s">
        <v>2364</v>
      </c>
      <c r="P1291" s="1938" t="str">
        <f>'Part VIII-Threshold Criteria'!P191</f>
        <v>Yes</v>
      </c>
      <c r="Q1291" s="1938">
        <f>'Part VIII-Threshold Criteria'!Q191</f>
        <v>0</v>
      </c>
    </row>
    <row r="1292" spans="1:17" ht="12.75" customHeight="1">
      <c r="A1292" s="1933"/>
      <c r="B1292" s="1913"/>
      <c r="C1292" s="1952"/>
      <c r="D1292" s="1944" t="s">
        <v>1549</v>
      </c>
      <c r="E1292" s="1900" t="s">
        <v>2647</v>
      </c>
      <c r="F1292" s="1900"/>
      <c r="G1292" s="1900"/>
      <c r="H1292" s="1900"/>
      <c r="I1292" s="1900"/>
      <c r="J1292" s="1900"/>
      <c r="K1292" s="1900"/>
      <c r="L1292" s="1900"/>
      <c r="M1292" s="1900"/>
      <c r="N1292" s="1900"/>
      <c r="O1292" s="1944" t="s">
        <v>1549</v>
      </c>
      <c r="P1292" s="1945" t="str">
        <f>'Part VIII-Threshold Criteria'!P192</f>
        <v>N/Ap</v>
      </c>
      <c r="Q1292" s="1945">
        <f>'Part VIII-Threshold Criteria'!Q192</f>
        <v>0</v>
      </c>
    </row>
    <row r="1293" spans="1:17" ht="12.75" customHeight="1">
      <c r="A1293" s="1933"/>
      <c r="B1293" s="1913"/>
      <c r="C1293" s="1952"/>
      <c r="D1293" s="1944" t="s">
        <v>1550</v>
      </c>
      <c r="E1293" s="1900" t="s">
        <v>3896</v>
      </c>
      <c r="F1293" s="1900"/>
      <c r="G1293" s="1900"/>
      <c r="H1293" s="1900"/>
      <c r="I1293" s="1900"/>
      <c r="J1293" s="1900"/>
      <c r="K1293" s="1900"/>
      <c r="L1293" s="1900"/>
      <c r="M1293" s="1900"/>
      <c r="N1293" s="1900"/>
      <c r="O1293" s="1944" t="s">
        <v>1550</v>
      </c>
      <c r="P1293" s="1945" t="str">
        <f>'Part VIII-Threshold Criteria'!P193</f>
        <v>N/Ap</v>
      </c>
      <c r="Q1293" s="1945">
        <f>'Part VIII-Threshold Criteria'!Q193</f>
        <v>0</v>
      </c>
    </row>
    <row r="1294" spans="1:17" ht="12.75" customHeight="1">
      <c r="A1294" s="1933" t="s">
        <v>2114</v>
      </c>
      <c r="B1294" s="1900" t="s">
        <v>2648</v>
      </c>
      <c r="C1294" s="1900"/>
      <c r="D1294" s="1900"/>
      <c r="E1294" s="1900"/>
      <c r="F1294" s="1900"/>
      <c r="G1294" s="1900"/>
      <c r="H1294" s="1900"/>
      <c r="I1294" s="1900"/>
      <c r="J1294" s="1900"/>
      <c r="K1294" s="1900"/>
      <c r="L1294" s="1900"/>
      <c r="M1294" s="1900"/>
      <c r="N1294" s="1900"/>
      <c r="O1294" s="1944" t="s">
        <v>2114</v>
      </c>
      <c r="P1294" s="1945" t="str">
        <f>'Part VIII-Threshold Criteria'!P194</f>
        <v>Yes</v>
      </c>
      <c r="Q1294" s="1945">
        <f>'Part VIII-Threshold Criteria'!Q194</f>
        <v>0</v>
      </c>
    </row>
    <row r="1295" spans="1:17">
      <c r="A1295" s="1933" t="s">
        <v>1735</v>
      </c>
      <c r="B1295" s="1952" t="s">
        <v>2378</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3753</v>
      </c>
      <c r="D1296" s="1842"/>
      <c r="E1296" s="1842"/>
      <c r="F1296" s="1842"/>
      <c r="G1296" s="1842"/>
      <c r="H1296" s="1841"/>
      <c r="I1296" s="1895"/>
      <c r="J1296" s="1895"/>
      <c r="K1296" s="1895"/>
      <c r="L1296" s="1812"/>
      <c r="M1296" s="1812"/>
      <c r="N1296" s="1812"/>
      <c r="O1296" s="1812"/>
      <c r="P1296" s="1812"/>
      <c r="Q1296" s="1812"/>
    </row>
    <row r="1297" spans="1:17" ht="213.75">
      <c r="A1297" s="1900" t="str">
        <f>'Part VIII-Threshold Criteria'!A197</f>
        <v>The site is zoned for the intended use.  The developer, Prestwick Development Company rezoned the property on December 13, 2017 for the proposed affordable multifamily community.</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1865</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2658</v>
      </c>
      <c r="C1301" s="1805"/>
      <c r="D1301" s="1899"/>
      <c r="E1301" s="1954"/>
      <c r="F1301" s="1954"/>
      <c r="G1301" s="1899"/>
      <c r="J1301" s="1900"/>
      <c r="K1301" s="1900"/>
      <c r="L1301" s="1900"/>
      <c r="M1301" s="1900"/>
      <c r="N1301" s="1900"/>
      <c r="O1301" s="1896" t="s">
        <v>1866</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N/A</v>
      </c>
      <c r="K1302" s="1894">
        <f>'Part VIII-Threshold Criteria'!K203</f>
        <v>0</v>
      </c>
      <c r="L1302" s="1894">
        <f>'Part VIII-Threshold Criteria'!L203</f>
        <v>0</v>
      </c>
      <c r="M1302" s="1894">
        <f>'Part VIII-Threshold Criteria'!M203</f>
        <v>0</v>
      </c>
      <c r="N1302" s="1894">
        <f>'Part VIII-Threshold Criteria'!N203</f>
        <v>0</v>
      </c>
      <c r="O1302" s="1937" t="s">
        <v>1737</v>
      </c>
      <c r="P1302" s="1938" t="str">
        <f>'Part VIII-Threshold Criteria'!P203</f>
        <v>No</v>
      </c>
      <c r="Q1302" s="1938">
        <f>'Part VIII-Threshold Criteria'!Q203</f>
        <v>0</v>
      </c>
    </row>
    <row r="1303" spans="1:17">
      <c r="A1303" s="1825"/>
      <c r="B1303" s="1842" t="s">
        <v>3753</v>
      </c>
      <c r="C1303" s="1838"/>
      <c r="D1303" s="1838"/>
      <c r="E1303" s="1838"/>
      <c r="F1303" s="1838"/>
      <c r="H1303" s="1937" t="s">
        <v>1738</v>
      </c>
      <c r="I1303" s="521" t="s">
        <v>1596</v>
      </c>
      <c r="J1303" s="1894" t="str">
        <f>'Part VIII-Threshold Criteria'!J204</f>
        <v>Georgia Power</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c r="A1304" s="1900">
        <f>'Part VIII-Threshold Criteria'!A205</f>
        <v>0</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1865</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2659</v>
      </c>
      <c r="C1308" s="1629"/>
      <c r="D1308" s="1894"/>
      <c r="E1308" s="1894"/>
      <c r="F1308" s="1894"/>
      <c r="G1308" s="1899"/>
      <c r="H1308" s="1899"/>
      <c r="I1308" s="1899"/>
      <c r="J1308" s="1899"/>
      <c r="K1308" s="1899"/>
      <c r="L1308" s="1899"/>
      <c r="M1308" s="1899"/>
      <c r="O1308" s="1896" t="s">
        <v>1866</v>
      </c>
      <c r="P1308" s="1820">
        <f>'Part VIII-Threshold Criteria'!P209</f>
        <v>0</v>
      </c>
      <c r="Q1308" s="1820">
        <f>'Part VIII-Threshold Criteria'!Q209</f>
        <v>0</v>
      </c>
    </row>
    <row r="1310" spans="1:17">
      <c r="A1310" s="1933" t="s">
        <v>1982</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1984</v>
      </c>
      <c r="B1312" s="1900" t="s">
        <v>1848</v>
      </c>
      <c r="C1312" s="1900"/>
      <c r="D1312" s="1900"/>
      <c r="E1312" s="1900"/>
      <c r="F1312" s="1900"/>
      <c r="G1312" s="1900"/>
      <c r="H1312" s="1937" t="s">
        <v>1737</v>
      </c>
      <c r="I1312" s="521" t="s">
        <v>635</v>
      </c>
      <c r="J1312" s="1894" t="str">
        <f>'Part VIII-Threshold Criteria'!J210</f>
        <v>City of Atlanta</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City of Atlanta</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3902</v>
      </c>
      <c r="D1314" s="521"/>
      <c r="E1314" s="521"/>
      <c r="F1314" s="521"/>
      <c r="G1314" s="521"/>
      <c r="H1314" s="521"/>
      <c r="I1314" s="521"/>
      <c r="J1314" s="521"/>
      <c r="K1314" s="1631"/>
      <c r="L1314" s="521"/>
      <c r="M1314" s="521"/>
      <c r="O1314" s="1937" t="s">
        <v>749</v>
      </c>
      <c r="P1314" s="1938">
        <f>'Part VIII-Threshold Criteria'!P212</f>
        <v>0</v>
      </c>
      <c r="Q1314" s="1938">
        <f>'Part VIII-Threshold Criteria'!Q212</f>
        <v>0</v>
      </c>
    </row>
    <row r="1315" spans="1:17">
      <c r="A1315" s="1935" t="s">
        <v>2114</v>
      </c>
      <c r="B1315" s="521" t="s">
        <v>3903</v>
      </c>
      <c r="D1315" s="521"/>
      <c r="E1315" s="521"/>
      <c r="F1315" s="521"/>
      <c r="G1315" s="521"/>
      <c r="H1315" s="521"/>
      <c r="I1315" s="521"/>
      <c r="J1315" s="521"/>
      <c r="K1315" s="1631"/>
      <c r="L1315" s="521"/>
      <c r="M1315" s="521"/>
      <c r="O1315" s="1937" t="s">
        <v>2114</v>
      </c>
      <c r="P1315" s="1938">
        <f>'Part VIII-Threshold Criteria'!P213</f>
        <v>0</v>
      </c>
      <c r="Q1315" s="1938">
        <f>'Part VIII-Threshold Criteria'!Q213</f>
        <v>0</v>
      </c>
    </row>
    <row r="1316" spans="1:17">
      <c r="B1316" s="1842" t="s">
        <v>3753</v>
      </c>
      <c r="D1316" s="1842"/>
      <c r="E1316" s="1842"/>
      <c r="F1316" s="1842"/>
      <c r="G1316" s="1842"/>
      <c r="H1316" s="1841"/>
      <c r="I1316" s="1895"/>
      <c r="J1316" s="1895"/>
      <c r="K1316" s="1895"/>
      <c r="L1316" s="1812"/>
      <c r="M1316" s="1812"/>
      <c r="N1316" s="1812"/>
      <c r="O1316" s="1812"/>
      <c r="P1316" s="1812"/>
      <c r="Q1316" s="1812"/>
    </row>
    <row r="1317" spans="1:17" ht="123.75">
      <c r="A1317" s="1900" t="str">
        <f>'Part VIII-Threshold Criteria'!A215</f>
        <v>Water and sewer is provided by the City of Atlanta and is located in the public right of way adjacent to the site.</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1865</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1726</v>
      </c>
      <c r="B1321" s="1805" t="s">
        <v>2660</v>
      </c>
      <c r="C1321" s="1929"/>
      <c r="D1321" s="1899"/>
      <c r="E1321" s="1899"/>
      <c r="F1321" s="1899"/>
      <c r="G1321" s="1899"/>
      <c r="H1321" s="1899"/>
      <c r="I1321" s="1899"/>
      <c r="J1321" s="1899"/>
      <c r="K1321" s="1899"/>
      <c r="L1321" s="1899"/>
      <c r="M1321" s="1899"/>
      <c r="O1321" s="1896" t="s">
        <v>1866</v>
      </c>
      <c r="P1321" s="1820">
        <f>'Part VIII-Threshold Criteria'!P219</f>
        <v>0</v>
      </c>
      <c r="Q1321" s="1820">
        <f>'Part VIII-Threshold Criteria'!Q219</f>
        <v>0</v>
      </c>
    </row>
    <row r="1322" spans="1:17">
      <c r="B1322" s="1216" t="s">
        <v>1192</v>
      </c>
      <c r="N1322" s="1637"/>
      <c r="P1322" s="1938" t="str">
        <f>'Part VIII-Threshold Criteria'!P220</f>
        <v>No</v>
      </c>
      <c r="Q1322" s="1938">
        <f>'Part VIII-Threshold Criteria'!Q220</f>
        <v>0</v>
      </c>
    </row>
    <row r="1323" spans="1:17">
      <c r="A1323" s="1935" t="s">
        <v>1982</v>
      </c>
      <c r="B1323" s="521" t="s">
        <v>4542</v>
      </c>
      <c r="D1323" s="1631"/>
      <c r="E1323" s="1631"/>
      <c r="F1323" s="1631"/>
      <c r="G1323" s="1631"/>
      <c r="H1323" s="1631"/>
      <c r="I1323" s="1631"/>
      <c r="J1323" s="1631"/>
      <c r="K1323" s="1631"/>
      <c r="L1323" s="1631"/>
      <c r="M1323" s="1631"/>
      <c r="O1323" s="1937" t="s">
        <v>1982</v>
      </c>
      <c r="P1323" s="1938" t="str">
        <f>'Part VIII-Threshold Criteria'!P221</f>
        <v>Agree</v>
      </c>
      <c r="Q1323" s="1938">
        <f>'Part VIII-Threshold Criteria'!Q221</f>
        <v>0</v>
      </c>
    </row>
    <row r="1324" spans="1:17">
      <c r="A1324" s="1935"/>
      <c r="B1324" s="1937" t="s">
        <v>1737</v>
      </c>
      <c r="C1324" s="521" t="s">
        <v>1930</v>
      </c>
      <c r="E1324" s="521"/>
      <c r="F1324" s="521"/>
      <c r="G1324" s="521"/>
      <c r="H1324" s="521"/>
      <c r="I1324" s="1631"/>
      <c r="J1324" s="1937" t="s">
        <v>1486</v>
      </c>
      <c r="K1324" s="1894" t="str">
        <f>'Part VIII-Threshold Criteria'!K222</f>
        <v>Room</v>
      </c>
      <c r="L1324" s="1894">
        <f>'Part VIII-Threshold Criteria'!L222</f>
        <v>0</v>
      </c>
      <c r="Q1324" s="1938">
        <f>'Part VIII-Threshold Criteria'!Q222</f>
        <v>0</v>
      </c>
    </row>
    <row r="1325" spans="1:17" ht="13.5">
      <c r="A1325" s="1935"/>
      <c r="B1325" s="1937" t="s">
        <v>1738</v>
      </c>
      <c r="C1325" s="1841" t="s">
        <v>2722</v>
      </c>
      <c r="E1325" s="1841"/>
      <c r="F1325" s="1841"/>
      <c r="G1325" s="1841"/>
      <c r="H1325" s="1841"/>
      <c r="I1325" s="1631"/>
      <c r="J1325" s="1937" t="s">
        <v>1487</v>
      </c>
      <c r="K1325" s="1894" t="str">
        <f>'Part VIII-Threshold Criteria'!K223</f>
        <v>Covered Porch</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Yes - W&amp;D hookups installed in each unit</v>
      </c>
      <c r="L1326" s="1894">
        <f>'Part VIII-Threshold Criteria'!L224</f>
        <v>0</v>
      </c>
      <c r="M1326" s="1894">
        <f>'Part VIII-Threshold Criteria'!M224</f>
        <v>0</v>
      </c>
      <c r="Q1326" s="1938">
        <f>'Part VIII-Threshold Criteria'!Q224</f>
        <v>0</v>
      </c>
    </row>
    <row r="1327" spans="1:17">
      <c r="A1327" s="1935" t="s">
        <v>1984</v>
      </c>
      <c r="B1327" s="521" t="s">
        <v>2508</v>
      </c>
      <c r="D1327" s="521"/>
      <c r="E1327" s="521"/>
      <c r="F1327" s="521"/>
      <c r="G1327" s="521"/>
      <c r="H1327" s="521"/>
      <c r="I1327" s="521"/>
      <c r="J1327" s="521"/>
      <c r="K1327" s="1631"/>
      <c r="L1327" s="1631"/>
      <c r="M1327" s="1631"/>
      <c r="N1327" s="1631"/>
      <c r="O1327" s="1937" t="s">
        <v>1984</v>
      </c>
      <c r="P1327" s="1938" t="str">
        <f>'Part VIII-Threshold Criteria'!P226</f>
        <v>Agree</v>
      </c>
      <c r="Q1327" s="1938">
        <f>'Part VIII-Threshold Criteria'!Q226</f>
        <v>0</v>
      </c>
    </row>
    <row r="1328" spans="1:17">
      <c r="A1328" s="1935"/>
      <c r="B1328" s="521" t="s">
        <v>4543</v>
      </c>
      <c r="D1328" s="521"/>
      <c r="E1328" s="521"/>
      <c r="F1328" s="521"/>
      <c r="G1328" s="521"/>
      <c r="H1328" s="521"/>
      <c r="I1328" s="521"/>
      <c r="J1328" s="521"/>
      <c r="K1328" s="1631"/>
      <c r="L1328" s="1631"/>
      <c r="M1328" s="1631"/>
      <c r="N1328" s="1631"/>
      <c r="O1328" s="1631"/>
      <c r="P1328" s="1955" t="s">
        <v>2</v>
      </c>
      <c r="Q1328" s="1955"/>
    </row>
    <row r="1329" spans="1:17">
      <c r="A1329" s="1935"/>
      <c r="C1329" s="521" t="s">
        <v>2724</v>
      </c>
      <c r="D1329" s="521"/>
      <c r="E1329" s="521"/>
      <c r="F1329" s="521"/>
      <c r="H1329" s="1956" t="s">
        <v>773</v>
      </c>
      <c r="I1329" s="1652" t="s">
        <v>774</v>
      </c>
      <c r="K1329" s="521" t="s">
        <v>2724</v>
      </c>
      <c r="M1329" s="1631"/>
      <c r="N1329" s="1631"/>
      <c r="O1329" s="1956"/>
      <c r="P1329" s="1694" t="s">
        <v>773</v>
      </c>
      <c r="Q1329" s="1652" t="s">
        <v>774</v>
      </c>
    </row>
    <row r="1330" spans="1:17" ht="45">
      <c r="A1330" s="1938"/>
      <c r="B1330" s="1937" t="s">
        <v>1737</v>
      </c>
      <c r="C1330" s="1900" t="str">
        <f>'Part VIII-Threshold Criteria'!C229</f>
        <v xml:space="preserve">Equipped Computer Center and WiFi </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45">
      <c r="A1331" s="1938"/>
      <c r="B1331" s="1937" t="s">
        <v>1738</v>
      </c>
      <c r="C1331" s="1900" t="str">
        <f>'Part VIII-Threshold Criteria'!C230</f>
        <v>Furnished Exercise /Fitness Center</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2364</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3464</v>
      </c>
      <c r="E1333" s="521"/>
      <c r="F1333" s="521"/>
      <c r="L1333" s="1631"/>
      <c r="M1333" s="1631"/>
      <c r="O1333" s="1937" t="s">
        <v>1737</v>
      </c>
      <c r="P1333" s="1938" t="str">
        <f>'Part VIII-Threshold Criteria'!P234</f>
        <v>Yes</v>
      </c>
      <c r="Q1333" s="1938">
        <f>'Part VIII-Threshold Criteria'!Q234</f>
        <v>0</v>
      </c>
    </row>
    <row r="1334" spans="1:17">
      <c r="B1334" s="1937" t="s">
        <v>1738</v>
      </c>
      <c r="C1334" s="1841" t="s">
        <v>2807</v>
      </c>
      <c r="E1334" s="1841"/>
      <c r="F1334" s="1841"/>
      <c r="L1334" s="1631"/>
      <c r="M1334" s="1631"/>
      <c r="O1334" s="1937" t="s">
        <v>1738</v>
      </c>
      <c r="P1334" s="1938" t="str">
        <f>'Part VIII-Threshold Criteria'!P235</f>
        <v>Yes</v>
      </c>
      <c r="Q1334" s="1938">
        <f>'Part VIII-Threshold Criteria'!Q235</f>
        <v>0</v>
      </c>
    </row>
    <row r="1335" spans="1:17">
      <c r="B1335" s="1937" t="s">
        <v>1739</v>
      </c>
      <c r="C1335" s="1841" t="s">
        <v>2808</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2364</v>
      </c>
      <c r="C1336" s="1841" t="s">
        <v>2809</v>
      </c>
      <c r="E1336" s="1841"/>
      <c r="F1336" s="1841"/>
      <c r="G1336" s="1841"/>
      <c r="H1336" s="1841"/>
      <c r="I1336" s="1631"/>
      <c r="J1336" s="1631"/>
      <c r="K1336" s="1631"/>
      <c r="L1336" s="1631"/>
      <c r="M1336" s="1631"/>
      <c r="O1336" s="1937" t="s">
        <v>2364</v>
      </c>
      <c r="P1336" s="1938" t="str">
        <f>'Part VIII-Threshold Criteria'!P237</f>
        <v>Yes</v>
      </c>
      <c r="Q1336" s="1938">
        <f>'Part VIII-Threshold Criteria'!Q237</f>
        <v>0</v>
      </c>
    </row>
    <row r="1337" spans="1:17">
      <c r="A1337" s="1935"/>
      <c r="B1337" s="1937" t="s">
        <v>1549</v>
      </c>
      <c r="C1337" s="1841" t="s">
        <v>2810</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2798</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2799</v>
      </c>
      <c r="P1339" s="1938" t="str">
        <f>'Part VIII-Threshold Criteria'!P240</f>
        <v>No</v>
      </c>
      <c r="Q1339" s="1938">
        <f>'Part VIII-Threshold Criteria'!Q240</f>
        <v>0</v>
      </c>
    </row>
    <row r="1340" spans="1:17">
      <c r="A1340" s="1935" t="s">
        <v>2114</v>
      </c>
      <c r="B1340" s="521" t="s">
        <v>3662</v>
      </c>
      <c r="C1340" s="521"/>
      <c r="E1340" s="521"/>
      <c r="F1340" s="521"/>
      <c r="G1340" s="521"/>
      <c r="H1340" s="521"/>
      <c r="I1340" s="521"/>
      <c r="J1340" s="521"/>
      <c r="K1340" s="1631"/>
      <c r="L1340" s="521"/>
      <c r="M1340" s="521"/>
      <c r="O1340" s="1937" t="s">
        <v>2114</v>
      </c>
      <c r="P1340" s="1938" t="str">
        <f>'Part VIII-Threshold Criteria'!P241</f>
        <v>N/A</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f>'Part VIII-Threshold Criteria'!P242</f>
        <v>0</v>
      </c>
      <c r="Q1341" s="1938">
        <f>'Part VIII-Threshold Criteria'!Q242</f>
        <v>0</v>
      </c>
    </row>
    <row r="1342" spans="1:17">
      <c r="B1342" s="1937" t="s">
        <v>1738</v>
      </c>
      <c r="C1342" s="521" t="s">
        <v>3904</v>
      </c>
      <c r="E1342" s="1631"/>
      <c r="F1342" s="1631"/>
      <c r="G1342" s="1841"/>
      <c r="H1342" s="1841"/>
      <c r="I1342" s="1631"/>
      <c r="J1342" s="1841"/>
      <c r="K1342" s="1631"/>
      <c r="L1342" s="1841"/>
      <c r="M1342" s="1841"/>
      <c r="O1342" s="1937" t="s">
        <v>1738</v>
      </c>
      <c r="P1342" s="1938">
        <f>'Part VIII-Threshold Criteria'!P243</f>
        <v>0</v>
      </c>
      <c r="Q1342" s="1938">
        <f>'Part VIII-Threshold Criteria'!Q243</f>
        <v>0</v>
      </c>
    </row>
    <row r="1343" spans="1:17">
      <c r="B1343" s="1842" t="s">
        <v>3753</v>
      </c>
      <c r="D1343" s="1842"/>
      <c r="E1343" s="1842"/>
      <c r="F1343" s="1842"/>
      <c r="G1343" s="1842"/>
      <c r="H1343" s="1841"/>
      <c r="I1343" s="1895"/>
      <c r="J1343" s="1895"/>
      <c r="K1343" s="1895"/>
      <c r="L1343" s="1812"/>
      <c r="M1343" s="1812"/>
      <c r="N1343" s="1812"/>
      <c r="O1343" s="1812"/>
      <c r="P1343" s="1812"/>
      <c r="Q1343" s="1812"/>
    </row>
    <row r="1344" spans="1:17" ht="168.75">
      <c r="A1344" s="1900" t="str">
        <f>'Part VIII-Threshold Criteria'!A245</f>
        <v>The project scope will include the development of the required site amenities and unit amenities.  None of the proposed amenities require a waiver.</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1865</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2781</v>
      </c>
      <c r="B1348" s="1629" t="s">
        <v>2661</v>
      </c>
      <c r="C1348" s="1629"/>
      <c r="D1348" s="1894"/>
      <c r="E1348" s="1894"/>
      <c r="F1348" s="1894"/>
      <c r="G1348" s="1894"/>
      <c r="H1348" s="1899"/>
      <c r="I1348" s="1899"/>
      <c r="J1348" s="1899"/>
      <c r="K1348" s="1899"/>
      <c r="L1348" s="1871"/>
      <c r="M1348" s="1871"/>
      <c r="O1348" s="1896" t="s">
        <v>1866</v>
      </c>
      <c r="P1348" s="1820">
        <f>'Part VIII-Threshold Criteria'!P249</f>
        <v>0</v>
      </c>
      <c r="Q1348" s="1820">
        <f>'Part VIII-Threshold Criteria'!Q249</f>
        <v>0</v>
      </c>
    </row>
    <row r="1349" spans="1:17">
      <c r="L1349" s="1871"/>
      <c r="M1349" s="1871"/>
      <c r="N1349" s="1216"/>
    </row>
    <row r="1350" spans="1:17">
      <c r="A1350" s="1935" t="s">
        <v>1982</v>
      </c>
      <c r="B1350" s="521" t="s">
        <v>1268</v>
      </c>
      <c r="D1350" s="1631"/>
      <c r="E1350" s="521"/>
      <c r="F1350" s="521"/>
      <c r="J1350" s="1937" t="s">
        <v>1982</v>
      </c>
      <c r="K1350" s="1894" t="str">
        <f>'Part VIII-Threshold Criteria'!K250</f>
        <v>&lt;&lt;Select&gt;&gt;</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1984</v>
      </c>
      <c r="B1351" s="521" t="s">
        <v>2811</v>
      </c>
      <c r="D1351" s="521"/>
      <c r="E1351" s="521"/>
      <c r="F1351" s="521"/>
      <c r="J1351" s="1937" t="s">
        <v>1984</v>
      </c>
      <c r="K1351" s="1894">
        <f>'Part VIII-Threshold Criteria'!K251</f>
        <v>0</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1944</v>
      </c>
      <c r="D1352" s="521"/>
      <c r="E1352" s="521"/>
      <c r="F1352" s="521"/>
      <c r="K1352" s="1894">
        <f>'Part VIII-Threshold Criteria'!K252</f>
        <v>0</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2542</v>
      </c>
      <c r="D1353" s="521"/>
      <c r="E1353" s="521"/>
      <c r="F1353" s="521"/>
      <c r="G1353" s="521"/>
      <c r="H1353" s="521"/>
      <c r="I1353" s="1631"/>
      <c r="J1353" s="1631"/>
      <c r="M1353" s="521"/>
      <c r="N1353" s="1957"/>
      <c r="O1353" s="1937"/>
      <c r="P1353" s="1938">
        <f>'Part VIII-Threshold Criteria'!P253</f>
        <v>0</v>
      </c>
      <c r="Q1353" s="1938">
        <f>'Part VIII-Threshold Criteria'!Q253</f>
        <v>0</v>
      </c>
    </row>
    <row r="1354" spans="1:17">
      <c r="A1354" s="1935" t="s">
        <v>749</v>
      </c>
      <c r="B1354" s="521" t="s">
        <v>3760</v>
      </c>
      <c r="D1354" s="521"/>
      <c r="E1354" s="521"/>
      <c r="F1354" s="521"/>
      <c r="M1354" s="521"/>
      <c r="N1354" s="1957"/>
      <c r="O1354" s="1937" t="s">
        <v>749</v>
      </c>
      <c r="P1354" s="1938">
        <f>'Part VIII-Threshold Criteria'!P255</f>
        <v>0</v>
      </c>
      <c r="Q1354" s="1938">
        <f>'Part VIII-Threshold Criteria'!Q255</f>
        <v>0</v>
      </c>
    </row>
    <row r="1355" spans="1:17">
      <c r="A1355" s="1935"/>
      <c r="B1355" s="521" t="s">
        <v>3759</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2114</v>
      </c>
      <c r="B1356" s="521" t="s">
        <v>3905</v>
      </c>
      <c r="D1356" s="521"/>
      <c r="E1356" s="521"/>
      <c r="F1356" s="521"/>
      <c r="G1356" s="521"/>
      <c r="H1356" s="521"/>
      <c r="I1356" s="1631"/>
      <c r="J1356" s="1631"/>
      <c r="K1356" s="1631"/>
      <c r="M1356" s="521"/>
      <c r="N1356" s="1957"/>
      <c r="O1356" s="1937" t="s">
        <v>2114</v>
      </c>
      <c r="P1356" s="1938">
        <f>'Part VIII-Threshold Criteria'!P259</f>
        <v>0</v>
      </c>
      <c r="Q1356" s="1938">
        <f>'Part VIII-Threshold Criteria'!Q259</f>
        <v>0</v>
      </c>
    </row>
    <row r="1357" spans="1:17" ht="12.75" customHeight="1">
      <c r="A1357" s="1935"/>
      <c r="B1357" s="1900" t="s">
        <v>3761</v>
      </c>
      <c r="C1357" s="1900"/>
      <c r="D1357" s="1900"/>
      <c r="E1357" s="1900"/>
      <c r="F1357" s="1900"/>
      <c r="G1357" s="1900"/>
      <c r="H1357" s="1216" t="s">
        <v>4114</v>
      </c>
      <c r="K1357" s="1631"/>
      <c r="M1357" s="521"/>
      <c r="N1357" s="1957"/>
      <c r="O1357" s="1937" t="s">
        <v>1737</v>
      </c>
      <c r="P1357" s="1938">
        <f>'Part VIII-Threshold Criteria'!P260</f>
        <v>0</v>
      </c>
      <c r="Q1357" s="1938">
        <f>'Part VIII-Threshold Criteria'!Q260</f>
        <v>0</v>
      </c>
    </row>
    <row r="1358" spans="1:17">
      <c r="A1358" s="1935"/>
      <c r="B1358" s="1900"/>
      <c r="C1358" s="1900"/>
      <c r="D1358" s="1900"/>
      <c r="E1358" s="1900"/>
      <c r="F1358" s="1900"/>
      <c r="G1358" s="1900"/>
      <c r="H1358" s="1216" t="s">
        <v>4115</v>
      </c>
      <c r="K1358" s="1631"/>
      <c r="M1358" s="521"/>
      <c r="N1358" s="1957"/>
      <c r="O1358" s="1937" t="s">
        <v>1738</v>
      </c>
      <c r="P1358" s="1938">
        <f>'Part VIII-Threshold Criteria'!P261</f>
        <v>0</v>
      </c>
      <c r="Q1358" s="1938">
        <f>'Part VIII-Threshold Criteria'!Q261</f>
        <v>0</v>
      </c>
    </row>
    <row r="1359" spans="1:17">
      <c r="A1359" s="1935"/>
      <c r="B1359" s="521"/>
      <c r="D1359" s="521"/>
      <c r="E1359" s="521"/>
      <c r="F1359" s="521"/>
      <c r="G1359" s="521"/>
      <c r="H1359" s="1216" t="s">
        <v>4116</v>
      </c>
      <c r="K1359" s="1631"/>
      <c r="M1359" s="521"/>
      <c r="N1359" s="1957"/>
      <c r="O1359" s="1937" t="s">
        <v>1739</v>
      </c>
      <c r="P1359" s="1938">
        <f>'Part VIII-Threshold Criteria'!P262</f>
        <v>0</v>
      </c>
      <c r="Q1359" s="1938">
        <f>'Part VIII-Threshold Criteria'!Q262</f>
        <v>0</v>
      </c>
    </row>
    <row r="1360" spans="1:17">
      <c r="A1360" s="1935"/>
      <c r="B1360" s="521"/>
      <c r="D1360" s="521"/>
      <c r="E1360" s="521"/>
      <c r="F1360" s="521"/>
      <c r="G1360" s="521"/>
      <c r="H1360" s="1216" t="s">
        <v>4117</v>
      </c>
      <c r="K1360" s="1631"/>
      <c r="M1360" s="521"/>
      <c r="N1360" s="1957"/>
      <c r="O1360" s="1937" t="s">
        <v>2364</v>
      </c>
      <c r="P1360" s="1938">
        <f>'Part VIII-Threshold Criteria'!P263</f>
        <v>0</v>
      </c>
      <c r="Q1360" s="1938">
        <f>'Part VIII-Threshold Criteria'!Q263</f>
        <v>0</v>
      </c>
    </row>
    <row r="1361" spans="1:17" ht="12.75" customHeight="1">
      <c r="A1361" s="1933" t="s">
        <v>1735</v>
      </c>
      <c r="B1361" s="1900" t="s">
        <v>4544</v>
      </c>
      <c r="C1361" s="1900"/>
      <c r="D1361" s="1900"/>
      <c r="E1361" s="1900"/>
      <c r="F1361" s="1900"/>
      <c r="G1361" s="1900"/>
      <c r="H1361" s="1900"/>
      <c r="I1361" s="1900"/>
      <c r="J1361" s="1900"/>
      <c r="K1361" s="1900"/>
      <c r="L1361" s="1900"/>
      <c r="M1361" s="1900"/>
      <c r="N1361" s="1900"/>
      <c r="O1361" s="1944" t="s">
        <v>1735</v>
      </c>
      <c r="P1361" s="1945">
        <f>'Part VIII-Threshold Criteria'!P264</f>
        <v>0</v>
      </c>
      <c r="Q1361" s="1945">
        <f>'Part VIII-Threshold Criteria'!Q264</f>
        <v>0</v>
      </c>
    </row>
    <row r="1362" spans="1:17">
      <c r="B1362" s="1842" t="s">
        <v>3753</v>
      </c>
      <c r="D1362" s="1842"/>
      <c r="E1362" s="1842"/>
      <c r="F1362" s="1842"/>
      <c r="G1362" s="1842"/>
      <c r="H1362" s="1841"/>
      <c r="I1362" s="1895"/>
      <c r="J1362" s="1895"/>
      <c r="K1362" s="1895"/>
      <c r="L1362" s="1812"/>
      <c r="M1362" s="1812"/>
      <c r="N1362" s="1812"/>
      <c r="O1362" s="1812"/>
      <c r="P1362" s="1812"/>
      <c r="Q1362" s="1812"/>
    </row>
    <row r="1363" spans="1:17" ht="45">
      <c r="A1363" s="1900" t="str">
        <f>'Part VIII-Threshold Criteria'!A272</f>
        <v>This is not a rehab development.</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1865</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2250</v>
      </c>
      <c r="B1367" s="1629" t="s">
        <v>2662</v>
      </c>
      <c r="C1367" s="1629"/>
      <c r="D1367" s="1894"/>
      <c r="E1367" s="1894"/>
      <c r="F1367" s="1894"/>
      <c r="G1367" s="1894"/>
      <c r="H1367" s="1899"/>
      <c r="I1367" s="1899"/>
      <c r="J1367" s="1899"/>
      <c r="K1367" s="1899"/>
      <c r="L1367" s="1899"/>
      <c r="M1367" s="1899"/>
      <c r="O1367" s="1896" t="s">
        <v>1866</v>
      </c>
      <c r="P1367" s="1820">
        <f>'Part VIII-Threshold Criteria'!P276</f>
        <v>0</v>
      </c>
      <c r="Q1367" s="1820">
        <f>'Part VIII-Threshold Criteria'!Q276</f>
        <v>0</v>
      </c>
    </row>
    <row r="1369" spans="1:17" ht="12.75" customHeight="1">
      <c r="A1369" s="1933" t="s">
        <v>1982</v>
      </c>
      <c r="B1369" s="1900" t="s">
        <v>3907</v>
      </c>
      <c r="C1369" s="1900"/>
      <c r="D1369" s="1900"/>
      <c r="E1369" s="1900"/>
      <c r="F1369" s="1900"/>
      <c r="G1369" s="1900"/>
      <c r="H1369" s="1900"/>
      <c r="I1369" s="1900"/>
      <c r="J1369" s="1900"/>
      <c r="K1369" s="1900"/>
      <c r="L1369" s="1900"/>
      <c r="M1369" s="1900"/>
      <c r="N1369" s="1900"/>
      <c r="O1369" s="1944" t="s">
        <v>1982</v>
      </c>
      <c r="P1369" s="1945" t="str">
        <f>'Part VIII-Threshold Criteria'!P277</f>
        <v>Yes</v>
      </c>
      <c r="Q1369" s="1945">
        <f>'Part VIII-Threshold Criteria'!Q277</f>
        <v>0</v>
      </c>
    </row>
    <row r="1370" spans="1:17">
      <c r="A1370" s="1935"/>
      <c r="B1370" s="521" t="s">
        <v>3756</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1984</v>
      </c>
      <c r="B1371" s="521" t="s">
        <v>3757</v>
      </c>
      <c r="D1371" s="521"/>
      <c r="E1371" s="521"/>
      <c r="F1371" s="521"/>
      <c r="G1371" s="521"/>
      <c r="H1371" s="521"/>
      <c r="I1371" s="521"/>
      <c r="J1371" s="521"/>
      <c r="K1371" s="521"/>
      <c r="L1371" s="521"/>
      <c r="M1371" s="521"/>
      <c r="O1371" s="1937" t="s">
        <v>1984</v>
      </c>
      <c r="P1371" s="1938" t="str">
        <f>'Part VIII-Threshold Criteria'!P279</f>
        <v>Yes</v>
      </c>
      <c r="Q1371" s="1938">
        <f>'Part VIII-Threshold Criteria'!Q279</f>
        <v>0</v>
      </c>
    </row>
    <row r="1372" spans="1:17">
      <c r="A1372" s="1935" t="s">
        <v>749</v>
      </c>
      <c r="B1372" s="521" t="s">
        <v>4118</v>
      </c>
      <c r="D1372" s="521"/>
      <c r="E1372" s="521"/>
      <c r="F1372" s="521"/>
      <c r="G1372" s="521"/>
      <c r="H1372" s="521"/>
      <c r="I1372" s="521"/>
      <c r="J1372" s="521"/>
      <c r="K1372" s="521"/>
      <c r="L1372" s="521"/>
      <c r="M1372" s="521"/>
      <c r="O1372" s="1937" t="s">
        <v>749</v>
      </c>
      <c r="P1372" s="1938">
        <f>'Part VIII-Threshold Criteria'!P280</f>
        <v>0</v>
      </c>
      <c r="Q1372" s="1938">
        <f>'Part VIII-Threshold Criteria'!Q280</f>
        <v>0</v>
      </c>
    </row>
    <row r="1373" spans="1:17">
      <c r="A1373" s="1935"/>
      <c r="B1373" s="521" t="s">
        <v>3758</v>
      </c>
      <c r="D1373" s="521"/>
      <c r="E1373" s="521"/>
      <c r="F1373" s="521"/>
      <c r="G1373" s="521"/>
      <c r="H1373" s="521"/>
      <c r="I1373" s="521"/>
      <c r="J1373" s="521"/>
      <c r="K1373" s="521"/>
      <c r="L1373" s="521"/>
      <c r="M1373" s="521"/>
      <c r="O1373" s="1937"/>
      <c r="P1373" s="1938">
        <f>'Part VIII-Threshold Criteria'!P281</f>
        <v>0</v>
      </c>
      <c r="Q1373" s="1938">
        <f>'Part VIII-Threshold Criteria'!Q281</f>
        <v>0</v>
      </c>
    </row>
    <row r="1374" spans="1:17">
      <c r="A1374" s="1935" t="s">
        <v>2114</v>
      </c>
      <c r="B1374" s="521" t="s">
        <v>4119</v>
      </c>
      <c r="D1374" s="521"/>
      <c r="E1374" s="521"/>
      <c r="F1374" s="521"/>
      <c r="G1374" s="521"/>
      <c r="H1374" s="521"/>
      <c r="I1374" s="521"/>
      <c r="J1374" s="521"/>
      <c r="K1374" s="521"/>
      <c r="L1374" s="521"/>
      <c r="M1374" s="521"/>
      <c r="O1374" s="1937" t="s">
        <v>2114</v>
      </c>
      <c r="P1374" s="1938">
        <f>'Part VIII-Threshold Criteria'!P282</f>
        <v>0</v>
      </c>
      <c r="Q1374" s="1938">
        <f>'Part VIII-Threshold Criteria'!Q282</f>
        <v>0</v>
      </c>
    </row>
    <row r="1375" spans="1:17">
      <c r="B1375" s="1842" t="s">
        <v>3753</v>
      </c>
      <c r="D1375" s="1842"/>
      <c r="E1375" s="1842"/>
      <c r="F1375" s="1842"/>
      <c r="G1375" s="1842"/>
      <c r="H1375" s="1841"/>
      <c r="I1375" s="1895"/>
      <c r="J1375" s="1895"/>
      <c r="K1375" s="1895"/>
      <c r="L1375" s="1812"/>
      <c r="M1375" s="1812"/>
      <c r="N1375" s="1812"/>
      <c r="O1375" s="1812"/>
      <c r="P1375" s="1812"/>
      <c r="Q1375" s="1812"/>
    </row>
    <row r="1376" spans="1:17">
      <c r="A1376" s="1900">
        <f>'Part VIII-Threshold Criteria'!A284</f>
        <v>0</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1865</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4100</v>
      </c>
      <c r="B1379" s="1805" t="s">
        <v>2663</v>
      </c>
      <c r="C1379" s="1805"/>
      <c r="D1379" s="1899"/>
      <c r="E1379" s="1899"/>
      <c r="F1379" s="1899"/>
      <c r="G1379" s="1899"/>
      <c r="H1379" s="1899"/>
      <c r="I1379" s="1899"/>
      <c r="J1379" s="1899"/>
      <c r="K1379" s="1899"/>
      <c r="L1379" s="1899"/>
      <c r="M1379" s="1899"/>
      <c r="O1379" s="1896" t="s">
        <v>1866</v>
      </c>
      <c r="P1379" s="1820">
        <f>'Part VIII-Threshold Criteria'!P288</f>
        <v>0</v>
      </c>
      <c r="Q1379" s="1820">
        <f>'Part VIII-Threshold Criteria'!Q288</f>
        <v>0</v>
      </c>
    </row>
    <row r="1381" spans="1:17" ht="12.75" customHeight="1">
      <c r="A1381" s="1933" t="s">
        <v>1982</v>
      </c>
      <c r="B1381" s="1900" t="s">
        <v>2812</v>
      </c>
      <c r="C1381" s="1900"/>
      <c r="D1381" s="1900"/>
      <c r="E1381" s="1900"/>
      <c r="F1381" s="1900"/>
      <c r="G1381" s="1900"/>
      <c r="H1381" s="1900"/>
      <c r="I1381" s="1900"/>
      <c r="J1381" s="1900"/>
      <c r="K1381" s="1900"/>
      <c r="L1381" s="1900"/>
      <c r="M1381" s="1900"/>
      <c r="N1381" s="1900"/>
      <c r="O1381" s="1944" t="s">
        <v>1982</v>
      </c>
      <c r="P1381" s="1945" t="str">
        <f>'Part VIII-Threshold Criteria'!P289</f>
        <v>Agree</v>
      </c>
      <c r="Q1381" s="1945">
        <f>'Part VIII-Threshold Criteria'!Q289</f>
        <v>0</v>
      </c>
    </row>
    <row r="1382" spans="1:17" ht="12.75" customHeight="1">
      <c r="A1382" s="1933" t="s">
        <v>1984</v>
      </c>
      <c r="B1382" s="1900" t="s">
        <v>2813</v>
      </c>
      <c r="C1382" s="1900"/>
      <c r="D1382" s="1900"/>
      <c r="E1382" s="1900"/>
      <c r="F1382" s="1900"/>
      <c r="G1382" s="1900"/>
      <c r="H1382" s="1900"/>
      <c r="I1382" s="1900"/>
      <c r="J1382" s="1900"/>
      <c r="K1382" s="1900"/>
      <c r="L1382" s="1900"/>
      <c r="M1382" s="1900"/>
      <c r="N1382" s="1900"/>
      <c r="O1382" s="1944" t="s">
        <v>1984</v>
      </c>
      <c r="P1382" s="1945" t="str">
        <f>'Part VIII-Threshold Criteria'!P290</f>
        <v>Agree</v>
      </c>
      <c r="Q1382" s="1945">
        <f>'Part VIII-Threshold Criteria'!Q290</f>
        <v>0</v>
      </c>
    </row>
    <row r="1383" spans="1:17">
      <c r="B1383" s="1842" t="s">
        <v>3753</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1865</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4101</v>
      </c>
      <c r="B1387" s="1805" t="s">
        <v>2664</v>
      </c>
      <c r="C1387" s="1958"/>
      <c r="D1387" s="1959"/>
      <c r="E1387" s="1899"/>
      <c r="F1387" s="1899"/>
      <c r="G1387" s="1899"/>
      <c r="H1387" s="1899"/>
      <c r="I1387" s="1899"/>
      <c r="J1387" s="1899"/>
      <c r="K1387" s="1899"/>
      <c r="L1387" s="1899"/>
      <c r="M1387" s="1899"/>
      <c r="O1387" s="1896" t="s">
        <v>1866</v>
      </c>
      <c r="P1387" s="1820">
        <f>'Part VIII-Threshold Criteria'!P298</f>
        <v>0</v>
      </c>
      <c r="Q1387" s="1820">
        <f>'Part VIII-Threshold Criteria'!Q298</f>
        <v>0</v>
      </c>
    </row>
    <row r="1388" spans="1:17">
      <c r="A1388" s="1829" t="s">
        <v>1982</v>
      </c>
      <c r="B1388" s="1805" t="s">
        <v>4545</v>
      </c>
    </row>
    <row r="1389" spans="1:17" ht="12.75" customHeight="1">
      <c r="A1389" s="1933"/>
      <c r="B1389" s="1944" t="s">
        <v>1737</v>
      </c>
      <c r="C1389" s="1900" t="s">
        <v>3909</v>
      </c>
      <c r="D1389" s="1900"/>
      <c r="E1389" s="1900"/>
      <c r="F1389" s="1900"/>
      <c r="G1389" s="1900"/>
      <c r="H1389" s="1900"/>
      <c r="I1389" s="1900"/>
      <c r="J1389" s="1900"/>
      <c r="K1389" s="1900"/>
      <c r="L1389" s="1900"/>
      <c r="M1389" s="1900"/>
      <c r="N1389" s="1900"/>
      <c r="O1389" s="1944" t="s">
        <v>2725</v>
      </c>
      <c r="P1389" s="1945" t="str">
        <f>'Part VIII-Threshold Criteria'!P300</f>
        <v>Yes</v>
      </c>
      <c r="Q1389" s="1945">
        <f>'Part VIII-Threshold Criteria'!Q300</f>
        <v>0</v>
      </c>
    </row>
    <row r="1390" spans="1:17" ht="12.75" customHeight="1">
      <c r="A1390" s="1933"/>
      <c r="B1390" s="1944" t="s">
        <v>1738</v>
      </c>
      <c r="C1390" s="1900" t="s">
        <v>3910</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3908</v>
      </c>
      <c r="D1391" s="1900"/>
      <c r="E1391" s="1900"/>
      <c r="F1391" s="1900"/>
      <c r="G1391" s="1900"/>
      <c r="H1391" s="1900"/>
      <c r="I1391" s="1900"/>
      <c r="J1391" s="1900"/>
      <c r="K1391" s="1900"/>
      <c r="L1391" s="1900"/>
      <c r="M1391" s="1900"/>
      <c r="N1391" s="1900"/>
      <c r="O1391" s="1944" t="s">
        <v>1739</v>
      </c>
      <c r="P1391" s="1945">
        <f>'Part VIII-Threshold Criteria'!P302</f>
        <v>0</v>
      </c>
      <c r="Q1391" s="1945">
        <f>'Part VIII-Threshold Criteria'!Q302</f>
        <v>0</v>
      </c>
    </row>
    <row r="1392" spans="1:17">
      <c r="A1392" s="1829" t="s">
        <v>1984</v>
      </c>
      <c r="B1392" s="1805" t="s">
        <v>3875</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4546</v>
      </c>
      <c r="D1393" s="1900"/>
      <c r="E1393" s="1900"/>
      <c r="F1393" s="1900"/>
      <c r="G1393" s="1900"/>
      <c r="H1393" s="1900"/>
      <c r="I1393" s="1921"/>
      <c r="J1393" s="1904" t="s">
        <v>3793</v>
      </c>
      <c r="K1393" s="1955"/>
      <c r="L1393" s="1955"/>
      <c r="M1393" s="1961" t="s">
        <v>3763</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3764</v>
      </c>
      <c r="N1394" s="1895" t="s">
        <v>3792</v>
      </c>
      <c r="O1394" s="1647"/>
      <c r="P1394" s="1660"/>
      <c r="Q1394" s="1647"/>
    </row>
    <row r="1395" spans="1:17">
      <c r="A1395" s="1650"/>
      <c r="B1395" s="1647"/>
      <c r="C1395" s="1900"/>
      <c r="D1395" s="1900"/>
      <c r="E1395" s="1900"/>
      <c r="F1395" s="1900"/>
      <c r="G1395" s="1900"/>
      <c r="H1395" s="1900"/>
      <c r="I1395" s="521" t="s">
        <v>4121</v>
      </c>
      <c r="J1395" s="1647"/>
      <c r="K1395" s="2163">
        <f>'Part VIII-Threshold Criteria'!K306</f>
        <v>8</v>
      </c>
      <c r="L1395" s="1648" t="str">
        <f>IF(K1395&lt;M1395,"Check!!!","")</f>
        <v/>
      </c>
      <c r="M1395" s="1962">
        <f>'Part VIII-Threshold Criteria'!M306</f>
        <v>8</v>
      </c>
      <c r="N1395" s="1963">
        <f>'DCA Underwriting Assumptions'!$Q$139</f>
        <v>0.05</v>
      </c>
      <c r="O1395" s="1937" t="s">
        <v>3638</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4547</v>
      </c>
      <c r="D1397" s="1900"/>
      <c r="E1397" s="1900"/>
      <c r="F1397" s="1900"/>
      <c r="G1397" s="1900"/>
      <c r="H1397" s="1900"/>
      <c r="I1397" s="1964" t="s">
        <v>4122</v>
      </c>
      <c r="J1397" s="1647"/>
      <c r="K1397" s="2163">
        <f>'Part VIII-Threshold Criteria'!K307</f>
        <v>4</v>
      </c>
      <c r="L1397" s="1648" t="str">
        <f>IF(K1397&lt;M1397,"Check!!!","")</f>
        <v/>
      </c>
      <c r="M1397" s="1962">
        <f>'Part VIII-Threshold Criteria'!M307</f>
        <v>4</v>
      </c>
      <c r="N1397" s="1963">
        <f>'DCA Underwriting Assumptions'!$Q$140</f>
        <v>0.4</v>
      </c>
      <c r="O1397" s="1937" t="s">
        <v>2116</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4548</v>
      </c>
      <c r="D1399" s="1900"/>
      <c r="E1399" s="1900"/>
      <c r="F1399" s="1900"/>
      <c r="G1399" s="1900"/>
      <c r="H1399" s="1900"/>
      <c r="I1399" s="521" t="s">
        <v>4123</v>
      </c>
      <c r="J1399" s="1647"/>
      <c r="K1399" s="2163">
        <f>'Part VIII-Threshold Criteria'!K309</f>
        <v>4</v>
      </c>
      <c r="L1399" s="1648" t="str">
        <f>IF(K1399&lt;M1399,"Check!!!","")</f>
        <v/>
      </c>
      <c r="M1399" s="1962">
        <f>'Part VIII-Threshold Criteria'!M309</f>
        <v>4</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c r="A1402" s="1829" t="s">
        <v>749</v>
      </c>
      <c r="B1402" s="1805" t="s">
        <v>3876</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3640</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3641</v>
      </c>
      <c r="C1404" s="1631"/>
      <c r="D1404" s="1921"/>
      <c r="E1404" s="1921"/>
      <c r="F1404" s="1921"/>
      <c r="G1404" s="1921"/>
      <c r="H1404" s="1921"/>
      <c r="I1404" s="1921" t="s">
        <v>3762</v>
      </c>
      <c r="J1404" s="1921"/>
      <c r="K1404" s="1921"/>
      <c r="L1404" s="1921" t="str">
        <f>'Part VIII-Threshold Criteria'!L314</f>
        <v>Theresa Kitay at Law</v>
      </c>
      <c r="M1404" s="1921">
        <f>'Part VIII-Threshold Criteria'!M314</f>
        <v>0</v>
      </c>
      <c r="N1404" s="1921">
        <f>'Part VIII-Threshold Criteria'!N314</f>
        <v>0</v>
      </c>
      <c r="O1404" s="1921"/>
      <c r="P1404" s="1921"/>
      <c r="Q1404" s="1921"/>
    </row>
    <row r="1405" spans="1:17" ht="12.75" customHeight="1">
      <c r="A1405" s="1913"/>
      <c r="B1405" s="1944" t="s">
        <v>1737</v>
      </c>
      <c r="C1405" s="1900" t="s">
        <v>3639</v>
      </c>
      <c r="D1405" s="1900"/>
      <c r="E1405" s="1900"/>
      <c r="F1405" s="1900"/>
      <c r="G1405" s="1900"/>
      <c r="H1405" s="1900"/>
      <c r="I1405" s="1900"/>
      <c r="J1405" s="1900"/>
      <c r="K1405" s="1900"/>
      <c r="L1405" s="1900"/>
      <c r="M1405" s="1900"/>
      <c r="N1405" s="1900"/>
      <c r="O1405" s="1944" t="s">
        <v>3644</v>
      </c>
      <c r="P1405" s="1945" t="str">
        <f>'Part VIII-Threshold Criteria'!P315</f>
        <v>Yes</v>
      </c>
      <c r="Q1405" s="1945">
        <f>'Part VIII-Threshold Criteria'!Q315</f>
        <v>0</v>
      </c>
    </row>
    <row r="1406" spans="1:17" ht="12.75" customHeight="1">
      <c r="A1406" s="1913"/>
      <c r="B1406" s="1944" t="s">
        <v>1738</v>
      </c>
      <c r="C1406" s="1900" t="s">
        <v>3684</v>
      </c>
      <c r="D1406" s="1900"/>
      <c r="E1406" s="1900"/>
      <c r="F1406" s="1900"/>
      <c r="G1406" s="1900"/>
      <c r="H1406" s="1900"/>
      <c r="I1406" s="1900"/>
      <c r="J1406" s="1900"/>
      <c r="K1406" s="1900"/>
      <c r="L1406" s="1900"/>
      <c r="M1406" s="1900"/>
      <c r="N1406" s="1900"/>
      <c r="O1406" s="1944" t="s">
        <v>3645</v>
      </c>
      <c r="P1406" s="1945" t="str">
        <f>'Part VIII-Threshold Criteria'!P316</f>
        <v>Yes</v>
      </c>
      <c r="Q1406" s="1945">
        <f>'Part VIII-Threshold Criteria'!Q316</f>
        <v>0</v>
      </c>
    </row>
    <row r="1407" spans="1:17" ht="12.75" customHeight="1">
      <c r="A1407" s="1913"/>
      <c r="B1407" s="1944" t="s">
        <v>1739</v>
      </c>
      <c r="C1407" s="1900" t="s">
        <v>3642</v>
      </c>
      <c r="D1407" s="1900"/>
      <c r="E1407" s="1900"/>
      <c r="F1407" s="1900"/>
      <c r="G1407" s="1900"/>
      <c r="H1407" s="1900"/>
      <c r="I1407" s="1900"/>
      <c r="J1407" s="1900"/>
      <c r="K1407" s="1900"/>
      <c r="L1407" s="1900"/>
      <c r="M1407" s="1900"/>
      <c r="N1407" s="1900"/>
      <c r="O1407" s="1944" t="s">
        <v>3646</v>
      </c>
      <c r="P1407" s="1945" t="str">
        <f>'Part VIII-Threshold Criteria'!P317</f>
        <v>Yes</v>
      </c>
      <c r="Q1407" s="1945">
        <f>'Part VIII-Threshold Criteria'!Q317</f>
        <v>0</v>
      </c>
    </row>
    <row r="1408" spans="1:17" ht="12.75" customHeight="1">
      <c r="A1408" s="1913"/>
      <c r="B1408" s="1944" t="s">
        <v>2364</v>
      </c>
      <c r="C1408" s="1900" t="s">
        <v>3643</v>
      </c>
      <c r="D1408" s="1900"/>
      <c r="E1408" s="1900"/>
      <c r="F1408" s="1900"/>
      <c r="G1408" s="1900"/>
      <c r="H1408" s="1900"/>
      <c r="I1408" s="1900"/>
      <c r="J1408" s="1900"/>
      <c r="K1408" s="1900"/>
      <c r="L1408" s="1900"/>
      <c r="M1408" s="1900"/>
      <c r="N1408" s="1900"/>
      <c r="O1408" s="1944" t="s">
        <v>3647</v>
      </c>
      <c r="P1408" s="1945" t="str">
        <f>'Part VIII-Threshold Criteria'!P318</f>
        <v>Yes</v>
      </c>
      <c r="Q1408" s="1945">
        <f>'Part VIII-Threshold Criteria'!Q318</f>
        <v>0</v>
      </c>
    </row>
    <row r="1409" spans="1:17">
      <c r="B1409" s="1842" t="s">
        <v>3753</v>
      </c>
      <c r="D1409" s="1842"/>
      <c r="E1409" s="1842"/>
      <c r="F1409" s="1842"/>
      <c r="G1409" s="1842"/>
      <c r="H1409" s="1841"/>
      <c r="I1409" s="1895"/>
      <c r="J1409" s="1895"/>
      <c r="K1409" s="1895"/>
      <c r="L1409" s="1812"/>
      <c r="M1409" s="1812"/>
      <c r="N1409" s="1812"/>
      <c r="O1409" s="1812"/>
      <c r="P1409" s="1812"/>
      <c r="Q1409" s="1812"/>
    </row>
    <row r="1410" spans="1:17" ht="146.25">
      <c r="A1410" s="1900" t="str">
        <f>'Part VIII-Threshold Criteria'!A320</f>
        <v>The development will comply with the above standards. The development is a Family development.</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1865</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4099</v>
      </c>
      <c r="B1413" s="1629" t="s">
        <v>2665</v>
      </c>
      <c r="C1413" s="1629"/>
      <c r="D1413" s="1629"/>
      <c r="E1413" s="1629"/>
      <c r="F1413" s="1629"/>
      <c r="G1413" s="1629"/>
      <c r="H1413" s="1899"/>
      <c r="I1413" s="1899"/>
      <c r="J1413" s="1899"/>
      <c r="K1413" s="1899"/>
      <c r="L1413" s="1899"/>
      <c r="M1413" s="1899"/>
      <c r="O1413" s="1896" t="s">
        <v>1866</v>
      </c>
      <c r="P1413" s="1820">
        <f>'Part VIII-Threshold Criteria'!P323</f>
        <v>0</v>
      </c>
      <c r="Q1413" s="1820">
        <f>'Part VIII-Threshold Criteria'!Q323</f>
        <v>0</v>
      </c>
    </row>
    <row r="1414" spans="1:17">
      <c r="B1414" s="1216" t="s">
        <v>2251</v>
      </c>
      <c r="P1414" s="1938" t="str">
        <f>'Part VIII-Threshold Criteria'!P324</f>
        <v>No</v>
      </c>
      <c r="Q1414" s="1938">
        <f>'Part VIII-Threshold Criteria'!Q324</f>
        <v>0</v>
      </c>
    </row>
    <row r="1415" spans="1:17">
      <c r="B1415" s="1952" t="s">
        <v>2210</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1982</v>
      </c>
      <c r="B1416" s="1929" t="s">
        <v>4549</v>
      </c>
      <c r="D1416" s="1841"/>
      <c r="E1416" s="1841"/>
      <c r="F1416" s="1841"/>
      <c r="G1416" s="1841"/>
      <c r="H1416" s="1841"/>
      <c r="I1416" s="1841"/>
      <c r="J1416" s="1841"/>
      <c r="K1416" s="1841"/>
      <c r="L1416" s="1841"/>
      <c r="M1416" s="1841"/>
      <c r="N1416" s="1944"/>
    </row>
    <row r="1417" spans="1:17" ht="12.75" customHeight="1">
      <c r="B1417" s="1900" t="s">
        <v>2880</v>
      </c>
      <c r="C1417" s="1900"/>
      <c r="D1417" s="1900"/>
      <c r="E1417" s="1900"/>
      <c r="F1417" s="1900"/>
      <c r="G1417" s="1900"/>
      <c r="H1417" s="1900"/>
      <c r="I1417" s="1900"/>
      <c r="J1417" s="1900"/>
      <c r="K1417" s="1900"/>
      <c r="L1417" s="1900"/>
      <c r="M1417" s="1900"/>
      <c r="N1417" s="1900"/>
      <c r="O1417" s="1944" t="s">
        <v>1982</v>
      </c>
      <c r="P1417" s="1945" t="str">
        <f>'Part VIII-Threshold Criteria'!P327</f>
        <v>No</v>
      </c>
      <c r="Q1417" s="1945">
        <f>'Part VIII-Threshold Criteria'!Q327</f>
        <v>0</v>
      </c>
    </row>
    <row r="1418" spans="1:17">
      <c r="A1418" s="1933" t="s">
        <v>1984</v>
      </c>
      <c r="B1418" s="1894" t="s">
        <v>460</v>
      </c>
      <c r="D1418" s="1894"/>
      <c r="E1418" s="1894"/>
      <c r="F1418" s="1894"/>
      <c r="G1418" s="1894"/>
      <c r="H1418" s="1894"/>
      <c r="I1418" s="1894"/>
      <c r="J1418" s="1894"/>
      <c r="K1418" s="1894"/>
      <c r="L1418" s="1894"/>
      <c r="M1418" s="1894"/>
      <c r="O1418" s="1944" t="s">
        <v>1984</v>
      </c>
      <c r="P1418" s="1812"/>
      <c r="Q1418" s="1812"/>
    </row>
    <row r="1419" spans="1:17" ht="12.75" customHeight="1">
      <c r="B1419" s="1948" t="s">
        <v>1737</v>
      </c>
      <c r="C1419" s="1921" t="s">
        <v>1131</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 xml:space="preserve">Fiber cement siding or other 30 year warranty product installed on all exterior wall surfaces not already required to be brick </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4550</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3753</v>
      </c>
      <c r="D1426" s="1842"/>
      <c r="E1426" s="1842"/>
      <c r="F1426" s="1842"/>
      <c r="G1426" s="1842"/>
      <c r="H1426" s="1841"/>
      <c r="I1426" s="1895"/>
      <c r="J1426" s="1895"/>
      <c r="K1426" s="1895"/>
      <c r="L1426" s="1812"/>
      <c r="M1426" s="1812"/>
      <c r="N1426" s="1812"/>
      <c r="O1426" s="1812"/>
      <c r="P1426" s="1812"/>
      <c r="Q1426" s="1812"/>
    </row>
    <row r="1427" spans="1:17" ht="90">
      <c r="A1427" s="1900" t="str">
        <f>'Part VIII-Threshold Criteria'!A337</f>
        <v>The development will comply with the above selected standards.</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1865</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4102</v>
      </c>
      <c r="B1430" s="1805" t="s">
        <v>4140</v>
      </c>
      <c r="C1430" s="1805"/>
      <c r="D1430" s="1899"/>
      <c r="E1430" s="1899"/>
      <c r="F1430" s="1899"/>
      <c r="G1430" s="1899"/>
      <c r="H1430" s="1899"/>
      <c r="O1430" s="1896" t="s">
        <v>1866</v>
      </c>
      <c r="P1430" s="1820">
        <f>'Part VIII-Threshold Criteria'!P340</f>
        <v>0</v>
      </c>
      <c r="Q1430" s="1820">
        <f>'Part VIII-Threshold Criteria'!Q340</f>
        <v>0</v>
      </c>
    </row>
    <row r="1431" spans="1:17">
      <c r="A1431" s="1935" t="s">
        <v>1982</v>
      </c>
      <c r="B1431" s="1216" t="s">
        <v>3912</v>
      </c>
      <c r="O1431" s="1944" t="s">
        <v>1982</v>
      </c>
      <c r="P1431" s="1938" t="str">
        <f>'Part VIII-Threshold Criteria'!P341</f>
        <v>Yes</v>
      </c>
      <c r="Q1431" s="1938">
        <f>'Part VIII-Threshold Criteria'!Q341</f>
        <v>0</v>
      </c>
    </row>
    <row r="1432" spans="1:17">
      <c r="A1432" s="1933" t="s">
        <v>1984</v>
      </c>
      <c r="B1432" s="1216" t="s">
        <v>4088</v>
      </c>
      <c r="O1432" s="1944" t="s">
        <v>1984</v>
      </c>
      <c r="P1432" s="1938" t="str">
        <f>'Part VIII-Threshold Criteria'!P342</f>
        <v>Yes</v>
      </c>
      <c r="Q1432" s="1938">
        <f>'Part VIII-Threshold Criteria'!Q342</f>
        <v>0</v>
      </c>
    </row>
    <row r="1433" spans="1:17">
      <c r="A1433" s="1933" t="s">
        <v>749</v>
      </c>
      <c r="B1433" s="1216" t="s">
        <v>2349</v>
      </c>
      <c r="O1433" s="1944" t="s">
        <v>749</v>
      </c>
      <c r="P1433" s="1938" t="str">
        <f>'Part VIII-Threshold Criteria'!P343</f>
        <v>No</v>
      </c>
      <c r="Q1433" s="1938">
        <f>'Part VIII-Threshold Criteria'!Q343</f>
        <v>0</v>
      </c>
    </row>
    <row r="1434" spans="1:17">
      <c r="A1434" s="1935" t="s">
        <v>2114</v>
      </c>
      <c r="B1434" s="1216" t="s">
        <v>3841</v>
      </c>
      <c r="O1434" s="1937" t="s">
        <v>2114</v>
      </c>
      <c r="P1434" s="1938" t="str">
        <f>'Part VIII-Threshold Criteria'!P344</f>
        <v>No</v>
      </c>
      <c r="Q1434" s="1938">
        <f>'Part VIII-Threshold Criteria'!Q344</f>
        <v>0</v>
      </c>
    </row>
    <row r="1435" spans="1:17">
      <c r="A1435" s="1933" t="s">
        <v>1735</v>
      </c>
      <c r="B1435" s="1216" t="s">
        <v>2883</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2350</v>
      </c>
      <c r="N1436" s="1944" t="s">
        <v>1736</v>
      </c>
      <c r="O1436" s="1851" t="str">
        <f>'Part VIII-Threshold Criteria'!O346</f>
        <v>&lt;&lt; Select Designation &gt;&gt;</v>
      </c>
      <c r="P1436" s="1851">
        <f>'Part VIII-Threshold Criteria'!P346</f>
        <v>0</v>
      </c>
      <c r="Q1436" s="1851">
        <f>'Part VIII-Threshold Criteria'!Q346</f>
        <v>0</v>
      </c>
    </row>
    <row r="1437" spans="1:17">
      <c r="B1437" s="1842" t="s">
        <v>3753</v>
      </c>
      <c r="D1437" s="1842"/>
      <c r="E1437" s="1842"/>
      <c r="F1437" s="1842"/>
      <c r="G1437" s="1842"/>
      <c r="H1437" s="1841"/>
      <c r="I1437" s="1895"/>
      <c r="J1437" s="1895"/>
      <c r="K1437" s="1895"/>
      <c r="L1437" s="1812"/>
      <c r="M1437" s="1812"/>
      <c r="N1437" s="1812"/>
      <c r="O1437" s="1812"/>
      <c r="P1437" s="1812"/>
      <c r="Q1437" s="1812"/>
    </row>
    <row r="1438" spans="1:17" ht="191.25">
      <c r="A1438" s="1900" t="str">
        <f>'Part VIII-Threshold Criteria'!A348</f>
        <v>Applicant was deemed qualified without conditions on the pre-application qualification determination request. The required documentation is included in Tab 19.</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1865</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4103</v>
      </c>
      <c r="B1441" s="1629" t="s">
        <v>2666</v>
      </c>
      <c r="C1441" s="1629"/>
      <c r="D1441" s="1894"/>
      <c r="E1441" s="1899"/>
      <c r="F1441" s="1899"/>
      <c r="G1441" s="1899"/>
      <c r="H1441" s="1899"/>
      <c r="I1441" s="1899"/>
      <c r="J1441" s="1899"/>
      <c r="K1441" s="1899"/>
      <c r="L1441" s="1899"/>
      <c r="M1441" s="1899"/>
      <c r="O1441" s="1896" t="s">
        <v>1866</v>
      </c>
      <c r="P1441" s="1820">
        <f>'Part VIII-Threshold Criteria'!P351</f>
        <v>0</v>
      </c>
      <c r="Q1441" s="1820">
        <f>'Part VIII-Threshold Criteria'!Q351</f>
        <v>0</v>
      </c>
    </row>
    <row r="1442" spans="1:17">
      <c r="A1442" s="1933" t="s">
        <v>1982</v>
      </c>
      <c r="B1442" s="1921" t="s">
        <v>3656</v>
      </c>
      <c r="D1442" s="1921"/>
      <c r="E1442" s="1921"/>
      <c r="F1442" s="1921"/>
      <c r="G1442" s="1921"/>
      <c r="H1442" s="1921"/>
      <c r="I1442" s="1921"/>
      <c r="J1442" s="1921"/>
      <c r="K1442" s="1921"/>
      <c r="L1442" s="1921"/>
      <c r="M1442" s="1921"/>
      <c r="N1442" s="1921"/>
      <c r="O1442" s="1944" t="s">
        <v>1982</v>
      </c>
      <c r="P1442" s="1938" t="str">
        <f>'Part VIII-Threshold Criteria'!P352</f>
        <v>Yes</v>
      </c>
      <c r="Q1442" s="1938">
        <f>'Part VIII-Threshold Criteria'!Q352</f>
        <v>0</v>
      </c>
    </row>
    <row r="1443" spans="1:17">
      <c r="A1443" s="1933" t="s">
        <v>1984</v>
      </c>
      <c r="B1443" s="1921" t="s">
        <v>3850</v>
      </c>
      <c r="D1443" s="1921"/>
      <c r="E1443" s="1921"/>
      <c r="F1443" s="1921"/>
      <c r="G1443" s="1921"/>
      <c r="H1443" s="1921"/>
      <c r="I1443" s="1921"/>
      <c r="J1443" s="1921"/>
      <c r="K1443" s="1921"/>
      <c r="L1443" s="1921"/>
      <c r="M1443" s="1921"/>
      <c r="N1443" s="1921"/>
      <c r="O1443" s="1944" t="s">
        <v>1984</v>
      </c>
      <c r="P1443" s="1938" t="str">
        <f>'Part VIII-Threshold Criteria'!P353</f>
        <v>No</v>
      </c>
      <c r="Q1443" s="1938">
        <f>'Part VIII-Threshold Criteria'!Q353</f>
        <v>0</v>
      </c>
    </row>
    <row r="1444" spans="1:17" ht="12.75" customHeight="1">
      <c r="A1444" s="1933" t="s">
        <v>749</v>
      </c>
      <c r="B1444" s="1900" t="s">
        <v>4089</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3753</v>
      </c>
      <c r="D1445" s="1842"/>
      <c r="E1445" s="1842"/>
      <c r="F1445" s="1842"/>
      <c r="G1445" s="1842"/>
      <c r="H1445" s="1841"/>
      <c r="I1445" s="1895"/>
      <c r="J1445" s="1895"/>
      <c r="K1445" s="1895"/>
      <c r="L1445" s="1812"/>
      <c r="M1445" s="1812"/>
      <c r="N1445" s="1812"/>
      <c r="O1445" s="1812"/>
      <c r="P1445" s="1812"/>
      <c r="Q1445" s="1812"/>
    </row>
    <row r="1446" spans="1:17" ht="135">
      <c r="A1446" s="1900" t="str">
        <f>'Part VIII-Threshold Criteria'!A356</f>
        <v>The compliance history summary was submitted at pre-application in the Performance Workbook.</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1865</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4106</v>
      </c>
      <c r="B1450" s="1629" t="s">
        <v>4079</v>
      </c>
      <c r="C1450" s="1629"/>
      <c r="D1450" s="1629"/>
      <c r="E1450" s="1629"/>
      <c r="F1450" s="1629"/>
      <c r="G1450" s="1629"/>
      <c r="H1450" s="1899"/>
      <c r="I1450" s="1899"/>
      <c r="J1450" s="1899"/>
      <c r="K1450" s="1899"/>
      <c r="L1450" s="1899"/>
      <c r="M1450" s="1899"/>
      <c r="O1450" s="1896" t="s">
        <v>1866</v>
      </c>
      <c r="P1450" s="1820">
        <f>'Part VIII-Threshold Criteria'!P360</f>
        <v>0</v>
      </c>
      <c r="Q1450" s="1820">
        <f>'Part VIII-Threshold Criteria'!Q360</f>
        <v>0</v>
      </c>
    </row>
    <row r="1451" spans="1:17">
      <c r="A1451" s="1935" t="s">
        <v>1982</v>
      </c>
      <c r="B1451" s="521" t="s">
        <v>4080</v>
      </c>
      <c r="D1451" s="1636"/>
      <c r="E1451" s="1636"/>
      <c r="F1451" s="1636"/>
      <c r="G1451" s="1636"/>
      <c r="H1451" s="1937" t="s">
        <v>1982</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1984</v>
      </c>
      <c r="B1452" s="521" t="s">
        <v>4081</v>
      </c>
      <c r="D1452" s="1636"/>
      <c r="E1452" s="1636"/>
      <c r="F1452" s="1636"/>
      <c r="G1452" s="1636"/>
      <c r="H1452" s="1944" t="s">
        <v>1984</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4071</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2114</v>
      </c>
      <c r="B1454" s="1900" t="s">
        <v>4072</v>
      </c>
      <c r="C1454" s="1900"/>
      <c r="D1454" s="1900"/>
      <c r="E1454" s="1900"/>
      <c r="F1454" s="1900"/>
      <c r="G1454" s="1900"/>
      <c r="H1454" s="1900"/>
      <c r="I1454" s="1900"/>
      <c r="J1454" s="1900"/>
      <c r="K1454" s="1900"/>
      <c r="L1454" s="1900"/>
      <c r="M1454" s="1900"/>
      <c r="N1454" s="1900"/>
      <c r="O1454" s="1937" t="s">
        <v>2114</v>
      </c>
      <c r="P1454" s="1945">
        <f>'Part VIII-Threshold Criteria'!P364</f>
        <v>0</v>
      </c>
      <c r="Q1454" s="1945">
        <f>'Part VIII-Threshold Criteria'!Q364</f>
        <v>0</v>
      </c>
    </row>
    <row r="1455" spans="1:17">
      <c r="A1455" s="1933" t="s">
        <v>1735</v>
      </c>
      <c r="B1455" s="521" t="s">
        <v>4073</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4074</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1946</v>
      </c>
      <c r="B1457" s="1921" t="s">
        <v>4075</v>
      </c>
      <c r="C1457" s="1913"/>
      <c r="D1457" s="1900"/>
      <c r="E1457" s="1900"/>
      <c r="F1457" s="1900"/>
      <c r="G1457" s="1900"/>
      <c r="H1457" s="1900"/>
      <c r="I1457" s="1900"/>
      <c r="J1457" s="1900"/>
      <c r="K1457" s="1900"/>
      <c r="L1457" s="1900"/>
      <c r="M1457" s="1900"/>
      <c r="N1457" s="1900"/>
      <c r="O1457" s="1944" t="s">
        <v>1946</v>
      </c>
      <c r="P1457" s="1945">
        <f>'Part VIII-Threshold Criteria'!P367</f>
        <v>0</v>
      </c>
      <c r="Q1457" s="1945">
        <f>'Part VIII-Threshold Criteria'!Q367</f>
        <v>0</v>
      </c>
    </row>
    <row r="1458" spans="1:17">
      <c r="A1458" s="1913"/>
      <c r="B1458" s="1913"/>
      <c r="C1458" s="1952" t="s">
        <v>4551</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3369</v>
      </c>
      <c r="B1459" s="1900" t="s">
        <v>4076</v>
      </c>
      <c r="C1459" s="1900"/>
      <c r="D1459" s="1900"/>
      <c r="E1459" s="1900"/>
      <c r="F1459" s="1900"/>
      <c r="G1459" s="1900"/>
      <c r="H1459" s="1900"/>
      <c r="I1459" s="1900"/>
      <c r="J1459" s="1900"/>
      <c r="K1459" s="1900"/>
      <c r="L1459" s="1900"/>
      <c r="M1459" s="1900"/>
      <c r="N1459" s="1900"/>
      <c r="O1459" s="1944" t="s">
        <v>3369</v>
      </c>
      <c r="P1459" s="1945">
        <f>'Part VIII-Threshold Criteria'!P369</f>
        <v>0</v>
      </c>
      <c r="Q1459" s="1945">
        <f>'Part VIII-Threshold Criteria'!Q369</f>
        <v>0</v>
      </c>
    </row>
    <row r="1460" spans="1:17" ht="12.75" customHeight="1">
      <c r="A1460" s="1933" t="s">
        <v>616</v>
      </c>
      <c r="B1460" s="1900" t="s">
        <v>4077</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3753</v>
      </c>
      <c r="D1461" s="1842"/>
      <c r="E1461" s="1842"/>
      <c r="F1461" s="1842"/>
      <c r="G1461" s="1842"/>
      <c r="H1461" s="1841"/>
      <c r="I1461" s="1895"/>
      <c r="J1461" s="1895"/>
      <c r="K1461" s="1895"/>
      <c r="L1461" s="1812"/>
      <c r="M1461" s="1812"/>
      <c r="N1461" s="1812"/>
      <c r="O1461" s="1812"/>
      <c r="P1461" s="1812"/>
      <c r="Q1461" s="1812"/>
    </row>
    <row r="1462" spans="1:17">
      <c r="A1462" s="1900" t="str">
        <f>'Part VIII-Threshold Criteria'!A372</f>
        <v>N/A</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1865</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4107</v>
      </c>
      <c r="B1466" s="1629" t="s">
        <v>3913</v>
      </c>
      <c r="C1466" s="1629"/>
      <c r="D1466" s="1629"/>
      <c r="E1466" s="1629"/>
      <c r="F1466" s="1629"/>
      <c r="G1466" s="1629"/>
      <c r="H1466" s="1899"/>
      <c r="I1466" s="1899"/>
      <c r="J1466" s="1899"/>
      <c r="O1466" s="1896" t="s">
        <v>1866</v>
      </c>
      <c r="P1466" s="1820">
        <f>'Part VIII-Threshold Criteria'!P376</f>
        <v>0</v>
      </c>
      <c r="Q1466" s="1820">
        <f>'Part VIII-Threshold Criteria'!Q376</f>
        <v>0</v>
      </c>
    </row>
    <row r="1467" spans="1:17">
      <c r="A1467" s="1935" t="s">
        <v>1982</v>
      </c>
      <c r="B1467" s="1894" t="s">
        <v>3915</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4124</v>
      </c>
      <c r="D1468" s="521"/>
      <c r="E1468" s="521"/>
      <c r="F1468" s="521"/>
      <c r="G1468" s="1894">
        <f>'Part VIII-Threshold Criteria'!J378</f>
        <v>0</v>
      </c>
      <c r="H1468" s="1894">
        <f>'Part VIII-Threshold Criteria'!K378</f>
        <v>0</v>
      </c>
      <c r="I1468" s="1894">
        <f>'Part VIII-Threshold Criteria'!L378</f>
        <v>0</v>
      </c>
      <c r="J1468" s="1895" t="s">
        <v>3922</v>
      </c>
      <c r="K1468" s="1894">
        <f>'Part VIII-Threshold Criteria'!J379</f>
        <v>0</v>
      </c>
      <c r="L1468" s="1894">
        <f>'Part VIII-Threshold Criteria'!K379</f>
        <v>0</v>
      </c>
      <c r="M1468" s="1894">
        <f>'Part VIII-Threshold Criteria'!L379</f>
        <v>0</v>
      </c>
      <c r="N1468" s="521" t="s">
        <v>3914</v>
      </c>
      <c r="O1468" s="521"/>
      <c r="P1468" s="1894">
        <f>'Part VIII-Threshold Criteria'!P378</f>
        <v>0</v>
      </c>
      <c r="Q1468" s="1894">
        <f>'Part VIII-Threshold Criteria'!Q378</f>
        <v>0</v>
      </c>
    </row>
    <row r="1469" spans="1:17">
      <c r="A1469" s="1631"/>
      <c r="B1469" s="521" t="s">
        <v>1738</v>
      </c>
      <c r="C1469" s="521" t="s">
        <v>3916</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3917</v>
      </c>
      <c r="D1470" s="1630"/>
      <c r="E1470" s="1867"/>
      <c r="F1470" s="1966" t="str">
        <f>'Part VIII-Threshold Criteria'!J381</f>
        <v>Urban</v>
      </c>
      <c r="G1470" s="1966">
        <f>'Part VIII-Threshold Criteria'!K381</f>
        <v>0</v>
      </c>
      <c r="H1470" s="1834" t="s">
        <v>3918</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2364</v>
      </c>
      <c r="C1471" s="521" t="s">
        <v>3919</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3929</v>
      </c>
      <c r="O1471" s="1937"/>
      <c r="P1471" s="1938">
        <f>'Part VIII-Threshold Criteria'!J383</f>
        <v>0</v>
      </c>
      <c r="Q1471" s="1938">
        <f>'Part VIII-Threshold Criteria'!L383</f>
        <v>0</v>
      </c>
    </row>
    <row r="1472" spans="1:17">
      <c r="A1472" s="1935"/>
      <c r="B1472" s="521" t="s">
        <v>1549</v>
      </c>
      <c r="C1472" s="521" t="s">
        <v>3920</v>
      </c>
      <c r="D1472" s="1631"/>
      <c r="E1472" s="521"/>
      <c r="F1472" s="1967">
        <f>'Part VIII-Threshold Criteria'!F384</f>
        <v>1213455</v>
      </c>
      <c r="G1472" s="1967">
        <f>'Part VIII-Threshold Criteria'!G384</f>
        <v>0</v>
      </c>
      <c r="H1472" s="521" t="s">
        <v>3921</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3923</v>
      </c>
      <c r="D1473" s="1631"/>
      <c r="E1473" s="521"/>
      <c r="F1473" s="521"/>
      <c r="G1473" s="521"/>
      <c r="H1473" s="521" t="s">
        <v>3592</v>
      </c>
      <c r="I1473" s="521"/>
      <c r="J1473" s="1967">
        <f>'Part VIII-Threshold Criteria'!J385</f>
        <v>0</v>
      </c>
      <c r="K1473" s="1967">
        <f>'Part VIII-Threshold Criteria'!K385</f>
        <v>0</v>
      </c>
      <c r="L1473" s="521" t="s">
        <v>3924</v>
      </c>
      <c r="M1473" s="1967">
        <f>'Part VIII-Threshold Criteria'!L385</f>
        <v>0</v>
      </c>
      <c r="N1473" s="1967">
        <f>'Part VIII-Threshold Criteria'!M385</f>
        <v>0</v>
      </c>
      <c r="O1473" s="1631"/>
      <c r="P1473" s="1631"/>
      <c r="Q1473" s="1631"/>
    </row>
    <row r="1474" spans="1:17">
      <c r="A1474" s="1631"/>
      <c r="B1474" s="521" t="s">
        <v>98</v>
      </c>
      <c r="C1474" s="521" t="s">
        <v>3925</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1984</v>
      </c>
      <c r="B1476" s="1894" t="s">
        <v>3926</v>
      </c>
      <c r="C1476" s="1631"/>
      <c r="D1476" s="1867"/>
      <c r="E1476" s="1867"/>
      <c r="F1476" s="1867"/>
      <c r="G1476" s="1867"/>
      <c r="H1476" s="1867"/>
      <c r="I1476" s="1631"/>
      <c r="J1476" s="521" t="s">
        <v>3931</v>
      </c>
      <c r="K1476" s="521"/>
      <c r="L1476" s="521"/>
      <c r="M1476" s="521"/>
      <c r="N1476" s="1867" t="s">
        <v>3928</v>
      </c>
      <c r="O1476" s="1867"/>
      <c r="P1476" s="1867"/>
      <c r="Q1476" s="1867"/>
    </row>
    <row r="1477" spans="1:17">
      <c r="A1477" s="1631"/>
      <c r="B1477" s="521" t="s">
        <v>1737</v>
      </c>
      <c r="C1477" s="1841" t="s">
        <v>3927</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3930</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3932</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3753</v>
      </c>
      <c r="D1480" s="1842"/>
      <c r="E1480" s="1842"/>
      <c r="F1480" s="1842"/>
      <c r="G1480" s="1842"/>
      <c r="H1480" s="1841"/>
      <c r="I1480" s="1895"/>
      <c r="J1480" s="1895"/>
      <c r="K1480" s="1895"/>
      <c r="L1480" s="1812"/>
      <c r="M1480" s="1812"/>
      <c r="N1480" s="1812"/>
      <c r="O1480" s="1812"/>
      <c r="P1480" s="1812"/>
      <c r="Q1480" s="1812"/>
    </row>
    <row r="1481" spans="1:17">
      <c r="A1481" s="1900" t="str">
        <f>'Part VIII-Threshold Criteria'!A394</f>
        <v>N/A</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1865</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4108</v>
      </c>
      <c r="B1486" s="1629" t="s">
        <v>2683</v>
      </c>
      <c r="C1486" s="1629"/>
      <c r="D1486" s="1629"/>
      <c r="E1486" s="1629"/>
      <c r="F1486" s="1629"/>
      <c r="G1486" s="1629"/>
      <c r="H1486" s="1899"/>
      <c r="I1486" s="1899"/>
      <c r="J1486" s="1899"/>
      <c r="O1486" s="1896" t="s">
        <v>1866</v>
      </c>
      <c r="P1486" s="1820">
        <f>'Part VIII-Threshold Criteria'!P399</f>
        <v>0</v>
      </c>
      <c r="Q1486" s="1820">
        <f>'Part VIII-Threshold Criteria'!Q399</f>
        <v>0</v>
      </c>
    </row>
    <row r="1487" spans="1:17">
      <c r="A1487" s="1935" t="s">
        <v>1982</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2670</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1984</v>
      </c>
      <c r="B1488" s="521" t="s">
        <v>3463</v>
      </c>
      <c r="D1488" s="521"/>
      <c r="E1488" s="521"/>
      <c r="F1488" s="521"/>
      <c r="G1488" s="521"/>
      <c r="H1488" s="521"/>
      <c r="I1488" s="521"/>
      <c r="J1488" s="521"/>
      <c r="K1488" s="521"/>
      <c r="L1488" s="1841"/>
      <c r="M1488" s="1841"/>
      <c r="O1488" s="1937" t="s">
        <v>1984</v>
      </c>
      <c r="P1488" s="1938">
        <f>'Part VIII-Threshold Criteria'!P401</f>
        <v>0</v>
      </c>
      <c r="Q1488" s="1938">
        <f>'Part VIII-Threshold Criteria'!Q401</f>
        <v>0</v>
      </c>
    </row>
    <row r="1489" spans="1:17" ht="12.75" customHeight="1">
      <c r="A1489" s="1933" t="s">
        <v>749</v>
      </c>
      <c r="B1489" s="1900" t="s">
        <v>3473</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c r="A1490" s="1935" t="s">
        <v>2114</v>
      </c>
      <c r="B1490" s="1216" t="s">
        <v>3697</v>
      </c>
      <c r="G1490" s="1834"/>
      <c r="H1490" s="1834"/>
      <c r="I1490" s="1834"/>
      <c r="J1490" s="1841" t="s">
        <v>3698</v>
      </c>
      <c r="L1490" s="1834"/>
      <c r="M1490" s="1970">
        <f>'Part III-Sources of Funds'!E1105</f>
        <v>0</v>
      </c>
      <c r="N1490" s="1970"/>
      <c r="O1490" s="1937" t="s">
        <v>2114</v>
      </c>
      <c r="P1490" s="1938">
        <f>'Part VIII-Threshold Criteria'!P403</f>
        <v>0</v>
      </c>
      <c r="Q1490" s="1938">
        <f>'Part VIII-Threshold Criteria'!Q403</f>
        <v>0</v>
      </c>
    </row>
    <row r="1491" spans="1:17">
      <c r="B1491" s="1842" t="s">
        <v>3753</v>
      </c>
      <c r="D1491" s="1842"/>
      <c r="E1491" s="1842"/>
      <c r="F1491" s="1842"/>
      <c r="G1491" s="1842"/>
      <c r="H1491" s="1841"/>
      <c r="I1491" s="1895"/>
      <c r="J1491" s="1895"/>
      <c r="K1491" s="1895"/>
      <c r="L1491" s="1812"/>
      <c r="M1491" s="1812"/>
      <c r="N1491" s="1812"/>
      <c r="O1491" s="1812"/>
      <c r="P1491" s="1812"/>
      <c r="Q1491" s="1812"/>
    </row>
    <row r="1492" spans="1:17">
      <c r="A1492" s="1900" t="str">
        <f>'Part VIII-Threshold Criteria'!A405</f>
        <v>N/A</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1865</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4109</v>
      </c>
      <c r="B1496" s="1629" t="s">
        <v>2667</v>
      </c>
      <c r="C1496" s="1629"/>
      <c r="D1496" s="1629"/>
      <c r="E1496" s="1899"/>
      <c r="G1496" s="1921" t="s">
        <v>701</v>
      </c>
      <c r="H1496" s="1899"/>
      <c r="I1496" s="1899"/>
      <c r="J1496" s="1899"/>
      <c r="K1496" s="1899"/>
      <c r="L1496" s="1899"/>
      <c r="M1496" s="1899"/>
      <c r="O1496" s="1896" t="s">
        <v>1866</v>
      </c>
      <c r="P1496" s="1820">
        <f>'Part VIII-Threshold Criteria'!P409</f>
        <v>0</v>
      </c>
      <c r="Q1496" s="1820">
        <f>'Part VIII-Threshold Criteria'!Q409</f>
        <v>0</v>
      </c>
    </row>
    <row r="1497" spans="1:17">
      <c r="A1497" s="1935" t="s">
        <v>1982</v>
      </c>
      <c r="B1497" s="521" t="s">
        <v>2672</v>
      </c>
      <c r="D1497" s="1900"/>
      <c r="E1497" s="1900"/>
      <c r="H1497" s="1921"/>
      <c r="O1497" s="1937" t="s">
        <v>1982</v>
      </c>
      <c r="P1497" s="1938">
        <f>'Part VIII-Threshold Criteria'!P410</f>
        <v>0</v>
      </c>
      <c r="Q1497" s="1938">
        <f>'Part VIII-Threshold Criteria'!Q410</f>
        <v>0</v>
      </c>
    </row>
    <row r="1498" spans="1:17">
      <c r="A1498" s="1935" t="s">
        <v>1984</v>
      </c>
      <c r="B1498" s="521" t="s">
        <v>3582</v>
      </c>
      <c r="D1498" s="1900"/>
      <c r="E1498" s="1900"/>
      <c r="O1498" s="1937" t="s">
        <v>1984</v>
      </c>
      <c r="P1498" s="1938">
        <f>'Part VIII-Threshold Criteria'!P411</f>
        <v>0</v>
      </c>
      <c r="Q1498" s="1938">
        <f>'Part VIII-Threshold Criteria'!Q411</f>
        <v>0</v>
      </c>
    </row>
    <row r="1499" spans="1:17">
      <c r="A1499" s="1935" t="s">
        <v>749</v>
      </c>
      <c r="B1499" s="521" t="s">
        <v>4078</v>
      </c>
      <c r="D1499" s="1900"/>
      <c r="E1499" s="1900"/>
      <c r="O1499" s="1937" t="s">
        <v>749</v>
      </c>
      <c r="P1499" s="1938">
        <f>'Part VIII-Threshold Criteria'!P412</f>
        <v>0</v>
      </c>
      <c r="Q1499" s="1938">
        <f>'Part VIII-Threshold Criteria'!Q412</f>
        <v>0</v>
      </c>
    </row>
    <row r="1500" spans="1:17">
      <c r="A1500" s="1935" t="s">
        <v>2114</v>
      </c>
      <c r="B1500" s="521" t="s">
        <v>3583</v>
      </c>
      <c r="E1500" s="1921"/>
      <c r="O1500" s="1937" t="s">
        <v>2114</v>
      </c>
      <c r="P1500" s="1938">
        <f>'Part VIII-Threshold Criteria'!P413</f>
        <v>0</v>
      </c>
      <c r="Q1500" s="1938">
        <f>'Part VIII-Threshold Criteria'!Q413</f>
        <v>0</v>
      </c>
    </row>
    <row r="1501" spans="1:17">
      <c r="A1501" s="1935" t="s">
        <v>1735</v>
      </c>
      <c r="B1501" s="521" t="s">
        <v>2078</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3753</v>
      </c>
      <c r="D1502" s="1842"/>
      <c r="E1502" s="1842"/>
      <c r="F1502" s="1842"/>
      <c r="G1502" s="1842"/>
      <c r="H1502" s="1841"/>
      <c r="I1502" s="1895"/>
      <c r="J1502" s="1895"/>
      <c r="K1502" s="1895"/>
      <c r="L1502" s="1812"/>
      <c r="M1502" s="1812"/>
      <c r="N1502" s="1812"/>
      <c r="O1502" s="1812"/>
      <c r="P1502" s="1812"/>
      <c r="Q1502" s="1812"/>
    </row>
    <row r="1503" spans="1:17" ht="45">
      <c r="A1503" s="1900" t="str">
        <f>'Part VIII-Threshold Criteria'!A416</f>
        <v>No legal opinions are required.</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1865</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4110</v>
      </c>
      <c r="B1507" s="1629" t="s">
        <v>2668</v>
      </c>
      <c r="C1507" s="1629"/>
      <c r="D1507" s="1629"/>
      <c r="E1507" s="1629"/>
      <c r="F1507" s="1629"/>
      <c r="G1507" s="1629"/>
      <c r="H1507" s="1899"/>
      <c r="I1507" s="1899"/>
      <c r="J1507" s="1899"/>
      <c r="K1507" s="1899"/>
      <c r="L1507" s="1899"/>
      <c r="M1507" s="1899"/>
      <c r="O1507" s="1896" t="s">
        <v>1866</v>
      </c>
      <c r="P1507" s="1820">
        <f>'Part VIII-Threshold Criteria'!P420</f>
        <v>0</v>
      </c>
      <c r="Q1507" s="1820">
        <f>'Part VIII-Threshold Criteria'!Q420</f>
        <v>0</v>
      </c>
    </row>
    <row r="1508" spans="1:17">
      <c r="A1508" s="1935" t="s">
        <v>1982</v>
      </c>
      <c r="B1508" s="521" t="s">
        <v>752</v>
      </c>
      <c r="D1508" s="1631"/>
      <c r="E1508" s="1631"/>
      <c r="F1508" s="1631"/>
      <c r="G1508" s="1631"/>
      <c r="H1508" s="1631"/>
      <c r="I1508" s="1631"/>
      <c r="J1508" s="1631"/>
      <c r="K1508" s="1631"/>
      <c r="L1508" s="1631"/>
      <c r="M1508" s="1631"/>
      <c r="N1508" s="1631"/>
      <c r="O1508" s="1937" t="s">
        <v>1982</v>
      </c>
      <c r="P1508" s="1938" t="str">
        <f>'Part VIII-Threshold Criteria'!P421</f>
        <v>No</v>
      </c>
      <c r="Q1508" s="1938">
        <f>'Part VIII-Threshold Criteria'!Q421</f>
        <v>0</v>
      </c>
    </row>
    <row r="1509" spans="1:17">
      <c r="A1509" s="1935" t="s">
        <v>1984</v>
      </c>
      <c r="B1509" s="521" t="s">
        <v>3475</v>
      </c>
      <c r="D1509" s="1631"/>
      <c r="E1509" s="1631"/>
      <c r="F1509" s="1631"/>
      <c r="G1509" s="1631"/>
      <c r="H1509" s="1631"/>
      <c r="I1509" s="1631"/>
      <c r="J1509" s="1631"/>
      <c r="K1509" s="1631"/>
      <c r="L1509" s="1631"/>
      <c r="M1509" s="1631"/>
      <c r="N1509" s="1631"/>
      <c r="O1509" s="1937" t="s">
        <v>1446</v>
      </c>
      <c r="P1509" s="1938" t="str">
        <f>'Part VIII-Threshold Criteria'!P422</f>
        <v>No</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3474</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c r="A1512" s="1935"/>
      <c r="B1512" s="521" t="s">
        <v>3571</v>
      </c>
      <c r="C1512" s="521" t="s">
        <v>3572</v>
      </c>
      <c r="E1512" s="521"/>
      <c r="F1512" s="521"/>
      <c r="G1512" s="521"/>
      <c r="H1512" s="521"/>
      <c r="I1512" s="521"/>
      <c r="J1512" s="521"/>
      <c r="K1512" s="521"/>
      <c r="L1512" s="521"/>
      <c r="M1512" s="521"/>
      <c r="N1512" s="1631"/>
      <c r="O1512" s="1937" t="s">
        <v>1739</v>
      </c>
      <c r="P1512" s="1938">
        <f>'Part VIII-Threshold Criteria'!P425</f>
        <v>0</v>
      </c>
      <c r="Q1512" s="1938">
        <f>'Part VIII-Threshold Criteria'!Q425</f>
        <v>0</v>
      </c>
    </row>
    <row r="1513" spans="1:17">
      <c r="A1513" s="1935" t="s">
        <v>749</v>
      </c>
      <c r="B1513" s="521" t="s">
        <v>2200</v>
      </c>
      <c r="C1513" s="521"/>
      <c r="E1513" s="521"/>
      <c r="F1513" s="521"/>
      <c r="G1513" s="521"/>
      <c r="H1513" s="521"/>
      <c r="I1513" s="521"/>
      <c r="J1513" s="521"/>
      <c r="K1513" s="521"/>
      <c r="L1513" s="521"/>
      <c r="M1513" s="521"/>
      <c r="N1513" s="521"/>
      <c r="O1513" s="1937" t="s">
        <v>749</v>
      </c>
      <c r="P1513" s="1938">
        <f>'Part VIII-Threshold Criteria'!P426</f>
        <v>0</v>
      </c>
      <c r="Q1513" s="1938">
        <f>'Part VIII-Threshold Criteria'!Q426</f>
        <v>0</v>
      </c>
    </row>
    <row r="1514" spans="1:17">
      <c r="A1514" s="1935" t="s">
        <v>2114</v>
      </c>
      <c r="B1514" s="1841" t="s">
        <v>2814</v>
      </c>
      <c r="C1514" s="1841"/>
      <c r="E1514" s="1841"/>
      <c r="F1514" s="1841"/>
      <c r="G1514" s="1841"/>
      <c r="H1514" s="1841"/>
      <c r="I1514" s="1841"/>
      <c r="J1514" s="1841"/>
      <c r="K1514" s="1841"/>
      <c r="L1514" s="1841"/>
      <c r="M1514" s="1841"/>
      <c r="N1514" s="1631"/>
      <c r="O1514" s="1937"/>
      <c r="P1514" s="1631"/>
      <c r="Q1514" s="1631"/>
    </row>
    <row r="1515" spans="1:17">
      <c r="A1515" s="1935"/>
      <c r="B1515" s="521" t="s">
        <v>2201</v>
      </c>
      <c r="C1515" s="521"/>
      <c r="E1515" s="1631"/>
      <c r="F1515" s="1841"/>
      <c r="G1515" s="1812">
        <f>'Part VIII-Threshold Criteria'!J427</f>
        <v>0</v>
      </c>
      <c r="H1515" s="1633">
        <f>'Part VIII-Threshold Criteria'!K427</f>
        <v>0</v>
      </c>
      <c r="J1515" s="521" t="s">
        <v>2204</v>
      </c>
      <c r="K1515" s="1841"/>
      <c r="N1515" s="1812">
        <f>'Part VIII-Threshold Criteria'!P427</f>
        <v>0</v>
      </c>
      <c r="O1515" s="1633">
        <f>'Part VIII-Threshold Criteria'!Q427</f>
        <v>0</v>
      </c>
    </row>
    <row r="1516" spans="1:17">
      <c r="A1516" s="1935"/>
      <c r="B1516" s="521" t="s">
        <v>2202</v>
      </c>
      <c r="C1516" s="521"/>
      <c r="E1516" s="1631"/>
      <c r="F1516" s="1841"/>
      <c r="G1516" s="1812">
        <f>'Part VIII-Threshold Criteria'!J428</f>
        <v>0</v>
      </c>
      <c r="H1516" s="1633">
        <f>'Part VIII-Threshold Criteria'!K428</f>
        <v>0</v>
      </c>
      <c r="J1516" s="521" t="s">
        <v>2205</v>
      </c>
      <c r="K1516" s="1841"/>
      <c r="N1516" s="1812">
        <f>'Part VIII-Threshold Criteria'!P428</f>
        <v>0</v>
      </c>
      <c r="O1516" s="1633">
        <f>'Part VIII-Threshold Criteria'!Q428</f>
        <v>0</v>
      </c>
    </row>
    <row r="1517" spans="1:17">
      <c r="A1517" s="1935"/>
      <c r="B1517" s="521" t="s">
        <v>2203</v>
      </c>
      <c r="C1517" s="521"/>
      <c r="E1517" s="1631"/>
      <c r="F1517" s="1841"/>
      <c r="G1517" s="1812">
        <f>'Part VIII-Threshold Criteria'!J429</f>
        <v>0</v>
      </c>
      <c r="H1517" s="1633">
        <f>'Part VIII-Threshold Criteria'!K429</f>
        <v>0</v>
      </c>
      <c r="K1517" s="1841"/>
      <c r="L1517" s="1841"/>
      <c r="M1517" s="1841"/>
      <c r="N1517" s="1631"/>
      <c r="O1517" s="1937"/>
    </row>
    <row r="1518" spans="1:17">
      <c r="A1518" s="1935" t="s">
        <v>1735</v>
      </c>
      <c r="B1518" s="1841" t="s">
        <v>2384</v>
      </c>
      <c r="C1518" s="1841"/>
      <c r="E1518" s="1841"/>
      <c r="F1518" s="1841"/>
      <c r="G1518" s="1841"/>
      <c r="J1518" s="1631"/>
      <c r="K1518" s="1841"/>
      <c r="L1518" s="1841"/>
      <c r="M1518" s="1841"/>
      <c r="N1518" s="1631"/>
      <c r="O1518" s="1937"/>
      <c r="P1518" s="1937"/>
      <c r="Q1518" s="1937"/>
    </row>
    <row r="1519" spans="1:17">
      <c r="A1519" s="1631"/>
      <c r="B1519" s="1216" t="s">
        <v>2206</v>
      </c>
      <c r="C1519" s="1841"/>
      <c r="E1519" s="1841"/>
      <c r="F1519" s="1841"/>
      <c r="G1519" s="1938">
        <f>'Part VIII-Threshold Criteria'!J431</f>
        <v>0</v>
      </c>
      <c r="H1519" s="1938">
        <f>'Part VIII-Threshold Criteria'!K431</f>
        <v>0</v>
      </c>
      <c r="J1519" s="1216" t="s">
        <v>1182</v>
      </c>
      <c r="K1519" s="1841"/>
      <c r="N1519" s="1938">
        <f>'Part VIII-Threshold Criteria'!J433</f>
        <v>0</v>
      </c>
      <c r="O1519" s="1938">
        <f>'Part VIII-Threshold Criteria'!K433</f>
        <v>0</v>
      </c>
    </row>
    <row r="1520" spans="1:17">
      <c r="A1520" s="1631"/>
      <c r="B1520" s="1216" t="s">
        <v>1181</v>
      </c>
      <c r="C1520" s="1841"/>
      <c r="E1520" s="1841"/>
      <c r="F1520" s="1841"/>
      <c r="G1520" s="1938">
        <f>'Part VIII-Threshold Criteria'!J432</f>
        <v>0</v>
      </c>
      <c r="H1520" s="1938">
        <f>'Part VIII-Threshold Criteria'!K432</f>
        <v>0</v>
      </c>
      <c r="J1520" s="1216" t="s">
        <v>2252</v>
      </c>
      <c r="N1520" s="1860">
        <f>'Part VIII-Threshold Criteria'!M432</f>
        <v>0</v>
      </c>
      <c r="O1520" s="1860">
        <f>'Part VIII-Threshold Criteria'!N432</f>
        <v>0</v>
      </c>
      <c r="P1520" s="1860">
        <f>'Part VIII-Threshold Criteria'!O432</f>
        <v>0</v>
      </c>
      <c r="Q1520" s="1860">
        <f>'Part VIII-Threshold Criteria'!P432</f>
        <v>0</v>
      </c>
    </row>
    <row r="1521" spans="1:17">
      <c r="B1521" s="1842" t="s">
        <v>3753</v>
      </c>
      <c r="D1521" s="1842"/>
      <c r="E1521" s="1842"/>
      <c r="F1521" s="1842"/>
      <c r="G1521" s="1842"/>
      <c r="H1521" s="1841"/>
      <c r="I1521" s="1895"/>
      <c r="J1521" s="1895"/>
      <c r="K1521" s="1895"/>
      <c r="P1521" s="1812"/>
      <c r="Q1521" s="1812"/>
    </row>
    <row r="1522" spans="1:17" ht="56.25">
      <c r="A1522" s="1900" t="str">
        <f>'Part VIII-Threshold Criteria'!A440</f>
        <v>The site is currently undeveloped and vacant.</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1865</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4111</v>
      </c>
      <c r="B1526" s="1629" t="s">
        <v>2815</v>
      </c>
      <c r="C1526" s="1629"/>
      <c r="D1526" s="1894"/>
      <c r="E1526" s="1899"/>
      <c r="F1526" s="1899"/>
      <c r="G1526" s="1899"/>
      <c r="H1526" s="1899"/>
      <c r="O1526" s="1896" t="s">
        <v>1866</v>
      </c>
      <c r="P1526" s="1820">
        <f>'Part VIII-Threshold Criteria'!P444</f>
        <v>0</v>
      </c>
      <c r="Q1526" s="1820">
        <f>'Part VIII-Threshold Criteria'!Q444</f>
        <v>0</v>
      </c>
    </row>
    <row r="1527" spans="1:17">
      <c r="B1527" s="1894" t="s">
        <v>3933</v>
      </c>
      <c r="C1527" s="1629"/>
      <c r="D1527" s="1894"/>
      <c r="E1527" s="1899"/>
      <c r="F1527" s="1899"/>
      <c r="G1527" s="1899"/>
      <c r="H1527" s="1899"/>
    </row>
    <row r="1528" spans="1:17" ht="12.75" customHeight="1">
      <c r="A1528" s="1933" t="s">
        <v>1982</v>
      </c>
      <c r="B1528" s="1900" t="s">
        <v>3936</v>
      </c>
      <c r="C1528" s="1900"/>
      <c r="D1528" s="1900"/>
      <c r="E1528" s="1900"/>
      <c r="F1528" s="1900"/>
      <c r="G1528" s="1900"/>
      <c r="H1528" s="1900"/>
      <c r="I1528" s="1900"/>
      <c r="J1528" s="1900"/>
      <c r="K1528" s="1900"/>
      <c r="L1528" s="1900"/>
      <c r="M1528" s="1900"/>
      <c r="N1528" s="1900"/>
      <c r="O1528" s="1944" t="s">
        <v>1982</v>
      </c>
      <c r="P1528" s="1945" t="str">
        <f>'Part VIII-Threshold Criteria'!P446</f>
        <v>Agree</v>
      </c>
      <c r="Q1528" s="1945">
        <f>'Part VIII-Threshold Criteria'!Q446</f>
        <v>0</v>
      </c>
    </row>
    <row r="1529" spans="1:17" ht="12.75" customHeight="1">
      <c r="A1529" s="1933" t="s">
        <v>1984</v>
      </c>
      <c r="B1529" s="1900" t="s">
        <v>3934</v>
      </c>
      <c r="C1529" s="1900"/>
      <c r="D1529" s="1900"/>
      <c r="E1529" s="1900"/>
      <c r="F1529" s="1900"/>
      <c r="G1529" s="1900"/>
      <c r="H1529" s="1900"/>
      <c r="I1529" s="1900"/>
      <c r="J1529" s="1900"/>
      <c r="K1529" s="1900"/>
      <c r="L1529" s="1900"/>
      <c r="M1529" s="1900"/>
      <c r="N1529" s="1900"/>
      <c r="O1529" s="1944" t="s">
        <v>1984</v>
      </c>
      <c r="P1529" s="1945" t="str">
        <f>'Part VIII-Threshold Criteria'!P447</f>
        <v>Agree</v>
      </c>
      <c r="Q1529" s="1945">
        <f>'Part VIII-Threshold Criteria'!Q447</f>
        <v>0</v>
      </c>
    </row>
    <row r="1530" spans="1:17" ht="12.75" customHeight="1">
      <c r="A1530" s="1913"/>
      <c r="B1530" s="1900" t="s">
        <v>3935</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c r="A1531" s="1913"/>
      <c r="B1531" s="1921" t="s">
        <v>3937</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c r="A1532" s="1913"/>
      <c r="B1532" s="1900" t="s">
        <v>3938</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c r="A1533" s="1913"/>
      <c r="B1533" s="1900" t="s">
        <v>3939</v>
      </c>
      <c r="C1533" s="1900"/>
      <c r="D1533" s="1900"/>
      <c r="E1533" s="1900"/>
      <c r="F1533" s="1900"/>
      <c r="G1533" s="1900"/>
      <c r="H1533" s="1900"/>
      <c r="I1533" s="1900"/>
      <c r="J1533" s="1900"/>
      <c r="K1533" s="1900"/>
      <c r="L1533" s="1900"/>
      <c r="M1533" s="1900"/>
      <c r="N1533" s="1900"/>
      <c r="O1533" s="1944" t="s">
        <v>2364</v>
      </c>
      <c r="P1533" s="1945" t="str">
        <f>'Part VIII-Threshold Criteria'!P451</f>
        <v>Agree</v>
      </c>
      <c r="Q1533" s="1945">
        <f>'Part VIII-Threshold Criteria'!Q451</f>
        <v>0</v>
      </c>
    </row>
    <row r="1534" spans="1:17" ht="12.75" customHeight="1">
      <c r="A1534" s="1933" t="s">
        <v>749</v>
      </c>
      <c r="B1534" s="1900" t="s">
        <v>3940</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c r="A1535" s="1933" t="s">
        <v>2114</v>
      </c>
      <c r="B1535" s="1900" t="s">
        <v>3941</v>
      </c>
      <c r="C1535" s="1900"/>
      <c r="D1535" s="1900"/>
      <c r="E1535" s="1900"/>
      <c r="F1535" s="1900"/>
      <c r="G1535" s="1900"/>
      <c r="H1535" s="1900"/>
      <c r="I1535" s="1900"/>
      <c r="J1535" s="1900"/>
      <c r="K1535" s="1900"/>
      <c r="L1535" s="1900"/>
      <c r="M1535" s="1900"/>
      <c r="N1535" s="1900"/>
      <c r="O1535" s="1944" t="s">
        <v>2114</v>
      </c>
      <c r="P1535" s="1945" t="str">
        <f>'Part VIII-Threshold Criteria'!P453</f>
        <v>Agree</v>
      </c>
      <c r="Q1535" s="1945">
        <f>'Part VIII-Threshold Criteria'!Q453</f>
        <v>0</v>
      </c>
    </row>
    <row r="1536" spans="1:17" ht="12.75" customHeight="1">
      <c r="A1536" s="1933" t="s">
        <v>1735</v>
      </c>
      <c r="B1536" s="1900" t="s">
        <v>3942</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c r="A1537" s="1933" t="s">
        <v>1736</v>
      </c>
      <c r="B1537" s="1900" t="s">
        <v>3476</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c r="B1538" s="1842" t="s">
        <v>3753</v>
      </c>
      <c r="D1538" s="1842"/>
      <c r="E1538" s="1842"/>
      <c r="F1538" s="1842"/>
      <c r="G1538" s="1842"/>
      <c r="H1538" s="1841"/>
      <c r="I1538" s="1895"/>
      <c r="J1538" s="1895"/>
      <c r="K1538" s="1895"/>
      <c r="L1538" s="1812"/>
      <c r="M1538" s="1812"/>
      <c r="N1538" s="1812"/>
      <c r="O1538" s="1812"/>
      <c r="P1538" s="1812"/>
      <c r="Q1538" s="1812"/>
    </row>
    <row r="1539" spans="1:17" ht="78.75">
      <c r="A1539" s="1900" t="str">
        <f>'Part VIII-Threshold Criteria'!A457</f>
        <v>The Applicant agrees to submit a marketing plan for AFFH.</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1865</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4112</v>
      </c>
      <c r="B1543" s="1629" t="s">
        <v>2669</v>
      </c>
      <c r="C1543" s="1629"/>
      <c r="D1543" s="1894"/>
      <c r="E1543" s="1899"/>
      <c r="F1543" s="1899"/>
      <c r="G1543" s="1899"/>
      <c r="H1543" s="1899"/>
      <c r="I1543" s="1899"/>
      <c r="J1543" s="1899"/>
      <c r="K1543" s="1899"/>
      <c r="L1543" s="1899"/>
      <c r="M1543" s="1899"/>
      <c r="O1543" s="1896" t="s">
        <v>1866</v>
      </c>
      <c r="P1543" s="1820">
        <f>'Part VIII-Threshold Criteria'!P478</f>
        <v>0</v>
      </c>
      <c r="Q1543" s="1820">
        <f>'Part VIII-Threshold Criteria'!Q478</f>
        <v>0</v>
      </c>
    </row>
    <row r="1544" spans="1:17">
      <c r="A1544" s="1805"/>
      <c r="B1544" s="1842" t="s">
        <v>3753</v>
      </c>
      <c r="D1544" s="1842"/>
      <c r="E1544" s="1842"/>
      <c r="F1544" s="1842"/>
      <c r="G1544" s="1842"/>
      <c r="H1544" s="1841"/>
      <c r="I1544" s="1895"/>
      <c r="J1544" s="1895"/>
      <c r="K1544" s="1895"/>
      <c r="L1544" s="1812"/>
      <c r="M1544" s="1812"/>
      <c r="N1544" s="1812"/>
      <c r="O1544" s="1812"/>
      <c r="P1544" s="1812"/>
      <c r="Q1544" s="1812"/>
    </row>
    <row r="1545" spans="1:17" ht="123.75">
      <c r="A1545" s="1900" t="str">
        <f>'Part VIII-Threshold Criteria'!A480</f>
        <v>The project is an effective, efficient, and lawful allocation and utilization of the Housing Credit Program.</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1865</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2019-5 55 Milton,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4552</v>
      </c>
      <c r="B1557" s="1830"/>
      <c r="C1557" s="1830"/>
      <c r="D1557" s="1830"/>
      <c r="E1557" s="1830"/>
      <c r="F1557" s="1830"/>
      <c r="G1557" s="1830"/>
      <c r="H1557" s="1830"/>
      <c r="I1557" s="1830"/>
      <c r="J1557" s="1830"/>
      <c r="K1557" s="1830"/>
      <c r="L1557" s="1830"/>
      <c r="M1557" s="1818" t="s">
        <v>2218</v>
      </c>
      <c r="N1557" s="1630"/>
      <c r="O1557" s="1813" t="s">
        <v>2217</v>
      </c>
      <c r="P1557" s="1813" t="s">
        <v>256</v>
      </c>
      <c r="Q1557" s="1631"/>
      <c r="R1557" s="1631"/>
      <c r="S1557" s="1631"/>
      <c r="T1557" s="1631"/>
      <c r="U1557" s="1631"/>
      <c r="V1557" s="1631"/>
      <c r="W1557" s="1631"/>
      <c r="X1557" s="1631"/>
      <c r="Y1557" s="1631"/>
      <c r="Z1557" s="1631"/>
    </row>
    <row r="1558" spans="1:26" ht="14.25">
      <c r="A1558" s="1830"/>
      <c r="B1558" s="1830"/>
      <c r="C1558" s="1830"/>
      <c r="D1558" s="1830"/>
      <c r="E1558" s="1830"/>
      <c r="F1558" s="1830"/>
      <c r="G1558" s="1830"/>
      <c r="H1558" s="1830"/>
      <c r="I1558" s="1830"/>
      <c r="J1558" s="1830"/>
      <c r="K1558" s="1830"/>
      <c r="L1558" s="1830"/>
      <c r="M1558" s="1818" t="s">
        <v>93</v>
      </c>
      <c r="N1558" s="1629"/>
      <c r="O1558" s="1813" t="s">
        <v>2218</v>
      </c>
      <c r="P1558" s="1813" t="s">
        <v>2218</v>
      </c>
      <c r="Q1558" s="1972"/>
      <c r="R1558" s="1631"/>
      <c r="S1558" s="1631"/>
      <c r="T1558" s="1631"/>
      <c r="U1558" s="1631"/>
      <c r="V1558" s="1631"/>
      <c r="W1558" s="1972"/>
      <c r="X1558" s="1972"/>
      <c r="Y1558" s="1972"/>
      <c r="Z1558" s="1972"/>
    </row>
    <row r="1559" spans="1:26" ht="14.2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7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616</v>
      </c>
      <c r="B1562" s="1978" t="s">
        <v>2783</v>
      </c>
      <c r="C1562" s="1629"/>
      <c r="D1562" s="1629"/>
      <c r="E1562" s="1629"/>
      <c r="F1562" s="1895"/>
      <c r="G1562" s="1631"/>
      <c r="H1562" s="1866" t="s">
        <v>4553</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1982</v>
      </c>
      <c r="B1564" s="1820" t="s">
        <v>1867</v>
      </c>
      <c r="C1564" s="1631"/>
      <c r="D1564" s="1634"/>
      <c r="E1564" s="1634"/>
      <c r="F1564" s="1895"/>
      <c r="G1564" s="1631"/>
      <c r="H1564" s="1652" t="s">
        <v>3648</v>
      </c>
      <c r="I1564" s="1631"/>
      <c r="J1564" s="1631"/>
      <c r="K1564" s="1631"/>
      <c r="L1564" s="1631"/>
      <c r="M1564" s="1630"/>
      <c r="N1564" s="1937" t="s">
        <v>1982</v>
      </c>
      <c r="O1564" s="1816">
        <f>'Part IX Scoring Criteria'!O25</f>
        <v>0</v>
      </c>
      <c r="P1564" s="1816">
        <f>F1569</f>
        <v>0</v>
      </c>
      <c r="Q1564" s="1631"/>
      <c r="R1564" s="1631"/>
      <c r="S1564" s="1631"/>
      <c r="T1564" s="1631"/>
      <c r="U1564" s="1631"/>
      <c r="V1564" s="1631"/>
      <c r="W1564" s="1631"/>
      <c r="X1564" s="1631"/>
      <c r="Y1564" s="1631"/>
      <c r="Z1564" s="1631"/>
    </row>
    <row r="1565" spans="1:26" ht="15">
      <c r="A1565" s="1825"/>
      <c r="B1565" s="1976"/>
      <c r="C1565" s="1634" t="s">
        <v>2112</v>
      </c>
      <c r="D1565" s="1634"/>
      <c r="E1565" s="1634"/>
      <c r="F1565" s="1895"/>
      <c r="G1565" s="1976"/>
      <c r="H1565" s="1652" t="s">
        <v>2764</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1984</v>
      </c>
      <c r="B1566" s="1820" t="s">
        <v>726</v>
      </c>
      <c r="C1566" s="1631"/>
      <c r="D1566" s="1634"/>
      <c r="E1566" s="1634"/>
      <c r="F1566" s="1895"/>
      <c r="G1566" s="1631"/>
      <c r="H1566" s="1652" t="s">
        <v>4554</v>
      </c>
      <c r="I1566" s="1631"/>
      <c r="J1566" s="1866"/>
      <c r="K1566" s="1631"/>
      <c r="L1566" s="1631"/>
      <c r="M1566" s="1630"/>
      <c r="N1566" s="1937" t="s">
        <v>1984</v>
      </c>
      <c r="O1566" s="1816">
        <f>'Part IX Scoring Criteria'!O30</f>
        <v>0</v>
      </c>
      <c r="P1566" s="1816">
        <f>O1569</f>
        <v>0</v>
      </c>
      <c r="Q1566" s="1631"/>
      <c r="R1566" s="1631"/>
      <c r="S1566" s="1631"/>
      <c r="T1566" s="1631"/>
      <c r="U1566" s="1631"/>
      <c r="V1566" s="1631"/>
      <c r="W1566" s="1631"/>
      <c r="X1566" s="1631"/>
      <c r="Y1566" s="1631"/>
      <c r="Z1566" s="1631"/>
    </row>
    <row r="1567" spans="1:26" ht="20.25">
      <c r="A1567" s="1866"/>
      <c r="B1567" s="1631"/>
      <c r="C1567" s="1634" t="s">
        <v>4142</v>
      </c>
      <c r="D1567" s="521"/>
      <c r="E1567" s="521"/>
      <c r="F1567" s="521"/>
      <c r="G1567" s="1866"/>
      <c r="H1567" s="1652" t="s">
        <v>4554</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3842</v>
      </c>
      <c r="B1568" s="1830"/>
      <c r="C1568" s="1830"/>
      <c r="D1568" s="1830"/>
      <c r="E1568" s="1830"/>
      <c r="F1568" s="1895" t="s">
        <v>4144</v>
      </c>
      <c r="G1568" s="1631"/>
      <c r="H1568" s="1631"/>
      <c r="I1568" s="1631"/>
      <c r="J1568" s="1895" t="s">
        <v>4144</v>
      </c>
      <c r="K1568" s="1895"/>
      <c r="L1568" s="1631"/>
      <c r="M1568" s="1631"/>
      <c r="N1568" s="1631"/>
      <c r="O1568" s="521" t="s">
        <v>4144</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3584</v>
      </c>
      <c r="H1569" s="1966"/>
      <c r="I1569" s="1966"/>
      <c r="J1569" s="1813">
        <f>SUM(J1570:J1581)</f>
        <v>0</v>
      </c>
      <c r="K1569" s="1894" t="s">
        <v>3371</v>
      </c>
      <c r="L1569" s="1894"/>
      <c r="M1569" s="1894"/>
      <c r="N1569" s="1894"/>
      <c r="O1569" s="1629">
        <f>SUM(O1570:O1581)</f>
        <v>0</v>
      </c>
      <c r="P1569" s="1629"/>
      <c r="Q1569" s="1980"/>
      <c r="R1569" s="1981"/>
      <c r="S1569" s="1631"/>
      <c r="T1569" s="1631"/>
      <c r="U1569" s="1631"/>
      <c r="V1569" s="1631"/>
      <c r="W1569" s="1631"/>
      <c r="X1569" s="1631"/>
      <c r="Y1569" s="1631"/>
      <c r="Z1569" s="1631"/>
    </row>
    <row r="1570" spans="1:26" ht="20.2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2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2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2904</v>
      </c>
      <c r="K1572" s="1890">
        <f>'Part IX Scoring Criteria'!K36</f>
        <v>3</v>
      </c>
      <c r="L1572" s="1890">
        <f>'Part IX Scoring Criteria'!L36</f>
        <v>0</v>
      </c>
      <c r="M1572" s="1890">
        <f>'Part IX Scoring Criteria'!M36</f>
        <v>0</v>
      </c>
      <c r="N1572" s="1890">
        <f>'Part IX Scoring Criteria'!N36</f>
        <v>0</v>
      </c>
      <c r="O1572" s="1965" t="s">
        <v>2904</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2904</v>
      </c>
      <c r="P1573" s="1965"/>
      <c r="Q1573" s="1984"/>
      <c r="R1573" s="1981"/>
      <c r="S1573" s="1631"/>
      <c r="T1573" s="1631"/>
      <c r="U1573" s="1631"/>
      <c r="V1573" s="1631"/>
      <c r="W1573" s="1631"/>
      <c r="X1573" s="1631"/>
      <c r="Y1573" s="1631"/>
      <c r="Z1573" s="1631"/>
    </row>
    <row r="1574" spans="1:26" ht="20.2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3585</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2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2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3586</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2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2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3587</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2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2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3588</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4555</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25">
      <c r="A1583" s="1652" t="s">
        <v>4145</v>
      </c>
      <c r="B1583" s="521" t="s">
        <v>4146</v>
      </c>
      <c r="C1583" s="521"/>
      <c r="D1583" s="521"/>
      <c r="E1583" s="1741" t="s">
        <v>4173</v>
      </c>
      <c r="F1583" s="521" t="s">
        <v>4172</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25">
      <c r="A1584" s="1990" t="s">
        <v>742</v>
      </c>
      <c r="B1584" s="1218" t="s">
        <v>4147</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4148</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4149</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2904</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4150</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2904</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4151</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3789</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2250</v>
      </c>
      <c r="B1590" s="1218" t="s">
        <v>4152</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4456</v>
      </c>
      <c r="B1591" s="1218" t="s">
        <v>4457</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4100</v>
      </c>
      <c r="B1592" s="1218" t="s">
        <v>4153</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4101</v>
      </c>
      <c r="B1593" s="1218" t="s">
        <v>4154</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4099</v>
      </c>
      <c r="B1594" s="1218" t="s">
        <v>4155</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4102</v>
      </c>
      <c r="B1595" s="1218" t="s">
        <v>4156</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c r="A1597" s="1977" t="s">
        <v>740</v>
      </c>
      <c r="B1597" s="1978" t="s">
        <v>3589</v>
      </c>
      <c r="C1597" s="1993"/>
      <c r="D1597" s="1993"/>
      <c r="E1597" s="521"/>
      <c r="F1597" s="1993"/>
      <c r="G1597" s="1894"/>
      <c r="H1597" s="521"/>
      <c r="I1597" s="1994" t="s">
        <v>3489</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1982</v>
      </c>
      <c r="B1599" s="1998" t="s">
        <v>2624</v>
      </c>
      <c r="C1599" s="1976"/>
      <c r="D1599" s="1976"/>
      <c r="E1599" s="521"/>
      <c r="F1599" s="1976"/>
      <c r="G1599" s="1860"/>
      <c r="H1599" s="1785" t="s">
        <v>3590</v>
      </c>
      <c r="I1599" s="1785"/>
      <c r="J1599" s="1997">
        <f>'Part VI-Revenues &amp; Expenses'!$O$65</f>
        <v>156</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3591</v>
      </c>
      <c r="C1600" s="1785"/>
      <c r="D1600" s="1785"/>
      <c r="E1600" s="1785"/>
      <c r="F1600" s="1785"/>
      <c r="G1600" s="1966"/>
      <c r="H1600" s="2000" t="s">
        <v>3592</v>
      </c>
      <c r="I1600" s="2000" t="s">
        <v>3593</v>
      </c>
      <c r="J1600" s="1966"/>
      <c r="K1600" s="521" t="s">
        <v>3373</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3715</v>
      </c>
      <c r="H1601" s="1867"/>
      <c r="I1601" s="1867"/>
      <c r="J1601" s="1867"/>
      <c r="K1601" s="1759" t="s">
        <v>3592</v>
      </c>
      <c r="L1601" s="1759" t="s">
        <v>3593</v>
      </c>
      <c r="M1601" s="1812">
        <v>2</v>
      </c>
      <c r="N1601" s="2001" t="s">
        <v>1982</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5">
      <c r="A1602" s="2003"/>
      <c r="B1602" s="2004" t="s">
        <v>1985</v>
      </c>
      <c r="C1602" s="2005">
        <v>0.15</v>
      </c>
      <c r="D1602" s="1921" t="s">
        <v>3372</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1985</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5">
      <c r="A1603" s="1938" t="s">
        <v>3343</v>
      </c>
      <c r="B1603" s="2004" t="s">
        <v>1987</v>
      </c>
      <c r="C1603" s="2005">
        <v>0.2</v>
      </c>
      <c r="D1603" s="1921" t="s">
        <v>3372</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1987</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1984</v>
      </c>
      <c r="B1605" s="1998" t="s">
        <v>4556</v>
      </c>
      <c r="C1605" s="2006"/>
      <c r="D1605" s="2006"/>
      <c r="E1605" s="1955"/>
      <c r="F1605" s="2006"/>
      <c r="G1605" s="2006"/>
      <c r="H1605" s="1867" t="s">
        <v>3652</v>
      </c>
      <c r="I1605" s="1867"/>
      <c r="J1605" s="2006"/>
      <c r="K1605" s="2006"/>
      <c r="L1605" s="2006"/>
      <c r="M1605" s="1812">
        <v>3</v>
      </c>
      <c r="N1605" s="1944" t="s">
        <v>1984</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c r="A1606" s="2003"/>
      <c r="B1606" s="2004" t="s">
        <v>1985</v>
      </c>
      <c r="C1606" s="2005">
        <v>0.3</v>
      </c>
      <c r="D1606" s="1921" t="s">
        <v>3651</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1985</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c r="A1607" s="1938"/>
      <c r="B1607" s="2004" t="s">
        <v>1987</v>
      </c>
      <c r="C1607" s="1964" t="s">
        <v>3955</v>
      </c>
      <c r="D1607" s="2006"/>
      <c r="E1607" s="2010"/>
      <c r="F1607" s="1964"/>
      <c r="G1607" s="2006"/>
      <c r="H1607" s="2006"/>
      <c r="I1607" s="1971"/>
      <c r="J1607" s="1971"/>
      <c r="K1607" s="1971"/>
      <c r="L1607" s="1971"/>
      <c r="M1607" s="1971"/>
      <c r="N1607" s="2001" t="s">
        <v>1987</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c r="A1608" s="1631"/>
      <c r="B1608" s="1866" t="s">
        <v>1865</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7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742</v>
      </c>
      <c r="B1611" s="1978" t="s">
        <v>4095</v>
      </c>
      <c r="C1611" s="1976"/>
      <c r="D1611" s="2012"/>
      <c r="E1611" s="1976"/>
      <c r="F1611" s="1976"/>
      <c r="G1611" s="1976"/>
      <c r="H1611" s="1976"/>
      <c r="I1611" s="1785" t="s">
        <v>3769</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c r="A1613" s="1825"/>
      <c r="B1613" s="1216" t="s">
        <v>3854</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1982</v>
      </c>
      <c r="B1614" s="1820" t="s">
        <v>1873</v>
      </c>
      <c r="C1614" s="1629"/>
      <c r="D1614" s="1629"/>
      <c r="E1614" s="1976"/>
      <c r="F1614" s="1628"/>
      <c r="G1614" s="1652" t="s">
        <v>2717</v>
      </c>
      <c r="H1614" s="1976"/>
      <c r="I1614" s="1830" t="s">
        <v>4557</v>
      </c>
      <c r="J1614" s="1830"/>
      <c r="K1614" s="1830"/>
      <c r="L1614" s="1830"/>
      <c r="M1614" s="1630">
        <v>10</v>
      </c>
      <c r="N1614" s="2013" t="s">
        <v>1982</v>
      </c>
      <c r="O1614" s="2014">
        <f>'Part IX Scoring Criteria'!O64</f>
        <v>0</v>
      </c>
      <c r="P1614" s="2014">
        <f>'Part IX Scoring Criteria'!P64</f>
        <v>0</v>
      </c>
      <c r="Q1614" s="2015" t="str">
        <f>IF(OR($O1614=$M1614,$O1614=0,$O1614=""),"","*CHECK!*")</f>
        <v/>
      </c>
      <c r="R1614" s="2016" t="s">
        <v>2705</v>
      </c>
      <c r="S1614" s="1976"/>
      <c r="T1614" s="1976"/>
      <c r="U1614" s="1976"/>
      <c r="V1614" s="1976"/>
      <c r="W1614" s="1976"/>
      <c r="X1614" s="1976"/>
      <c r="Y1614" s="1976"/>
      <c r="Z1614" s="1976"/>
    </row>
    <row r="1615" spans="1:26" ht="16.5">
      <c r="A1615" s="1825" t="s">
        <v>1984</v>
      </c>
      <c r="B1615" s="1820" t="s">
        <v>3843</v>
      </c>
      <c r="C1615" s="1976"/>
      <c r="D1615" s="2012"/>
      <c r="E1615" s="1976"/>
      <c r="F1615" s="2017"/>
      <c r="G1615" s="1652" t="s">
        <v>3984</v>
      </c>
      <c r="H1615" s="1976"/>
      <c r="I1615" s="1830"/>
      <c r="J1615" s="1830"/>
      <c r="K1615" s="1830"/>
      <c r="L1615" s="1830"/>
      <c r="M1615" s="1895" t="s">
        <v>1238</v>
      </c>
      <c r="N1615" s="1937" t="s">
        <v>1984</v>
      </c>
      <c r="O1615" s="2014">
        <f>'Part IX Scoring Criteria'!O65</f>
        <v>0</v>
      </c>
      <c r="P1615" s="2014">
        <f>'Part IX Scoring Criteria'!P65</f>
        <v>0</v>
      </c>
      <c r="Q1615" s="1976"/>
      <c r="R1615" s="2016" t="s">
        <v>2705</v>
      </c>
      <c r="S1615" s="1976"/>
      <c r="T1615" s="1976"/>
      <c r="U1615" s="1976"/>
      <c r="V1615" s="1976"/>
      <c r="W1615" s="1976"/>
      <c r="X1615" s="1976"/>
      <c r="Y1615" s="1976"/>
      <c r="Z1615" s="1976"/>
    </row>
    <row r="1616" spans="1:26" ht="15">
      <c r="A1616" s="1631"/>
      <c r="B1616" s="1994" t="s">
        <v>3754</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7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c r="A1618" s="1631"/>
      <c r="B1618" s="1866" t="s">
        <v>1865</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7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1792</v>
      </c>
      <c r="B1621" s="1978" t="s">
        <v>2630</v>
      </c>
      <c r="C1621" s="1976"/>
      <c r="D1621" s="2012"/>
      <c r="E1621" s="1976"/>
      <c r="F1621" s="1976"/>
      <c r="G1621" s="1976"/>
      <c r="H1621" s="1976"/>
      <c r="I1621" s="1976"/>
      <c r="J1621" s="1976"/>
      <c r="K1621" s="2018" t="s">
        <v>1878</v>
      </c>
      <c r="L1621" s="1976"/>
      <c r="M1621" s="1813">
        <v>6</v>
      </c>
      <c r="N1621" s="1937"/>
      <c r="O1621" s="1975">
        <f>'Part IX Scoring Criteria'!O71</f>
        <v>0</v>
      </c>
      <c r="P1621" s="1975">
        <f>'Part IX Scoring Criteria'!P71</f>
        <v>0</v>
      </c>
      <c r="Q1621" s="1813" t="s">
        <v>441</v>
      </c>
      <c r="R1621" s="2019" t="s">
        <v>4558</v>
      </c>
      <c r="S1621" s="2019"/>
      <c r="T1621" s="2019"/>
      <c r="U1621" s="2019"/>
      <c r="V1621" s="1976"/>
      <c r="W1621" s="1976"/>
      <c r="X1621" s="1976"/>
      <c r="Y1621" s="1976"/>
      <c r="Z1621" s="1976"/>
    </row>
    <row r="1622" spans="1:26" ht="15">
      <c r="A1622" s="1977"/>
      <c r="B1622" s="1634" t="s">
        <v>3958</v>
      </c>
      <c r="C1622" s="1976"/>
      <c r="D1622" s="2012"/>
      <c r="E1622" s="1976"/>
      <c r="F1622" s="1976"/>
      <c r="G1622" s="1976"/>
      <c r="H1622" s="1820" t="s">
        <v>2793</v>
      </c>
      <c r="I1622" s="1848"/>
      <c r="J1622" s="1820" t="str">
        <f>'Part I-Project Information'!$H$105</f>
        <v>N/A - 4% Bond</v>
      </c>
      <c r="K1622" s="1634"/>
      <c r="L1622" s="1976"/>
      <c r="M1622" s="1813"/>
      <c r="N1622" s="1937"/>
      <c r="O1622" s="2020" t="s">
        <v>3595</v>
      </c>
      <c r="P1622" s="2020" t="s">
        <v>3596</v>
      </c>
      <c r="Q1622" s="1813"/>
      <c r="R1622" s="2019"/>
      <c r="S1622" s="2019"/>
      <c r="T1622" s="2019"/>
      <c r="U1622" s="2019"/>
      <c r="V1622" s="1976"/>
      <c r="W1622" s="1976"/>
      <c r="X1622" s="1976"/>
      <c r="Y1622" s="1976"/>
      <c r="Z1622" s="1976"/>
    </row>
    <row r="1623" spans="1:26" ht="15">
      <c r="A1623" s="1977"/>
      <c r="B1623" s="2021" t="s">
        <v>1985</v>
      </c>
      <c r="C1623" s="1216" t="s">
        <v>3594</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5">
      <c r="A1624" s="1977"/>
      <c r="B1624" s="2021" t="s">
        <v>1987</v>
      </c>
      <c r="C1624" s="1216" t="s">
        <v>3956</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5">
      <c r="A1625" s="1977"/>
      <c r="B1625" s="2021" t="s">
        <v>2533</v>
      </c>
      <c r="C1625" s="1216" t="s">
        <v>3957</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c r="A1627" s="1977"/>
      <c r="B1627" s="1634" t="s">
        <v>3964</v>
      </c>
      <c r="C1627" s="1976"/>
      <c r="D1627" s="2012"/>
      <c r="E1627" s="1976"/>
      <c r="F1627" s="1634" t="s">
        <v>3716</v>
      </c>
      <c r="G1627" s="1634"/>
      <c r="H1627" s="1634"/>
      <c r="I1627" s="1634"/>
      <c r="J1627" s="1634" t="s">
        <v>3717</v>
      </c>
      <c r="K1627" s="1634"/>
      <c r="L1627" s="1634"/>
      <c r="M1627" s="1634"/>
      <c r="N1627" s="1937"/>
      <c r="O1627" s="1786" t="s">
        <v>4559</v>
      </c>
      <c r="P1627" s="2022"/>
      <c r="Q1627" s="1813"/>
      <c r="R1627" s="2019"/>
      <c r="S1627" s="2019"/>
      <c r="T1627" s="2019"/>
      <c r="U1627" s="2019"/>
      <c r="V1627" s="1976"/>
      <c r="W1627" s="1976"/>
      <c r="X1627" s="1976"/>
      <c r="Y1627" s="1976"/>
      <c r="Z1627" s="1976"/>
    </row>
    <row r="1628" spans="1:26" ht="15">
      <c r="A1628" s="1977"/>
      <c r="B1628" s="1976"/>
      <c r="C1628" s="1634" t="s">
        <v>3963</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c r="A1629" s="1976"/>
      <c r="B1629" s="1887"/>
      <c r="C1629" s="1976"/>
      <c r="D1629" s="521" t="s">
        <v>3965</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4141</v>
      </c>
      <c r="B1630" s="1887"/>
      <c r="C1630" s="1634" t="s">
        <v>4093</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c r="A1631" s="1887"/>
      <c r="B1631" s="1887"/>
      <c r="C1631" s="1976"/>
      <c r="D1631" s="521" t="s">
        <v>4092</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c r="A1633" s="2025" t="s">
        <v>2784</v>
      </c>
      <c r="B1633" s="1978"/>
      <c r="C1633" s="1976"/>
      <c r="D1633" s="2012"/>
      <c r="E1633" s="1976"/>
      <c r="F1633" s="2026" t="s">
        <v>4560</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1982</v>
      </c>
      <c r="B1634" s="1820" t="s">
        <v>3747</v>
      </c>
      <c r="C1634" s="1976"/>
      <c r="D1634" s="2012"/>
      <c r="E1634" s="1976"/>
      <c r="F1634" s="1994" t="s">
        <v>4561</v>
      </c>
      <c r="G1634" s="1976"/>
      <c r="H1634" s="1976"/>
      <c r="I1634" s="2027" t="s">
        <v>4562</v>
      </c>
      <c r="J1634" s="2027"/>
      <c r="K1634" s="2027"/>
      <c r="L1634" s="2027"/>
      <c r="M1634" s="1813">
        <v>6</v>
      </c>
      <c r="N1634" s="2001" t="s">
        <v>1982</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1985</v>
      </c>
      <c r="C1635" s="1900" t="s">
        <v>4563</v>
      </c>
      <c r="D1635" s="1900"/>
      <c r="E1635" s="1900"/>
      <c r="F1635" s="1900"/>
      <c r="G1635" s="1900"/>
      <c r="H1635" s="1900"/>
      <c r="I1635" s="2027"/>
      <c r="J1635" s="2027"/>
      <c r="K1635" s="2027"/>
      <c r="L1635" s="2027"/>
      <c r="M1635" s="2030">
        <v>5</v>
      </c>
      <c r="N1635" s="2021" t="s">
        <v>1985</v>
      </c>
      <c r="O1635" s="2014">
        <f>'Part IX Scoring Criteria'!O87</f>
        <v>0</v>
      </c>
      <c r="P1635" s="2014">
        <f>'Part IX Scoring Criteria'!P87</f>
        <v>0</v>
      </c>
      <c r="Q1635" s="2015" t="str">
        <f>IF(OR($O1635=$M1635,$O1635=0,$O1635=""),"","*CHECK!*")</f>
        <v/>
      </c>
      <c r="R1635" s="2016" t="s">
        <v>2705</v>
      </c>
      <c r="S1635" s="2028"/>
      <c r="T1635" s="2028"/>
      <c r="U1635" s="2028"/>
      <c r="V1635" s="2028"/>
      <c r="W1635" s="2028"/>
      <c r="X1635" s="2028"/>
      <c r="Y1635" s="2028"/>
      <c r="Z1635" s="2028"/>
    </row>
    <row r="1636" spans="1:26" ht="15" customHeight="1">
      <c r="A1636" s="1938" t="s">
        <v>1353</v>
      </c>
      <c r="B1636" s="2029" t="s">
        <v>1987</v>
      </c>
      <c r="C1636" s="1921" t="s">
        <v>4564</v>
      </c>
      <c r="D1636" s="1921"/>
      <c r="E1636" s="1921"/>
      <c r="F1636" s="1921"/>
      <c r="G1636" s="1921"/>
      <c r="H1636" s="1921"/>
      <c r="I1636" s="2027"/>
      <c r="J1636" s="2027"/>
      <c r="K1636" s="2027"/>
      <c r="L1636" s="2027"/>
      <c r="M1636" s="2030">
        <v>4</v>
      </c>
      <c r="N1636" s="2021" t="s">
        <v>1987</v>
      </c>
      <c r="O1636" s="2014">
        <f>'Part IX Scoring Criteria'!O88</f>
        <v>0</v>
      </c>
      <c r="P1636" s="2014">
        <f>'Part IX Scoring Criteria'!P88</f>
        <v>0</v>
      </c>
      <c r="Q1636" s="2015" t="str">
        <f>IF(OR($O1636=$M1636,$O1636=0,$O1636=""),"","*CHECK!*")</f>
        <v/>
      </c>
      <c r="R1636" s="2016" t="s">
        <v>2705</v>
      </c>
      <c r="S1636" s="2028"/>
      <c r="T1636" s="2028"/>
      <c r="U1636" s="2028"/>
      <c r="V1636" s="2028"/>
      <c r="W1636" s="2028"/>
      <c r="X1636" s="2028"/>
      <c r="Y1636" s="2028"/>
      <c r="Z1636" s="2028"/>
    </row>
    <row r="1637" spans="1:26" ht="15" customHeight="1">
      <c r="A1637" s="2028"/>
      <c r="B1637" s="2029" t="s">
        <v>2533</v>
      </c>
      <c r="C1637" s="1921" t="s">
        <v>3748</v>
      </c>
      <c r="D1637" s="1921"/>
      <c r="E1637" s="1921"/>
      <c r="F1637" s="1921"/>
      <c r="G1637" s="1937" t="s">
        <v>4091</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2533</v>
      </c>
      <c r="O1637" s="2014">
        <f>'Part IX Scoring Criteria'!O89</f>
        <v>0</v>
      </c>
      <c r="P1637" s="2014">
        <f>'Part IX Scoring Criteria'!P89</f>
        <v>0</v>
      </c>
      <c r="Q1637" s="2015" t="str">
        <f>IF(OR($O1637=$M1637,$O1637=0,$O1637=""),"","*CHECK!*")</f>
        <v/>
      </c>
      <c r="R1637" s="2016" t="s">
        <v>2705</v>
      </c>
      <c r="S1637" s="2028"/>
      <c r="T1637" s="2028"/>
      <c r="U1637" s="2028"/>
      <c r="V1637" s="2028"/>
      <c r="W1637" s="2028"/>
      <c r="X1637" s="2028"/>
      <c r="Y1637" s="2028"/>
      <c r="Z1637" s="2028"/>
    </row>
    <row r="1638" spans="1:26" ht="15">
      <c r="A1638" s="1936" t="s">
        <v>1984</v>
      </c>
      <c r="B1638" s="2031" t="s">
        <v>3749</v>
      </c>
      <c r="C1638" s="1484"/>
      <c r="D1638" s="1484"/>
      <c r="E1638" s="1484"/>
      <c r="F1638" s="2032" t="s">
        <v>4565</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1984</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1985</v>
      </c>
      <c r="C1639" s="1867" t="s">
        <v>4566</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1985</v>
      </c>
      <c r="O1639" s="2014">
        <f>'Part IX Scoring Criteria'!O95</f>
        <v>0</v>
      </c>
      <c r="P1639" s="2014">
        <f>'Part IX Scoring Criteria'!P95</f>
        <v>0</v>
      </c>
      <c r="Q1639" s="2015" t="str">
        <f>IF(OR($O1639=$M1639,$O1639=0,$O1639=""),"","*CHECK!*")</f>
        <v/>
      </c>
      <c r="R1639" s="2016" t="s">
        <v>2705</v>
      </c>
      <c r="S1639" s="2028"/>
      <c r="T1639" s="2028"/>
      <c r="U1639" s="2028"/>
      <c r="V1639" s="2028"/>
      <c r="W1639" s="2028"/>
      <c r="X1639" s="2028"/>
      <c r="Y1639" s="2028"/>
      <c r="Z1639" s="2028"/>
    </row>
    <row r="1640" spans="1:26" ht="15" customHeight="1">
      <c r="A1640" s="1945" t="s">
        <v>1353</v>
      </c>
      <c r="B1640" s="2029" t="s">
        <v>1987</v>
      </c>
      <c r="C1640" s="1867" t="s">
        <v>4567</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1987</v>
      </c>
      <c r="O1640" s="2014">
        <f>'Part IX Scoring Criteria'!O96</f>
        <v>0</v>
      </c>
      <c r="P1640" s="2014">
        <f>'Part IX Scoring Criteria'!P96</f>
        <v>0</v>
      </c>
      <c r="Q1640" s="2015" t="str">
        <f>IF(OR($O1640=$M1640,$O1640=0,$O1640=""),"","*CHECK!*")</f>
        <v/>
      </c>
      <c r="R1640" s="2016" t="s">
        <v>2705</v>
      </c>
      <c r="S1640" s="1976"/>
      <c r="T1640" s="1976"/>
      <c r="U1640" s="1976"/>
      <c r="V1640" s="1976"/>
      <c r="W1640" s="1976"/>
      <c r="X1640" s="1976"/>
      <c r="Y1640" s="1976"/>
      <c r="Z1640" s="1976"/>
    </row>
    <row r="1641" spans="1:26" ht="15" customHeight="1">
      <c r="A1641" s="1945" t="s">
        <v>1353</v>
      </c>
      <c r="B1641" s="2029" t="s">
        <v>2533</v>
      </c>
      <c r="C1641" s="1900" t="s">
        <v>4568</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2533</v>
      </c>
      <c r="O1641" s="2014">
        <f>'Part IX Scoring Criteria'!O97</f>
        <v>0</v>
      </c>
      <c r="P1641" s="2014">
        <f>'Part IX Scoring Criteria'!P97</f>
        <v>0</v>
      </c>
      <c r="Q1641" s="2015" t="str">
        <f>IF(OR($O1641=$M1641,$O1641=0,$O1641=""),"","*CHECK!*")</f>
        <v/>
      </c>
      <c r="R1641" s="2016" t="s">
        <v>2705</v>
      </c>
      <c r="S1641" s="1976"/>
      <c r="T1641" s="1976"/>
      <c r="U1641" s="1976"/>
      <c r="V1641" s="1976"/>
      <c r="W1641" s="1976"/>
      <c r="X1641" s="1976"/>
      <c r="Y1641" s="1976"/>
      <c r="Z1641" s="1976"/>
    </row>
    <row r="1642" spans="1:26" ht="15">
      <c r="A1642" s="2025" t="s">
        <v>2786</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c r="A1643" s="1825"/>
      <c r="B1643" s="2029" t="s">
        <v>1224</v>
      </c>
      <c r="C1643" s="1820" t="s">
        <v>4569</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2705</v>
      </c>
      <c r="S1643" s="1993"/>
      <c r="T1643" s="1993"/>
      <c r="U1643" s="1993"/>
      <c r="V1643" s="1993"/>
      <c r="W1643" s="1993"/>
      <c r="X1643" s="1993"/>
      <c r="Y1643" s="1993"/>
      <c r="Z1643" s="1993"/>
    </row>
    <row r="1644" spans="1:26" ht="15">
      <c r="A1644" s="521" t="s">
        <v>4570</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c r="A1645" s="1631"/>
      <c r="B1645" s="1866" t="s">
        <v>1865</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7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c r="N1647" s="1637"/>
      <c r="O1647" s="1639"/>
      <c r="P1647" s="1639"/>
      <c r="R1647" s="1976"/>
    </row>
    <row r="1648" spans="1:26" ht="1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4571</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c r="A1651" s="1976"/>
      <c r="B1651" s="1820" t="s">
        <v>2793</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c r="A1652" s="1976"/>
      <c r="B1652" s="1820" t="s">
        <v>3967</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5">
      <c r="A1653" s="2039"/>
      <c r="B1653" s="2039"/>
      <c r="C1653" s="1851" t="s">
        <v>3971</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5">
      <c r="A1654" s="2039"/>
      <c r="B1654" s="2039"/>
      <c r="C1654" s="1851" t="s">
        <v>3972</v>
      </c>
      <c r="D1654" s="2039"/>
      <c r="E1654" s="2039"/>
      <c r="F1654" s="2039"/>
      <c r="G1654" s="2039"/>
      <c r="H1654" s="2039"/>
      <c r="I1654" s="1975" t="e">
        <f>'Part IX Scoring Criteria'!#REF!</f>
        <v>#REF!</v>
      </c>
      <c r="J1654" s="1975" t="e">
        <f>'Part IX Scoring Criteria'!#REF!</f>
        <v>#REF!</v>
      </c>
      <c r="K1654" s="1845"/>
      <c r="L1654" s="2039"/>
      <c r="M1654" s="2039"/>
      <c r="N1654" s="2039"/>
      <c r="O1654" s="2039" t="s">
        <v>3980</v>
      </c>
      <c r="P1654" s="2039"/>
      <c r="Q1654" s="2039"/>
      <c r="R1654" s="2039"/>
      <c r="S1654" s="2039"/>
      <c r="T1654" s="2039"/>
      <c r="U1654" s="2039"/>
      <c r="V1654" s="2039"/>
      <c r="W1654" s="2039"/>
      <c r="X1654" s="2039"/>
      <c r="Y1654" s="2039"/>
      <c r="Z1654" s="2039"/>
    </row>
    <row r="1655" spans="1:26" ht="1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1982</v>
      </c>
      <c r="B1656" s="1820" t="s">
        <v>4572</v>
      </c>
      <c r="D1656" s="1631"/>
      <c r="K1656" s="1790" t="e">
        <f>IF(OR(AND(O1656&gt;0,O1657&gt;0),AND(O1657&gt;0,O1658&gt;0),AND(O1656&gt;0,O1658&gt;0)),"Choose A, B, or C.  See instructions.",IF(AND(O1658&gt;0,O1659&gt;0),"Choose A or B when choosing D.  See instructions.",""))</f>
        <v>#REF!</v>
      </c>
      <c r="L1656" s="1790"/>
      <c r="M1656" s="2030">
        <v>2</v>
      </c>
      <c r="N1656" s="1937" t="s">
        <v>1982</v>
      </c>
      <c r="O1656" s="2014" t="e">
        <f>'Part IX Scoring Criteria'!#REF!</f>
        <v>#REF!</v>
      </c>
      <c r="P1656" s="2014" t="e">
        <f>'Part IX Scoring Criteria'!#REF!</f>
        <v>#REF!</v>
      </c>
      <c r="Q1656" s="2015" t="e">
        <f>IF(OR($O1656=$M1656,$O1656=0,$O1656=""),"","*CHECK!*")</f>
        <v>#REF!</v>
      </c>
      <c r="R1656" s="2016" t="s">
        <v>2705</v>
      </c>
    </row>
    <row r="1657" spans="1:26" ht="13.5" customHeight="1">
      <c r="A1657" s="1825" t="s">
        <v>1984</v>
      </c>
      <c r="B1657" s="1820" t="s">
        <v>310</v>
      </c>
      <c r="D1657" s="1631"/>
      <c r="E1657" s="1631"/>
      <c r="K1657" s="1790"/>
      <c r="L1657" s="1790"/>
      <c r="M1657" s="2030">
        <v>1</v>
      </c>
      <c r="N1657" s="1937" t="s">
        <v>1984</v>
      </c>
      <c r="O1657" s="2014" t="e">
        <f>'Part IX Scoring Criteria'!#REF!</f>
        <v>#REF!</v>
      </c>
      <c r="P1657" s="2014" t="e">
        <f>'Part IX Scoring Criteria'!#REF!</f>
        <v>#REF!</v>
      </c>
      <c r="Q1657" s="2015" t="e">
        <f>IF(OR($O1657=$M1657,$O1657=0,$O1657=""),"","*CHECK!*")</f>
        <v>#REF!</v>
      </c>
      <c r="R1657" s="2016" t="s">
        <v>2705</v>
      </c>
    </row>
    <row r="1658" spans="1:26" ht="13.5" customHeight="1">
      <c r="A1658" s="1825" t="s">
        <v>749</v>
      </c>
      <c r="B1658" s="1820" t="s">
        <v>4573</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2705</v>
      </c>
    </row>
    <row r="1659" spans="1:26" ht="13.5" customHeight="1">
      <c r="A1659" s="1825" t="s">
        <v>2114</v>
      </c>
      <c r="B1659" s="1820" t="s">
        <v>3778</v>
      </c>
      <c r="D1659" s="1631"/>
      <c r="E1659" s="1631"/>
      <c r="F1659" s="521" t="s">
        <v>3981</v>
      </c>
      <c r="J1659" s="1813" t="e">
        <f>'Part IX Scoring Criteria'!#REF!</f>
        <v>#REF!</v>
      </c>
      <c r="K1659" s="1790"/>
      <c r="L1659" s="1790"/>
      <c r="M1659" s="2030">
        <v>1</v>
      </c>
      <c r="N1659" s="1937" t="s">
        <v>2114</v>
      </c>
      <c r="O1659" s="2014" t="e">
        <f>'Part IX Scoring Criteria'!#REF!</f>
        <v>#REF!</v>
      </c>
      <c r="P1659" s="2014" t="e">
        <f>'Part IX Scoring Criteria'!#REF!</f>
        <v>#REF!</v>
      </c>
      <c r="Q1659" s="2015" t="e">
        <f>IF(OR($O1659=$M1659,$O1659=0,$O1659=""),"","*CHECK!*")</f>
        <v>#REF!</v>
      </c>
      <c r="R1659" s="2016" t="s">
        <v>2705</v>
      </c>
    </row>
    <row r="1660" spans="1:26" ht="15">
      <c r="A1660" s="1631"/>
      <c r="B1660" s="1994" t="s">
        <v>3754</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7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c r="A1662" s="1976"/>
      <c r="B1662" s="1866" t="s">
        <v>1865</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7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c r="A1665" s="1977" t="s">
        <v>530</v>
      </c>
      <c r="B1665" s="1978" t="s">
        <v>3982</v>
      </c>
      <c r="C1665" s="1976"/>
      <c r="D1665" s="521"/>
      <c r="E1665" s="521"/>
      <c r="F1665" s="1813"/>
      <c r="G1665" s="1813"/>
      <c r="H1665" s="1813"/>
      <c r="I1665" s="2026" t="s">
        <v>4560</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c r="A1667" s="1825" t="s">
        <v>1982</v>
      </c>
      <c r="B1667" s="1820" t="s">
        <v>3983</v>
      </c>
      <c r="C1667" s="1993"/>
      <c r="D1667" s="2012"/>
      <c r="E1667" s="1216" t="s">
        <v>4097</v>
      </c>
      <c r="F1667" s="1976"/>
      <c r="G1667" s="1929"/>
      <c r="H1667" s="1976"/>
      <c r="I1667" s="1937" t="s">
        <v>4091</v>
      </c>
      <c r="J1667" s="1929" t="str">
        <f>'Part I-Project Information'!$H$82</f>
        <v>Family</v>
      </c>
      <c r="K1667" s="2012"/>
      <c r="L1667" s="1942" t="str">
        <f>IF(OR($O1667=$M1667,$O1667=0,$O1667=""),"","* * Check Score! * *")</f>
        <v/>
      </c>
      <c r="M1667" s="1630">
        <v>3</v>
      </c>
      <c r="N1667" s="1937" t="s">
        <v>1982</v>
      </c>
      <c r="O1667" s="1975">
        <f>'Part IX Scoring Criteria'!O109</f>
        <v>0</v>
      </c>
      <c r="P1667" s="1975">
        <f>'Part IX Scoring Criteria'!P109</f>
        <v>0</v>
      </c>
      <c r="Q1667" s="2015" t="str">
        <f>IF(OR($O1667=$M1667,$O1667=0,$O1667=""),"","*CHECK!*")</f>
        <v/>
      </c>
      <c r="R1667" s="2016" t="s">
        <v>2705</v>
      </c>
      <c r="S1667" s="1976"/>
      <c r="T1667" s="1976"/>
      <c r="U1667" s="1976"/>
      <c r="V1667" s="1976"/>
      <c r="W1667" s="1976"/>
      <c r="X1667" s="1976"/>
      <c r="Y1667" s="1976"/>
      <c r="Z1667" s="1976"/>
    </row>
    <row r="1668" spans="1:26" ht="1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75">
      <c r="A1669" s="1825" t="s">
        <v>1984</v>
      </c>
      <c r="B1669" s="1820" t="s">
        <v>3985</v>
      </c>
      <c r="C1669" s="1993"/>
      <c r="D1669" s="2041"/>
      <c r="E1669" s="1689" t="s">
        <v>4201</v>
      </c>
      <c r="F1669" s="1976"/>
      <c r="G1669" s="1929"/>
      <c r="H1669" s="1976"/>
      <c r="I1669" s="2042"/>
      <c r="J1669" s="2012"/>
      <c r="K1669" s="1976"/>
      <c r="L1669" s="1942" t="e">
        <f>IF(OR($O1669&lt;=$M1669,$O1669=0,$O1669=""),"","* * Check Score! * *")</f>
        <v>#REF!</v>
      </c>
      <c r="M1669" s="1637">
        <v>3</v>
      </c>
      <c r="N1669" s="1937" t="s">
        <v>1984</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75">
      <c r="A1670" s="1935"/>
      <c r="B1670" s="2044" t="s">
        <v>4127</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2.5">
      <c r="A1671" s="1935"/>
      <c r="B1671" s="521"/>
      <c r="C1671" s="2045" t="s">
        <v>4128</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7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75">
      <c r="A1673" s="1825"/>
      <c r="B1673" s="2046" t="s">
        <v>1985</v>
      </c>
      <c r="C1673" s="1820" t="s">
        <v>3986</v>
      </c>
      <c r="D1673" s="1993"/>
      <c r="E1673" s="1993"/>
      <c r="F1673" s="521"/>
      <c r="G1673" s="521"/>
      <c r="H1673" s="1993"/>
      <c r="I1673" s="1993"/>
      <c r="J1673" s="1993"/>
      <c r="K1673" s="1993"/>
      <c r="L1673" s="1942" t="str">
        <f>IF(OR($O1673=$M1673,$O1673=0,$O1673=""),"","* * Check Score! * *")</f>
        <v/>
      </c>
      <c r="M1673" s="1633">
        <v>2</v>
      </c>
      <c r="N1673" s="2013" t="s">
        <v>1985</v>
      </c>
      <c r="O1673" s="1975">
        <f>'Part IX Scoring Criteria'!O115</f>
        <v>0</v>
      </c>
      <c r="P1673" s="1975">
        <f>'Part IX Scoring Criteria'!P115</f>
        <v>0</v>
      </c>
      <c r="Q1673" s="2015" t="str">
        <f>IF(OR($O1673=$M1673,$O1673=0,$O1673=""),"","*CHECK!*")</f>
        <v/>
      </c>
      <c r="R1673" s="2016" t="s">
        <v>2705</v>
      </c>
      <c r="S1673" s="2043"/>
      <c r="T1673" s="2043"/>
      <c r="U1673" s="1993"/>
      <c r="V1673" s="1993"/>
      <c r="W1673" s="1993"/>
      <c r="X1673" s="1993"/>
      <c r="Y1673" s="1993"/>
      <c r="Z1673" s="1993"/>
    </row>
    <row r="1674" spans="1:26" ht="18.75">
      <c r="A1674" s="1825"/>
      <c r="B1674" s="2046"/>
      <c r="C1674" s="521" t="s">
        <v>3987</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75">
      <c r="A1675" s="1825"/>
      <c r="B1675" s="2046"/>
      <c r="C1675" s="521" t="s">
        <v>4574</v>
      </c>
      <c r="D1675" s="1652" t="s">
        <v>4098</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75">
      <c r="A1676" s="1825"/>
      <c r="B1676" s="521"/>
      <c r="C1676" s="521" t="s">
        <v>3990</v>
      </c>
      <c r="D1676" s="1993"/>
      <c r="E1676" s="521"/>
      <c r="F1676" s="521"/>
      <c r="G1676" s="521"/>
      <c r="H1676" s="1993"/>
      <c r="I1676" s="1993"/>
      <c r="J1676" s="1993"/>
      <c r="K1676" s="1993"/>
      <c r="L1676" s="1993"/>
      <c r="M1676" s="1630"/>
      <c r="N1676" s="1944" t="s">
        <v>3780</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75">
      <c r="A1677" s="1935"/>
      <c r="B1677" s="2047"/>
      <c r="C1677" s="521" t="s">
        <v>3991</v>
      </c>
      <c r="D1677" s="521"/>
      <c r="E1677" s="521"/>
      <c r="F1677" s="521"/>
      <c r="G1677" s="521"/>
      <c r="H1677" s="521"/>
      <c r="I1677" s="521"/>
      <c r="J1677" s="521"/>
      <c r="K1677" s="521"/>
      <c r="L1677" s="521"/>
      <c r="M1677" s="1895"/>
      <c r="N1677" s="1937" t="s">
        <v>3781</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4125</v>
      </c>
      <c r="D1678" s="1216"/>
      <c r="E1678" s="521"/>
      <c r="F1678" s="521"/>
      <c r="G1678" s="521"/>
      <c r="H1678" s="1216"/>
      <c r="I1678" s="1216"/>
      <c r="J1678" s="1216"/>
      <c r="K1678" s="1216"/>
      <c r="L1678" s="1955" t="s">
        <v>3817</v>
      </c>
      <c r="M1678" s="1955"/>
      <c r="N1678" s="1955"/>
      <c r="O1678" s="1955" t="s">
        <v>3816</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c r="A1683" s="1993"/>
      <c r="B1683" s="2046"/>
      <c r="C1683" s="521" t="s">
        <v>4575</v>
      </c>
      <c r="D1683" s="521" t="s">
        <v>3992</v>
      </c>
      <c r="E1683" s="521"/>
      <c r="F1683" s="521"/>
      <c r="G1683" s="521"/>
      <c r="H1683" s="1993"/>
      <c r="I1683" s="1993"/>
      <c r="J1683" s="1993"/>
      <c r="K1683" s="1993"/>
      <c r="L1683" s="1993"/>
      <c r="M1683" s="1993"/>
      <c r="N1683" s="1944" t="s">
        <v>3780</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c r="A1684" s="1825"/>
      <c r="B1684" s="521"/>
      <c r="C1684" s="1993"/>
      <c r="D1684" s="521" t="s">
        <v>3993</v>
      </c>
      <c r="E1684" s="521"/>
      <c r="F1684" s="521"/>
      <c r="G1684" s="521"/>
      <c r="H1684" s="1993"/>
      <c r="I1684" s="1993"/>
      <c r="J1684" s="1993"/>
      <c r="K1684" s="1993"/>
      <c r="L1684" s="1993"/>
      <c r="M1684" s="1630"/>
      <c r="N1684" s="1937" t="s">
        <v>3781</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4129</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4157</v>
      </c>
      <c r="D1686" s="1935"/>
      <c r="E1686" s="1935"/>
      <c r="F1686" s="1935"/>
      <c r="G1686" s="1938">
        <f>'Part IX Scoring Criteria'!O128</f>
        <v>0</v>
      </c>
      <c r="H1686" s="1938">
        <f>'Part IX Scoring Criteria'!P128</f>
        <v>0</v>
      </c>
      <c r="I1686" s="1841" t="s">
        <v>4160</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4158</v>
      </c>
      <c r="D1687" s="1935"/>
      <c r="E1687" s="1935"/>
      <c r="F1687" s="1935"/>
      <c r="G1687" s="1938">
        <f>'Part IX Scoring Criteria'!O129</f>
        <v>0</v>
      </c>
      <c r="H1687" s="1938">
        <f>'Part IX Scoring Criteria'!P129</f>
        <v>0</v>
      </c>
      <c r="I1687" s="521" t="s">
        <v>4161</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4159</v>
      </c>
      <c r="D1688" s="1935"/>
      <c r="E1688" s="1935"/>
      <c r="F1688" s="1935"/>
      <c r="G1688" s="1938">
        <f>'Part IX Scoring Criteria'!O130</f>
        <v>0</v>
      </c>
      <c r="H1688" s="1938">
        <f>'Part IX Scoring Criteria'!P130</f>
        <v>0</v>
      </c>
      <c r="I1688" s="1841" t="s">
        <v>4162</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75">
      <c r="A1691" s="1936"/>
      <c r="B1691" s="2050" t="s">
        <v>1987</v>
      </c>
      <c r="C1691" s="2031" t="s">
        <v>3818</v>
      </c>
      <c r="D1691" s="1921"/>
      <c r="E1691" s="2028"/>
      <c r="F1691" s="1921"/>
      <c r="G1691" s="1921"/>
      <c r="H1691" s="1921"/>
      <c r="I1691" s="1921"/>
      <c r="J1691" s="1921"/>
      <c r="K1691" s="1921"/>
      <c r="L1691" s="1942" t="str">
        <f>IF(OR($O1691=$M1691,$O1691=0,$O1691=""),"","* * Check Score! * *")</f>
        <v/>
      </c>
      <c r="M1691" s="1480">
        <v>1</v>
      </c>
      <c r="N1691" s="2013" t="s">
        <v>1987</v>
      </c>
      <c r="O1691" s="1975">
        <f>'Part IX Scoring Criteria'!O137</f>
        <v>0</v>
      </c>
      <c r="P1691" s="1975">
        <f>'Part IX Scoring Criteria'!P137</f>
        <v>0</v>
      </c>
      <c r="Q1691" s="2015" t="str">
        <f>IF(OR($O1691=$M1691,$O1691=0,$O1691=""),"","*CHECK!*")</f>
        <v/>
      </c>
      <c r="R1691" s="2016" t="s">
        <v>2705</v>
      </c>
      <c r="S1691" s="2043"/>
      <c r="T1691" s="2043"/>
      <c r="U1691" s="2043"/>
      <c r="V1691" s="2028"/>
      <c r="W1691" s="2028"/>
      <c r="X1691" s="2028"/>
      <c r="Y1691" s="2028"/>
      <c r="Z1691" s="2028"/>
    </row>
    <row r="1692" spans="1:26" ht="18.75">
      <c r="A1692" s="1935"/>
      <c r="B1692" s="521"/>
      <c r="C1692" s="521" t="s">
        <v>3994</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75">
      <c r="A1693" s="1935"/>
      <c r="B1693" s="2046"/>
      <c r="C1693" s="521" t="s">
        <v>4576</v>
      </c>
      <c r="D1693" s="1960"/>
      <c r="E1693" s="1960"/>
      <c r="F1693" s="1960"/>
      <c r="G1693" s="1841" t="s">
        <v>3995</v>
      </c>
      <c r="H1693" s="521"/>
      <c r="I1693" s="1960"/>
      <c r="J1693" s="1960"/>
      <c r="K1693" s="1960"/>
      <c r="L1693" s="1960"/>
      <c r="M1693" s="1937" t="s">
        <v>2434</v>
      </c>
      <c r="N1693" s="1937" t="s">
        <v>3780</v>
      </c>
      <c r="O1693" s="1938">
        <f>'Part IX Scoring Criteria'!O139</f>
        <v>0</v>
      </c>
      <c r="P1693" s="1938">
        <f>'Part IX Scoring Criteria'!P139</f>
        <v>0</v>
      </c>
      <c r="Q1693" s="521"/>
      <c r="R1693" s="2043"/>
      <c r="S1693" s="2043"/>
      <c r="T1693" s="2043"/>
      <c r="U1693" s="2043"/>
      <c r="V1693" s="521"/>
      <c r="W1693" s="521"/>
      <c r="X1693" s="521"/>
      <c r="Y1693" s="521"/>
      <c r="Z1693" s="521"/>
    </row>
    <row r="1694" spans="1:26" ht="18.75">
      <c r="A1694" s="1935"/>
      <c r="B1694" s="2047"/>
      <c r="C1694" s="521"/>
      <c r="D1694" s="1960"/>
      <c r="E1694" s="1960"/>
      <c r="F1694" s="1960"/>
      <c r="G1694" s="1841" t="s">
        <v>3996</v>
      </c>
      <c r="H1694" s="521"/>
      <c r="I1694" s="1960"/>
      <c r="J1694" s="1960"/>
      <c r="K1694" s="1960"/>
      <c r="L1694" s="1960"/>
      <c r="M1694" s="1895"/>
      <c r="N1694" s="1944" t="s">
        <v>3781</v>
      </c>
      <c r="O1694" s="1938">
        <f>'Part IX Scoring Criteria'!O140</f>
        <v>0</v>
      </c>
      <c r="P1694" s="1938">
        <f>'Part IX Scoring Criteria'!P140</f>
        <v>0</v>
      </c>
      <c r="Q1694" s="521"/>
      <c r="R1694" s="2043"/>
      <c r="S1694" s="2043"/>
      <c r="T1694" s="2043"/>
      <c r="U1694" s="2043"/>
      <c r="V1694" s="521"/>
      <c r="W1694" s="521"/>
      <c r="X1694" s="521"/>
      <c r="Y1694" s="521"/>
      <c r="Z1694" s="521"/>
    </row>
    <row r="1695" spans="1:26" ht="18.75">
      <c r="A1695" s="1937"/>
      <c r="B1695" s="2047"/>
      <c r="C1695" s="521"/>
      <c r="D1695" s="1960"/>
      <c r="E1695" s="1960"/>
      <c r="F1695" s="1960"/>
      <c r="G1695" s="1841" t="s">
        <v>3997</v>
      </c>
      <c r="H1695" s="521"/>
      <c r="I1695" s="1960"/>
      <c r="J1695" s="1960"/>
      <c r="K1695" s="1960"/>
      <c r="L1695" s="1960"/>
      <c r="M1695" s="1895"/>
      <c r="N1695" s="1937" t="s">
        <v>3782</v>
      </c>
      <c r="O1695" s="1938">
        <f>'Part IX Scoring Criteria'!O141</f>
        <v>0</v>
      </c>
      <c r="P1695" s="1938">
        <f>'Part IX Scoring Criteria'!P141</f>
        <v>0</v>
      </c>
      <c r="Q1695" s="521"/>
      <c r="R1695" s="2043"/>
      <c r="S1695" s="2043"/>
      <c r="T1695" s="2043"/>
      <c r="U1695" s="2043"/>
      <c r="V1695" s="521"/>
      <c r="W1695" s="521"/>
      <c r="X1695" s="521"/>
      <c r="Y1695" s="521"/>
      <c r="Z1695" s="521"/>
    </row>
    <row r="1696" spans="1:26" ht="18.75">
      <c r="A1696" s="1935"/>
      <c r="B1696" s="2047"/>
      <c r="C1696" s="521"/>
      <c r="D1696" s="1960"/>
      <c r="E1696" s="1960"/>
      <c r="F1696" s="1960"/>
      <c r="G1696" s="1841" t="s">
        <v>3998</v>
      </c>
      <c r="H1696" s="521"/>
      <c r="I1696" s="1960"/>
      <c r="J1696" s="1960"/>
      <c r="K1696" s="1960"/>
      <c r="L1696" s="1960"/>
      <c r="M1696" s="1895"/>
      <c r="N1696" s="1937" t="s">
        <v>3784</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3999</v>
      </c>
      <c r="H1697" s="521"/>
      <c r="I1697" s="1960"/>
      <c r="J1697" s="1960"/>
      <c r="K1697" s="1960"/>
      <c r="L1697" s="1960"/>
      <c r="M1697" s="1895"/>
      <c r="N1697" s="1944" t="s">
        <v>3785</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4577</v>
      </c>
      <c r="D1698" s="1960"/>
      <c r="E1698" s="1960"/>
      <c r="F1698" s="1960"/>
      <c r="G1698" s="1960"/>
      <c r="H1698" s="1960"/>
      <c r="I1698" s="1960"/>
      <c r="J1698" s="1960"/>
      <c r="K1698" s="1960"/>
      <c r="L1698" s="1960"/>
      <c r="M1698" s="1937"/>
      <c r="N1698" s="1937" t="s">
        <v>2435</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3832</v>
      </c>
      <c r="D1699" s="1216"/>
      <c r="E1699" s="521"/>
      <c r="F1699" s="521"/>
      <c r="G1699" s="1216" t="s">
        <v>4130</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4164</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7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c r="A1707" s="1977" t="s">
        <v>772</v>
      </c>
      <c r="B1707" s="1978" t="s">
        <v>3966</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c r="A1709" s="1825" t="s">
        <v>1982</v>
      </c>
      <c r="B1709" s="1629" t="s">
        <v>4003</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c r="A1710" s="1976"/>
      <c r="B1710" s="1841" t="s">
        <v>3827</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4578</v>
      </c>
      <c r="C1712" s="1900"/>
      <c r="D1712" s="1900"/>
      <c r="E1712" s="521" t="s">
        <v>3824</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c r="A1713" s="1825"/>
      <c r="B1713" s="1900"/>
      <c r="C1713" s="1900"/>
      <c r="D1713" s="1900"/>
      <c r="E1713" s="1841" t="s">
        <v>3826</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c r="A1714" s="1631"/>
      <c r="B1714" s="1976"/>
      <c r="C1714" s="1899"/>
      <c r="D1714" s="1899"/>
      <c r="E1714" s="521" t="s">
        <v>2903</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3822</v>
      </c>
      <c r="I1715" s="1867" t="s">
        <v>3867</v>
      </c>
      <c r="J1715" s="1867"/>
      <c r="K1715" s="1867"/>
      <c r="L1715" s="1867"/>
      <c r="M1715" s="1706" t="s">
        <v>3821</v>
      </c>
      <c r="N1715" s="1706"/>
      <c r="O1715" s="1706" t="s">
        <v>3825</v>
      </c>
      <c r="P1715" s="1706"/>
      <c r="Q1715" s="1867"/>
      <c r="R1715" s="1976"/>
      <c r="S1715" s="1976"/>
      <c r="T1715" s="1976"/>
      <c r="U1715" s="1976"/>
      <c r="V1715" s="1976"/>
      <c r="W1715" s="1976"/>
      <c r="X1715" s="1976"/>
      <c r="Y1715" s="1976"/>
      <c r="Z1715" s="1976"/>
    </row>
    <row r="1716" spans="1:26" ht="23.25">
      <c r="A1716" s="1825"/>
      <c r="B1716" s="2052" t="s">
        <v>3819</v>
      </c>
      <c r="C1716" s="1834"/>
      <c r="D1716" s="1652" t="s">
        <v>4579</v>
      </c>
      <c r="E1716" s="1652"/>
      <c r="F1716" s="1652"/>
      <c r="G1716" s="1920" t="s">
        <v>3397</v>
      </c>
      <c r="H1716" s="1904"/>
      <c r="I1716" s="1943">
        <v>2014</v>
      </c>
      <c r="J1716" s="1943">
        <v>2015</v>
      </c>
      <c r="K1716" s="1943">
        <v>2016</v>
      </c>
      <c r="L1716" s="1943">
        <v>2017</v>
      </c>
      <c r="M1716" s="1706"/>
      <c r="N1716" s="1706"/>
      <c r="O1716" s="1706"/>
      <c r="P1716" s="1706"/>
      <c r="Q1716" s="2053" t="s">
        <v>3820</v>
      </c>
      <c r="R1716" s="2053"/>
      <c r="S1716" s="1976"/>
      <c r="T1716" s="1976"/>
      <c r="U1716" s="1976"/>
      <c r="V1716" s="1976"/>
      <c r="W1716" s="1976"/>
      <c r="X1716" s="1976"/>
      <c r="Y1716" s="1976"/>
      <c r="Z1716" s="1976"/>
    </row>
    <row r="1717" spans="1:26" ht="15">
      <c r="A1717" s="1937" t="s">
        <v>2434</v>
      </c>
      <c r="B1717" s="1873" t="s">
        <v>4002</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c r="A1718" s="1944" t="s">
        <v>2435</v>
      </c>
      <c r="B1718" s="1873" t="s">
        <v>4165</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c r="A1719" s="1937" t="s">
        <v>2436</v>
      </c>
      <c r="B1719" s="1873" t="s">
        <v>4000</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c r="A1721" s="1937" t="s">
        <v>2437</v>
      </c>
      <c r="B1721" s="2055" t="s">
        <v>4002</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c r="A1722" s="1944" t="s">
        <v>2438</v>
      </c>
      <c r="B1722" s="2055" t="s">
        <v>4001</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c r="A1723" s="1937" t="s">
        <v>2454</v>
      </c>
      <c r="B1723" s="2055" t="s">
        <v>4000</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c r="A1725" s="1825" t="s">
        <v>1984</v>
      </c>
      <c r="B1725" s="1629" t="s">
        <v>4004</v>
      </c>
      <c r="C1725" s="1993"/>
      <c r="D1725" s="2041"/>
      <c r="E1725" s="2041"/>
      <c r="F1725" s="2026" t="s">
        <v>3390</v>
      </c>
      <c r="G1725" s="1993"/>
      <c r="H1725" s="1841" t="s">
        <v>3868</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4167</v>
      </c>
      <c r="F1726" s="2058" t="s">
        <v>3660</v>
      </c>
      <c r="G1726" s="1808" t="s">
        <v>3398</v>
      </c>
      <c r="H1726" s="1808"/>
      <c r="I1726" s="1808"/>
      <c r="J1726" s="1808"/>
      <c r="K1726" s="1808"/>
      <c r="L1726" s="1808"/>
      <c r="M1726" s="1808"/>
      <c r="N1726" s="1808"/>
      <c r="O1726" s="1216"/>
      <c r="P1726" s="1965"/>
      <c r="Q1726" s="1216"/>
      <c r="R1726" s="1216" t="s">
        <v>2832</v>
      </c>
      <c r="S1726" s="1216"/>
      <c r="T1726" s="1955" t="str">
        <f>'Part I-Project Information'!$F$38</f>
        <v>Atlanta</v>
      </c>
      <c r="U1726" s="1955"/>
      <c r="V1726" s="1955"/>
      <c r="W1726" s="1955"/>
      <c r="X1726" s="1955"/>
      <c r="Y1726" s="1216"/>
      <c r="Z1726" s="1216"/>
    </row>
    <row r="1727" spans="1:26" ht="12.75" customHeight="1">
      <c r="A1727" s="1935"/>
      <c r="B1727" s="2058" t="s">
        <v>4007</v>
      </c>
      <c r="C1727" s="2058"/>
      <c r="D1727" s="2058"/>
      <c r="E1727" s="2058"/>
      <c r="F1727" s="2058"/>
      <c r="G1727" s="1900" t="s">
        <v>4006</v>
      </c>
      <c r="H1727" s="1900"/>
      <c r="I1727" s="1900"/>
      <c r="J1727" s="1900"/>
      <c r="K1727" s="1900"/>
      <c r="L1727" s="1900"/>
      <c r="M1727" s="1900"/>
      <c r="N1727" s="1900"/>
      <c r="O1727" s="2058" t="s">
        <v>3661</v>
      </c>
      <c r="P1727" s="2058"/>
      <c r="Q1727" s="1216"/>
      <c r="R1727" s="1955" t="s">
        <v>2833</v>
      </c>
      <c r="S1727" s="1216"/>
      <c r="T1727" s="1955" t="str">
        <f>'Part I-Project Information'!$J$39</f>
        <v>Fulton</v>
      </c>
      <c r="U1727" s="1955"/>
      <c r="V1727" s="1955"/>
      <c r="W1727" s="1955"/>
      <c r="X1727" s="1955"/>
      <c r="Y1727" s="1216"/>
      <c r="Z1727" s="1216"/>
    </row>
    <row r="1728" spans="1:26">
      <c r="A1728" s="1935"/>
      <c r="B1728" s="521" t="s">
        <v>3828</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2834</v>
      </c>
      <c r="S1728" s="1216"/>
      <c r="T1728" s="1955" t="str">
        <f>'Part I-Project Information'!$O$40</f>
        <v>Atlanta-Sandy Springs-Marietta</v>
      </c>
      <c r="U1728" s="1955"/>
      <c r="V1728" s="1955"/>
      <c r="W1728" s="1955"/>
      <c r="X1728" s="1955"/>
      <c r="Y1728" s="1216"/>
      <c r="Z1728" s="1216"/>
    </row>
    <row r="1729" spans="1:26" ht="12.75" customHeight="1">
      <c r="A1729" s="1935"/>
      <c r="B1729" s="1867" t="s">
        <v>4005</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3861</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3862</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3626</v>
      </c>
      <c r="S1731" s="1216"/>
      <c r="T1731" s="1955" t="str">
        <f>'Part I-Project Information'!$K$40</f>
        <v>Urban</v>
      </c>
      <c r="U1731" s="1955"/>
      <c r="V1731" s="1955"/>
      <c r="W1731" s="1955"/>
      <c r="X1731" s="1955"/>
      <c r="Y1731" s="1216"/>
      <c r="Z1731" s="1216"/>
    </row>
    <row r="1732" spans="1:26" ht="13.5">
      <c r="A1732" s="2055"/>
      <c r="B1732" s="1964" t="s">
        <v>3625</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1985</v>
      </c>
      <c r="C1734" s="521" t="s">
        <v>4166</v>
      </c>
      <c r="D1734" s="1955"/>
      <c r="E1734" s="1955"/>
      <c r="F1734" s="1955"/>
      <c r="G1734" s="1955"/>
      <c r="H1734" s="2064" t="s">
        <v>1985</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1987</v>
      </c>
      <c r="C1735" s="521" t="s">
        <v>4008</v>
      </c>
      <c r="D1735" s="2051"/>
      <c r="E1735" s="2051"/>
      <c r="F1735" s="2051"/>
      <c r="G1735" s="1216"/>
      <c r="H1735" s="2064" t="s">
        <v>1987</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3883</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c r="A1738" s="1631"/>
      <c r="B1738" s="1994" t="s">
        <v>3754</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7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c r="A1740" s="1631"/>
      <c r="B1740" s="1897" t="s">
        <v>1865</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7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c r="A1743" s="1977" t="s">
        <v>292</v>
      </c>
      <c r="B1743" s="1978" t="s">
        <v>4014</v>
      </c>
      <c r="C1743" s="1993"/>
      <c r="D1743" s="1994"/>
      <c r="E1743" s="1994"/>
      <c r="F1743" s="1993"/>
      <c r="G1743" s="1993"/>
      <c r="H1743" s="1842" t="s">
        <v>4015</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8.75">
      <c r="A1744" s="1935"/>
      <c r="B1744" s="1964"/>
      <c r="D1744" s="1943"/>
      <c r="E1744" s="1964"/>
      <c r="G1744" s="2067"/>
      <c r="H1744" s="1964"/>
      <c r="I1744" s="1841"/>
      <c r="K1744" s="1841"/>
      <c r="R1744" s="2043"/>
      <c r="S1744" s="2043"/>
    </row>
    <row r="1745" spans="1:26" ht="15">
      <c r="A1745" s="1813"/>
      <c r="B1745" s="1820" t="s">
        <v>4580</v>
      </c>
      <c r="C1745" s="1820"/>
      <c r="D1745" s="1820"/>
      <c r="E1745" s="1652" t="s">
        <v>4177</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c r="A1746" s="1813"/>
      <c r="B1746" s="1976"/>
      <c r="C1746" s="1820"/>
      <c r="D1746" s="1820"/>
      <c r="E1746" s="1820"/>
      <c r="F1746" s="1820"/>
      <c r="G1746" s="1820"/>
      <c r="H1746" s="1820"/>
      <c r="I1746" s="1820"/>
      <c r="J1746" s="1820"/>
      <c r="K1746" s="1943" t="s">
        <v>2509</v>
      </c>
      <c r="L1746" s="1943" t="s">
        <v>2509</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2434</v>
      </c>
      <c r="C1747" s="1900" t="s">
        <v>4132</v>
      </c>
      <c r="D1747" s="1900"/>
      <c r="E1747" s="1900"/>
      <c r="F1747" s="1900"/>
      <c r="G1747" s="1900"/>
      <c r="H1747" s="1900"/>
      <c r="I1747" s="1900"/>
      <c r="J1747" s="1944" t="s">
        <v>2434</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2435</v>
      </c>
      <c r="C1749" s="1900" t="s">
        <v>4581</v>
      </c>
      <c r="D1749" s="1900"/>
      <c r="E1749" s="1900"/>
      <c r="F1749" s="1900"/>
      <c r="G1749" s="1900"/>
      <c r="H1749" s="1976"/>
      <c r="I1749" s="1976"/>
      <c r="J1749" s="1937" t="s">
        <v>2435</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2436</v>
      </c>
      <c r="C1750" s="1921" t="s">
        <v>2824</v>
      </c>
      <c r="D1750" s="1921"/>
      <c r="E1750" s="1921"/>
      <c r="F1750" s="1921"/>
      <c r="G1750" s="1921"/>
      <c r="H1750" s="1921"/>
      <c r="I1750" s="1913"/>
      <c r="J1750" s="1944" t="s">
        <v>2436</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2437</v>
      </c>
      <c r="C1751" s="1218" t="s">
        <v>4018</v>
      </c>
      <c r="D1751" s="1921"/>
      <c r="E1751" s="1921"/>
      <c r="F1751" s="1921"/>
      <c r="G1751" s="1921"/>
      <c r="H1751" s="1921"/>
      <c r="I1751" s="1913"/>
      <c r="J1751" s="1944" t="s">
        <v>2437</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4174</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2438</v>
      </c>
      <c r="C1753" s="1921" t="s">
        <v>4009</v>
      </c>
      <c r="D1753" s="1921"/>
      <c r="E1753" s="1921"/>
      <c r="F1753" s="1921"/>
      <c r="G1753" s="1921"/>
      <c r="H1753" s="1921"/>
      <c r="I1753" s="1913"/>
      <c r="J1753" s="1944" t="s">
        <v>2438</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2454</v>
      </c>
      <c r="C1754" s="1921" t="s">
        <v>2825</v>
      </c>
      <c r="D1754" s="1921"/>
      <c r="E1754" s="1921"/>
      <c r="F1754" s="1921"/>
      <c r="G1754" s="1921"/>
      <c r="H1754" s="1913"/>
      <c r="I1754" s="1913"/>
      <c r="J1754" s="1944" t="s">
        <v>2454</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2455</v>
      </c>
      <c r="C1755" s="1921" t="s">
        <v>4010</v>
      </c>
      <c r="D1755" s="1921"/>
      <c r="E1755" s="1921"/>
      <c r="F1755" s="1921"/>
      <c r="G1755" s="1913"/>
      <c r="H1755" s="1913"/>
      <c r="I1755" s="1913"/>
      <c r="J1755" s="1944" t="s">
        <v>2455</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4011</v>
      </c>
      <c r="E1756" s="1921"/>
      <c r="F1756" s="2069" t="e">
        <f>'Part IX Scoring Criteria'!#REF!</f>
        <v>#REF!</v>
      </c>
      <c r="G1756" s="2069" t="e">
        <f>'Part IX Scoring Criteria'!#REF!</f>
        <v>#REF!</v>
      </c>
      <c r="H1756" s="1913"/>
      <c r="I1756" s="1921" t="s">
        <v>4012</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2456</v>
      </c>
      <c r="C1757" s="1921" t="s">
        <v>4582</v>
      </c>
      <c r="D1757" s="1921"/>
      <c r="E1757" s="1921"/>
      <c r="F1757" s="1921"/>
      <c r="G1757" s="1913"/>
      <c r="H1757" s="1913"/>
      <c r="I1757" s="1913"/>
      <c r="J1757" s="1944" t="s">
        <v>2456</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4133</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1982</v>
      </c>
      <c r="B1761" s="1820" t="s">
        <v>4013</v>
      </c>
      <c r="M1761" s="1630">
        <v>5</v>
      </c>
      <c r="N1761" s="1935" t="s">
        <v>1982</v>
      </c>
      <c r="O1761" s="2070">
        <f>'Part IX Scoring Criteria'!O205</f>
        <v>0</v>
      </c>
      <c r="P1761" s="2070">
        <f>'Part IX Scoring Criteria'!P205</f>
        <v>0</v>
      </c>
      <c r="Q1761" s="1689"/>
      <c r="X1761" s="1639"/>
      <c r="Y1761" s="1937"/>
    </row>
    <row r="1762" spans="1:26" ht="12.75" customHeight="1">
      <c r="A1762" s="1935"/>
      <c r="B1762" s="2050" t="s">
        <v>1985</v>
      </c>
      <c r="C1762" s="1900" t="s">
        <v>4583</v>
      </c>
      <c r="D1762" s="1900"/>
      <c r="E1762" s="1900"/>
      <c r="F1762" s="1900"/>
      <c r="G1762" s="1900"/>
      <c r="H1762" s="1900"/>
      <c r="I1762" s="1900"/>
      <c r="J1762" s="1900"/>
      <c r="K1762" s="1900"/>
      <c r="L1762" s="1942" t="str">
        <f>IF(OR($O1762=$M1762,$O1762=0,$O1762=""),"","* * Check Score! * *")</f>
        <v/>
      </c>
      <c r="M1762" s="1948">
        <v>3</v>
      </c>
      <c r="N1762" s="2021" t="s">
        <v>1985</v>
      </c>
      <c r="O1762" s="2014">
        <f>'Part IX Scoring Criteria'!O206</f>
        <v>0</v>
      </c>
      <c r="P1762" s="2014">
        <f>'Part IX Scoring Criteria'!P206</f>
        <v>0</v>
      </c>
      <c r="Q1762" s="2015" t="str">
        <f>IF(OR($O1762=$M1762,$O1762=0,$O1762=""),"","*CHECK!*")</f>
        <v/>
      </c>
      <c r="R1762" s="1648" t="s">
        <v>2705</v>
      </c>
    </row>
    <row r="1763" spans="1:26" ht="12.75" customHeight="1">
      <c r="A1763" s="1935"/>
      <c r="B1763" s="2050" t="s">
        <v>1987</v>
      </c>
      <c r="C1763" s="1965" t="s">
        <v>4584</v>
      </c>
      <c r="D1763" s="1965"/>
      <c r="E1763" s="1965"/>
      <c r="F1763" s="1965"/>
      <c r="G1763" s="1965"/>
      <c r="H1763" s="1965"/>
      <c r="I1763" s="1965"/>
      <c r="J1763" s="1965"/>
      <c r="K1763" s="1965"/>
      <c r="L1763" s="1942" t="str">
        <f>IF(OR($O1763=$M1763,$O1763=0,$O1763=""),"","* * Check Score! * *")</f>
        <v/>
      </c>
      <c r="M1763" s="1948">
        <v>2</v>
      </c>
      <c r="N1763" s="2021" t="s">
        <v>1987</v>
      </c>
      <c r="O1763" s="2014">
        <f>'Part IX Scoring Criteria'!O207</f>
        <v>0</v>
      </c>
      <c r="P1763" s="2014">
        <f>'Part IX Scoring Criteria'!P207</f>
        <v>0</v>
      </c>
      <c r="Q1763" s="2015" t="str">
        <f>IF(OR($O1763=$M1763,$O1763=0,$O1763=""),"","*CHECK!*")</f>
        <v/>
      </c>
      <c r="R1763" s="1648" t="s">
        <v>2705</v>
      </c>
    </row>
    <row r="1764" spans="1:26">
      <c r="A1764" s="1935"/>
      <c r="B1764" s="1964"/>
      <c r="C1764" s="1964" t="s">
        <v>3779</v>
      </c>
      <c r="E1764" s="1964" t="str">
        <f>'Part I-Project Information'!$N$39</f>
        <v>Yes</v>
      </c>
      <c r="G1764" s="1964" t="s">
        <v>3575</v>
      </c>
      <c r="I1764" s="2071" t="str">
        <f>'Part I-Project Information'!$O$38</f>
        <v>0055.01</v>
      </c>
      <c r="J1764" s="2071"/>
      <c r="K1764" s="1841" t="s">
        <v>3374</v>
      </c>
      <c r="M1764" s="1841" t="str">
        <f>'Part IV-A-Uses of Funds'!$H$152</f>
        <v>DDA/QCT</v>
      </c>
    </row>
    <row r="1765" spans="1:26">
      <c r="A1765" s="1935"/>
      <c r="B1765" s="1964"/>
      <c r="D1765" s="1943"/>
      <c r="E1765" s="1964"/>
      <c r="G1765" s="1841"/>
      <c r="K1765" s="1841"/>
      <c r="L1765" s="1841"/>
    </row>
    <row r="1766" spans="1:26">
      <c r="A1766" s="1825" t="s">
        <v>1984</v>
      </c>
      <c r="B1766" s="1820" t="s">
        <v>4016</v>
      </c>
      <c r="D1766" s="1631"/>
      <c r="K1766" s="1829"/>
      <c r="L1766" s="1942" t="str">
        <f>IF(OR($O1766=$M1766,$O1766=0,$O1766=""),"","* * Check Score! * *")</f>
        <v/>
      </c>
      <c r="M1766" s="1630">
        <v>2</v>
      </c>
      <c r="N1766" s="1935" t="s">
        <v>1984</v>
      </c>
      <c r="O1766" s="1975">
        <f>'Part IX Scoring Criteria'!O210</f>
        <v>0</v>
      </c>
      <c r="P1766" s="1975">
        <f>'Part IX Scoring Criteria'!P210</f>
        <v>0</v>
      </c>
      <c r="Q1766" s="2015" t="str">
        <f>IF(OR($O1766=$M1766,$O1766=0,$O1766=""),"","*CHECK!*")</f>
        <v/>
      </c>
      <c r="R1766" s="1648" t="s">
        <v>2705</v>
      </c>
    </row>
    <row r="1767" spans="1:26" ht="18.75">
      <c r="A1767" s="1825"/>
      <c r="B1767" s="521" t="s">
        <v>2793</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75">
      <c r="A1768" s="1941"/>
      <c r="B1768" s="521" t="s">
        <v>3858</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75">
      <c r="A1769" s="1941"/>
      <c r="B1769" s="1964" t="s">
        <v>3859</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3624</v>
      </c>
      <c r="N1769" s="1976"/>
      <c r="O1769" s="1976"/>
      <c r="P1769" s="1976"/>
      <c r="Q1769" s="1976"/>
      <c r="R1769" s="1976"/>
      <c r="S1769" s="1976"/>
      <c r="T1769" s="1976"/>
      <c r="U1769" s="1976"/>
      <c r="V1769" s="2043"/>
      <c r="W1769" s="2043"/>
      <c r="X1769" s="1976"/>
      <c r="Y1769" s="1976"/>
      <c r="Z1769" s="1976"/>
    </row>
    <row r="1770" spans="1:26" ht="18.75">
      <c r="A1770" s="1879"/>
      <c r="B1770" s="1964" t="s">
        <v>4191</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75">
      <c r="A1771" s="1879"/>
      <c r="B1771" s="1921" t="s">
        <v>3788</v>
      </c>
      <c r="G1771" s="1921"/>
      <c r="J1771" s="2170">
        <f>'Part IX Scoring Criteria'!O215</f>
        <v>0</v>
      </c>
      <c r="K1771" s="2072" t="s">
        <v>3787</v>
      </c>
      <c r="L1771" s="1913"/>
      <c r="N1771" s="1637"/>
      <c r="O1771" s="1639"/>
      <c r="P1771" s="1639"/>
      <c r="V1771" s="2043"/>
      <c r="W1771" s="2043"/>
    </row>
    <row r="1772" spans="1:26" ht="18.75" customHeight="1">
      <c r="A1772" s="2073" t="s">
        <v>4171</v>
      </c>
      <c r="B1772" s="1900" t="s">
        <v>4168</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4169</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4170</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75">
      <c r="B1775" s="521" t="s">
        <v>3453</v>
      </c>
      <c r="G1775" s="521" t="s">
        <v>2628</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75">
      <c r="A1776" s="1631"/>
      <c r="B1776" s="1976"/>
      <c r="C1776" s="521" t="s">
        <v>4585</v>
      </c>
      <c r="D1776" s="1899"/>
      <c r="E1776" s="1976"/>
      <c r="F1776" s="1976"/>
      <c r="G1776" s="2074">
        <f>'Part IV-A-Uses of Funds'!$G$132</f>
        <v>32698126.5</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c r="A1777" s="1631"/>
      <c r="B1777" s="1994" t="s">
        <v>3754</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7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c r="A1779" s="1631"/>
      <c r="B1779" s="1866" t="s">
        <v>1865</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7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c r="A1782" s="1977" t="s">
        <v>426</v>
      </c>
      <c r="B1782" s="1978" t="s">
        <v>4017</v>
      </c>
      <c r="C1782" s="1899"/>
      <c r="D1782" s="1899"/>
      <c r="E1782" s="1899"/>
      <c r="F1782" s="1899"/>
      <c r="G1782" s="1899"/>
      <c r="H1782" s="1899"/>
      <c r="I1782" s="1899"/>
      <c r="J1782" s="1899"/>
      <c r="K1782" s="1928" t="s">
        <v>3245</v>
      </c>
      <c r="L1782" s="1928" t="s">
        <v>256</v>
      </c>
      <c r="M1782" s="1813">
        <v>3</v>
      </c>
      <c r="N1782" s="2011"/>
      <c r="O1782" s="1982"/>
      <c r="P1782" s="1975">
        <f>'Part IX Scoring Criteria'!P228</f>
        <v>0</v>
      </c>
      <c r="Q1782" s="1813" t="s">
        <v>441</v>
      </c>
      <c r="R1782" s="1648" t="s">
        <v>2705</v>
      </c>
      <c r="S1782" s="1976"/>
      <c r="T1782" s="1976"/>
      <c r="U1782" s="1976"/>
      <c r="V1782" s="1976"/>
      <c r="W1782" s="1976"/>
      <c r="X1782" s="1976"/>
      <c r="Y1782" s="1976"/>
      <c r="Z1782" s="1976"/>
    </row>
    <row r="1783" spans="1:26" ht="15">
      <c r="A1783" s="1825"/>
      <c r="B1783" s="1929" t="s">
        <v>4019</v>
      </c>
      <c r="C1783" s="1976"/>
      <c r="D1783" s="1216" t="s">
        <v>4020</v>
      </c>
      <c r="E1783" s="1976"/>
      <c r="F1783" s="1976"/>
      <c r="G1783" s="1976"/>
      <c r="H1783" s="1976"/>
      <c r="I1783" s="1976"/>
      <c r="J1783" s="1976"/>
      <c r="K1783" s="2070">
        <f>'Part IX Scoring Criteria'!K231</f>
        <v>0</v>
      </c>
      <c r="L1783" s="2070">
        <f>'Part IX Scoring Criteria'!L231</f>
        <v>0</v>
      </c>
      <c r="M1783" s="1976"/>
      <c r="N1783" s="1937" t="s">
        <v>2434</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75">
      <c r="A1784" s="1825"/>
      <c r="B1784" s="1976"/>
      <c r="C1784" s="1976"/>
      <c r="D1784" s="1216" t="s">
        <v>4021</v>
      </c>
      <c r="E1784" s="1976"/>
      <c r="F1784" s="1976"/>
      <c r="G1784" s="1976"/>
      <c r="H1784" s="1976"/>
      <c r="I1784" s="1976"/>
      <c r="J1784" s="1976"/>
      <c r="K1784" s="2070">
        <f>'Part IX Scoring Criteria'!K232</f>
        <v>0</v>
      </c>
      <c r="L1784" s="2070">
        <f>'Part IX Scoring Criteria'!L232</f>
        <v>0</v>
      </c>
      <c r="M1784" s="1976"/>
      <c r="N1784" s="1937" t="s">
        <v>2435</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75">
      <c r="A1785" s="1825"/>
      <c r="B1785" s="1976"/>
      <c r="C1785" s="1976"/>
      <c r="D1785" s="1216" t="s">
        <v>4022</v>
      </c>
      <c r="E1785" s="1976"/>
      <c r="F1785" s="1976"/>
      <c r="G1785" s="1976"/>
      <c r="H1785" s="1976"/>
      <c r="I1785" s="1976"/>
      <c r="J1785" s="1976"/>
      <c r="K1785" s="1976"/>
      <c r="L1785" s="1976"/>
      <c r="M1785" s="1976"/>
      <c r="N1785" s="1937" t="s">
        <v>2436</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75">
      <c r="A1786" s="1825"/>
      <c r="B1786" s="1976"/>
      <c r="C1786" s="1976"/>
      <c r="D1786" s="1216" t="s">
        <v>4023</v>
      </c>
      <c r="E1786" s="1976"/>
      <c r="F1786" s="1976"/>
      <c r="G1786" s="1976"/>
      <c r="H1786" s="1976"/>
      <c r="I1786" s="1976"/>
      <c r="J1786" s="1976"/>
      <c r="K1786" s="1976"/>
      <c r="L1786" s="1976"/>
      <c r="M1786" s="1976"/>
      <c r="N1786" s="1937" t="s">
        <v>2437</v>
      </c>
      <c r="O1786" s="1937"/>
      <c r="P1786" s="1938">
        <f>'Part IX Scoring Criteria'!P234</f>
        <v>0</v>
      </c>
      <c r="Q1786" s="1976"/>
      <c r="R1786" s="2043"/>
      <c r="S1786" s="2043"/>
      <c r="T1786" s="1976"/>
      <c r="U1786" s="1976"/>
      <c r="V1786" s="1976"/>
      <c r="W1786" s="1976"/>
      <c r="X1786" s="1976"/>
      <c r="Y1786" s="1976"/>
      <c r="Z1786" s="1976"/>
    </row>
    <row r="1787" spans="1:26" ht="18.75">
      <c r="A1787" s="1825"/>
      <c r="B1787" s="1976"/>
      <c r="C1787" s="1976"/>
      <c r="D1787" s="1216" t="s">
        <v>4024</v>
      </c>
      <c r="E1787" s="1976"/>
      <c r="F1787" s="1976"/>
      <c r="G1787" s="1976"/>
      <c r="H1787" s="1976"/>
      <c r="I1787" s="1976"/>
      <c r="J1787" s="1976"/>
      <c r="K1787" s="1976"/>
      <c r="L1787" s="1976"/>
      <c r="M1787" s="1976"/>
      <c r="N1787" s="1937" t="s">
        <v>2438</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1982</v>
      </c>
      <c r="B1789" s="1820" t="s">
        <v>4586</v>
      </c>
      <c r="D1789" s="1631"/>
      <c r="G1789" s="1964" t="s">
        <v>3783</v>
      </c>
      <c r="Q1789" s="1689"/>
    </row>
    <row r="1790" spans="1:26">
      <c r="A1790" s="1935"/>
      <c r="B1790" s="521" t="s">
        <v>3863</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2703</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75">
      <c r="A1791" s="1935"/>
      <c r="B1791" s="521" t="s">
        <v>2193</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1985</v>
      </c>
      <c r="C1793" s="1893" t="s">
        <v>4025</v>
      </c>
      <c r="D1793" s="1921"/>
      <c r="E1793" s="1921"/>
      <c r="F1793" s="1921"/>
      <c r="G1793" s="1921"/>
      <c r="H1793" s="1921"/>
      <c r="I1793" s="1921"/>
      <c r="J1793" s="1921"/>
      <c r="K1793" s="1921"/>
      <c r="L1793" s="1921"/>
      <c r="M1793" s="1921"/>
      <c r="N1793" s="1921"/>
      <c r="O1793" s="1895" t="s">
        <v>2509</v>
      </c>
      <c r="P1793" s="1895" t="s">
        <v>2509</v>
      </c>
      <c r="Q1793" s="1921"/>
    </row>
    <row r="1794" spans="1:26" ht="18.75" customHeight="1">
      <c r="A1794" s="1895"/>
      <c r="B1794" s="1952"/>
      <c r="C1794" s="1867" t="s">
        <v>4587</v>
      </c>
      <c r="D1794" s="1867"/>
      <c r="E1794" s="1867"/>
      <c r="F1794" s="1867"/>
      <c r="G1794" s="1867"/>
      <c r="H1794" s="1867"/>
      <c r="I1794" s="1867"/>
      <c r="J1794" s="1867"/>
      <c r="K1794" s="1867"/>
      <c r="L1794" s="1867"/>
      <c r="M1794" s="1631"/>
      <c r="N1794" s="2001" t="s">
        <v>1985</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2434</v>
      </c>
      <c r="C1795" s="521" t="s">
        <v>4027</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2703</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4029</v>
      </c>
      <c r="P1795" s="1785"/>
      <c r="Q1795" s="1921"/>
      <c r="S1795" s="1631"/>
      <c r="T1795" s="1631"/>
      <c r="U1795" s="1631"/>
      <c r="V1795" s="2043"/>
      <c r="W1795" s="2043"/>
      <c r="X1795" s="1631"/>
      <c r="Y1795" s="1631"/>
      <c r="Z1795" s="1631"/>
    </row>
    <row r="1796" spans="1:26" ht="18.75">
      <c r="A1796" s="1935"/>
      <c r="B1796" s="1631"/>
      <c r="C1796" s="521" t="s">
        <v>2193</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2435</v>
      </c>
      <c r="C1797" s="521" t="s">
        <v>4028</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2703</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4029</v>
      </c>
      <c r="P1797" s="1785"/>
      <c r="Q1797" s="1921"/>
      <c r="S1797" s="1631"/>
      <c r="T1797" s="1631"/>
      <c r="U1797" s="1631"/>
      <c r="V1797" s="2043"/>
      <c r="W1797" s="2043"/>
      <c r="X1797" s="1631"/>
      <c r="Y1797" s="1631"/>
      <c r="Z1797" s="1631"/>
    </row>
    <row r="1798" spans="1:26" ht="18.75">
      <c r="A1798" s="1935"/>
      <c r="B1798" s="1631"/>
      <c r="C1798" s="521" t="s">
        <v>2193</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1987</v>
      </c>
      <c r="C1799" s="1893" t="s">
        <v>4030</v>
      </c>
      <c r="D1799" s="1921"/>
      <c r="E1799" s="1921"/>
      <c r="F1799" s="1921"/>
      <c r="G1799" s="1964" t="s">
        <v>3783</v>
      </c>
      <c r="H1799" s="1921"/>
      <c r="I1799" s="1921"/>
      <c r="J1799" s="1921"/>
      <c r="K1799" s="1921"/>
      <c r="L1799" s="1921"/>
      <c r="M1799" s="1921"/>
      <c r="N1799" s="1921"/>
      <c r="O1799" s="1895" t="s">
        <v>2509</v>
      </c>
      <c r="P1799" s="1895" t="s">
        <v>2509</v>
      </c>
      <c r="Q1799" s="1921"/>
    </row>
    <row r="1800" spans="1:26" ht="18.75" customHeight="1">
      <c r="A1800" s="1935"/>
      <c r="B1800" s="2076"/>
      <c r="C1800" s="1900" t="s">
        <v>4588</v>
      </c>
      <c r="D1800" s="1900"/>
      <c r="E1800" s="1900"/>
      <c r="F1800" s="1900"/>
      <c r="G1800" s="1900"/>
      <c r="H1800" s="1900"/>
      <c r="I1800" s="1900"/>
      <c r="J1800" s="1900"/>
      <c r="K1800" s="1900"/>
      <c r="L1800" s="1900"/>
      <c r="M1800" s="1900"/>
      <c r="N1800" s="2001" t="s">
        <v>1987</v>
      </c>
      <c r="O1800" s="1945">
        <f>'Part IX Scoring Criteria'!O249</f>
        <v>0</v>
      </c>
      <c r="P1800" s="1945">
        <f>'Part IX Scoring Criteria'!P249</f>
        <v>0</v>
      </c>
      <c r="Q1800" s="1947"/>
      <c r="V1800" s="2043"/>
      <c r="W1800" s="2043"/>
    </row>
    <row r="1801" spans="1:26" ht="18.75">
      <c r="A1801" s="1935"/>
      <c r="B1801" s="1937" t="s">
        <v>2434</v>
      </c>
      <c r="C1801" s="1952" t="s">
        <v>4136</v>
      </c>
      <c r="D1801" s="1899"/>
      <c r="E1801" s="1899"/>
      <c r="F1801" s="1899"/>
      <c r="G1801" s="1899"/>
      <c r="H1801" s="1899"/>
      <c r="I1801" s="1899"/>
      <c r="J1801" s="1899"/>
      <c r="K1801" s="1899"/>
      <c r="L1801" s="1899"/>
      <c r="M1801" s="1899"/>
      <c r="N1801" s="1899"/>
      <c r="O1801" s="1899"/>
      <c r="P1801" s="1899"/>
      <c r="Q1801" s="1947"/>
      <c r="V1801" s="2043"/>
      <c r="W1801" s="2043"/>
    </row>
    <row r="1802" spans="1:26" ht="18.7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7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7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2435</v>
      </c>
      <c r="C1805" s="1952" t="s">
        <v>4134</v>
      </c>
      <c r="D1805" s="1899"/>
      <c r="E1805" s="1899"/>
      <c r="F1805" s="1899"/>
      <c r="G1805" s="1899"/>
      <c r="H1805" s="1899"/>
      <c r="I1805" s="1899"/>
      <c r="J1805" s="1899"/>
      <c r="K1805" s="1899"/>
      <c r="L1805" s="1900" t="s">
        <v>4138</v>
      </c>
      <c r="M1805" s="1900"/>
      <c r="N1805" s="1921" t="s">
        <v>4139</v>
      </c>
      <c r="O1805" s="1921"/>
      <c r="P1805" s="1921"/>
      <c r="Q1805" s="1947"/>
      <c r="V1805" s="2043"/>
      <c r="W1805" s="2043"/>
    </row>
    <row r="1806" spans="1:26" ht="18.7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7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7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2533</v>
      </c>
      <c r="C1809" s="1893" t="s">
        <v>4031</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4035</v>
      </c>
      <c r="D1810" s="1867"/>
      <c r="E1810" s="1867"/>
      <c r="F1810" s="1867"/>
      <c r="G1810" s="1867"/>
      <c r="H1810" s="1867"/>
      <c r="I1810" s="1867"/>
      <c r="J1810" s="1867"/>
      <c r="K1810" s="1867"/>
      <c r="L1810" s="1867"/>
      <c r="M1810" s="1867"/>
      <c r="N1810" s="2001" t="s">
        <v>2533</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3786</v>
      </c>
      <c r="D1811" s="1631"/>
      <c r="Q1811" s="1630"/>
    </row>
    <row r="1812" spans="1:26" ht="18.75" customHeight="1">
      <c r="A1812" s="1935"/>
      <c r="B1812" s="2077"/>
      <c r="C1812" s="1900" t="s">
        <v>4037</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2434</v>
      </c>
      <c r="C1813" s="1867" t="s">
        <v>4038</v>
      </c>
      <c r="D1813" s="1867"/>
      <c r="E1813" s="1867"/>
      <c r="F1813" s="1867"/>
      <c r="G1813" s="1867"/>
      <c r="H1813" s="1867"/>
      <c r="I1813" s="1867"/>
      <c r="J1813" s="1867"/>
      <c r="K1813" s="1867"/>
      <c r="L1813" s="1867"/>
      <c r="M1813" s="1867"/>
      <c r="N1813" s="1937" t="s">
        <v>2434</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2435</v>
      </c>
      <c r="C1814" s="1867" t="s">
        <v>4039</v>
      </c>
      <c r="D1814" s="1867"/>
      <c r="E1814" s="1867"/>
      <c r="F1814" s="1867"/>
      <c r="G1814" s="1867"/>
      <c r="H1814" s="1867"/>
      <c r="I1814" s="1867"/>
      <c r="J1814" s="1867"/>
      <c r="K1814" s="1867"/>
      <c r="L1814" s="1867"/>
      <c r="M1814" s="1867"/>
      <c r="N1814" s="1937" t="s">
        <v>2435</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75">
      <c r="B1815" s="1937"/>
      <c r="C1815" s="1216"/>
      <c r="G1815" s="1964"/>
      <c r="L1815" s="2078"/>
      <c r="M1815" s="2078"/>
      <c r="Q1815" s="1947"/>
      <c r="V1815" s="2043"/>
      <c r="W1815" s="2043"/>
    </row>
    <row r="1816" spans="1:26">
      <c r="A1816" s="1825" t="s">
        <v>1984</v>
      </c>
      <c r="B1816" s="1820" t="s">
        <v>4589</v>
      </c>
      <c r="D1816" s="1631"/>
      <c r="G1816" s="1964" t="s">
        <v>3783</v>
      </c>
      <c r="O1816" s="1895" t="s">
        <v>2509</v>
      </c>
      <c r="P1816" s="1895" t="s">
        <v>2509</v>
      </c>
      <c r="Q1816" s="1689"/>
    </row>
    <row r="1817" spans="1:26" ht="18.75" customHeight="1">
      <c r="A1817" s="1935"/>
      <c r="B1817" s="2050" t="s">
        <v>1985</v>
      </c>
      <c r="C1817" s="1900" t="s">
        <v>4033</v>
      </c>
      <c r="D1817" s="1900"/>
      <c r="E1817" s="1900"/>
      <c r="F1817" s="1900"/>
      <c r="G1817" s="1900"/>
      <c r="H1817" s="1900"/>
      <c r="I1817" s="1900"/>
      <c r="J1817" s="1900"/>
      <c r="K1817" s="1900"/>
      <c r="L1817" s="1900"/>
      <c r="M1817" s="2079" t="s">
        <v>1984</v>
      </c>
      <c r="N1817" s="2001" t="s">
        <v>1985</v>
      </c>
      <c r="O1817" s="1945">
        <f>'Part IX Scoring Criteria'!O269</f>
        <v>0</v>
      </c>
      <c r="P1817" s="1945">
        <f>'Part IX Scoring Criteria'!P269</f>
        <v>0</v>
      </c>
      <c r="Q1817" s="1689"/>
      <c r="V1817" s="2043"/>
      <c r="W1817" s="2043"/>
    </row>
    <row r="1818" spans="1:26" ht="18.75">
      <c r="A1818" s="1935"/>
      <c r="B1818" s="2050" t="s">
        <v>1987</v>
      </c>
      <c r="C1818" s="1841" t="s">
        <v>4034</v>
      </c>
      <c r="D1818" s="1867"/>
      <c r="E1818" s="1867"/>
      <c r="F1818" s="1867"/>
      <c r="G1818" s="1867"/>
      <c r="H1818" s="1867"/>
      <c r="I1818" s="1867"/>
      <c r="J1818" s="1867"/>
      <c r="K1818" s="1867"/>
      <c r="L1818" s="1867"/>
      <c r="M1818" s="1867"/>
      <c r="N1818" s="2001" t="s">
        <v>1987</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c r="A1819" s="1631"/>
      <c r="B1819" s="1994" t="s">
        <v>3754</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7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c r="A1821" s="1631"/>
      <c r="B1821" s="1897" t="s">
        <v>1865</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7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5">
      <c r="A1824" s="1977" t="s">
        <v>362</v>
      </c>
      <c r="B1824" s="1978" t="s">
        <v>2785</v>
      </c>
      <c r="C1824" s="1993"/>
      <c r="D1824" s="1994"/>
      <c r="E1824" s="1994"/>
      <c r="F1824" s="1993"/>
      <c r="G1824" s="1993"/>
      <c r="H1824" s="1652" t="s">
        <v>4179</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c r="A1826" s="2081" t="s">
        <v>3601</v>
      </c>
      <c r="B1826" s="1820" t="s">
        <v>3599</v>
      </c>
      <c r="C1826" s="1993"/>
      <c r="D1826" s="1994"/>
      <c r="E1826" s="1994"/>
      <c r="F1826" s="1993"/>
      <c r="G1826" s="1993"/>
      <c r="H1826" s="1652"/>
      <c r="I1826" s="1993"/>
      <c r="J1826" s="1993"/>
      <c r="K1826" s="1993"/>
      <c r="L1826" s="1993"/>
      <c r="M1826" s="1630">
        <v>3</v>
      </c>
      <c r="N1826" s="2038" t="s">
        <v>4042</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2793</v>
      </c>
      <c r="C1827" s="1486"/>
      <c r="D1827" s="1486"/>
      <c r="H1827" s="1820" t="str">
        <f>'Part I-Project Information'!$H$105</f>
        <v>N/A - 4% Bond</v>
      </c>
      <c r="N1827" s="2038"/>
      <c r="O1827" s="1943" t="s">
        <v>2509</v>
      </c>
      <c r="P1827" s="1943" t="s">
        <v>2509</v>
      </c>
    </row>
    <row r="1828" spans="1:26" ht="12.75" customHeight="1">
      <c r="A1828" s="2081"/>
      <c r="B1828" s="2046" t="s">
        <v>1985</v>
      </c>
      <c r="C1828" s="1216" t="s">
        <v>2684</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1987</v>
      </c>
      <c r="C1829" s="1216" t="s">
        <v>2738</v>
      </c>
      <c r="G1829" s="1216" t="s">
        <v>2388</v>
      </c>
      <c r="H1829" s="2173" t="str">
        <f>'Part IX Scoring Criteria'!H282</f>
        <v>&lt; Select &gt;</v>
      </c>
      <c r="I1829" s="1216" t="s">
        <v>2739</v>
      </c>
      <c r="L1829" s="521" t="s">
        <v>2737</v>
      </c>
      <c r="M1829" s="1894" t="str">
        <f>IF(O1829&gt;H1829,"CHECK ACTUAL PERCENT!!!","")</f>
        <v/>
      </c>
      <c r="N1829" s="2013" t="s">
        <v>1987</v>
      </c>
      <c r="O1829" s="2083">
        <f>'Part IX Scoring Criteria'!O282</f>
        <v>0</v>
      </c>
      <c r="P1829" s="2083">
        <f>'Part IX Scoring Criteria'!P282</f>
        <v>0</v>
      </c>
      <c r="Q1829" s="2082"/>
      <c r="R1829" s="2082"/>
    </row>
    <row r="1830" spans="1:26" ht="12.75" customHeight="1">
      <c r="B1830" s="2046" t="s">
        <v>2533</v>
      </c>
      <c r="C1830" s="1216" t="s">
        <v>2389</v>
      </c>
      <c r="G1830" s="1216" t="s">
        <v>2390</v>
      </c>
      <c r="L1830" s="1841" t="s">
        <v>2731</v>
      </c>
      <c r="M1830" s="1631"/>
      <c r="N1830" s="2013" t="s">
        <v>2533</v>
      </c>
      <c r="O1830" s="1895" t="str">
        <f>'Part IX Scoring Criteria'!O283</f>
        <v>&lt;Select&gt;</v>
      </c>
      <c r="P1830" s="1895" t="str">
        <f>'Part IX Scoring Criteria'!P283</f>
        <v>&lt;Select&gt;</v>
      </c>
      <c r="Q1830" s="2082"/>
      <c r="R1830" s="2082"/>
    </row>
    <row r="1831" spans="1:26" ht="12.75" customHeight="1">
      <c r="A1831" s="1913"/>
      <c r="B1831" s="2050" t="s">
        <v>1224</v>
      </c>
      <c r="C1831" s="1900" t="s">
        <v>4590</v>
      </c>
      <c r="D1831" s="1900"/>
      <c r="E1831" s="1900"/>
      <c r="F1831" s="1900"/>
      <c r="G1831" s="1900"/>
      <c r="H1831" s="1900"/>
      <c r="I1831" s="1900"/>
      <c r="J1831" s="2084" t="s">
        <v>4041</v>
      </c>
      <c r="K1831" s="2084" t="s">
        <v>4040</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4096</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749</v>
      </c>
      <c r="B1834" s="2046" t="s">
        <v>3600</v>
      </c>
      <c r="C1834" s="1216"/>
      <c r="G1834" s="1216"/>
      <c r="M1834" s="1630">
        <v>2</v>
      </c>
      <c r="N1834" s="1828" t="s">
        <v>749</v>
      </c>
      <c r="O1834" s="1816">
        <f>'Part IX Scoring Criteria'!O288</f>
        <v>0</v>
      </c>
      <c r="P1834" s="1816">
        <f>'Part IX Scoring Criteria'!P288</f>
        <v>0</v>
      </c>
    </row>
    <row r="1835" spans="1:26">
      <c r="A1835" s="1848"/>
      <c r="B1835" s="1955" t="s">
        <v>3604</v>
      </c>
      <c r="C1835" s="1955"/>
      <c r="D1835" s="1955"/>
      <c r="E1835" s="1955"/>
      <c r="F1835" s="1955"/>
      <c r="G1835" s="1955"/>
      <c r="H1835" s="1904"/>
      <c r="I1835" s="1904"/>
      <c r="N1835" s="1637"/>
      <c r="O1835" s="1895">
        <f>'Part IX Scoring Criteria'!O289</f>
        <v>0</v>
      </c>
      <c r="P1835" s="1895">
        <f>'Part IX Scoring Criteria'!P289</f>
        <v>0</v>
      </c>
    </row>
    <row r="1836" spans="1:26">
      <c r="A1836" s="1848" t="s">
        <v>2114</v>
      </c>
      <c r="B1836" s="2046" t="s">
        <v>3602</v>
      </c>
      <c r="C1836" s="1216"/>
      <c r="G1836" s="1964" t="s">
        <v>3603</v>
      </c>
      <c r="H1836" s="2088">
        <f>'Part VI-Revenues &amp; Expenses'!$O$64</f>
        <v>0</v>
      </c>
      <c r="I1836" s="1943" t="s">
        <v>3605</v>
      </c>
      <c r="J1836" s="2088">
        <f>'Part VI-Revenues &amp; Expenses'!$O$67</f>
        <v>156</v>
      </c>
      <c r="K1836" s="1943" t="s">
        <v>3606</v>
      </c>
      <c r="L1836" s="2089">
        <f>IF(J1836=0,0,H1836/J1836)</f>
        <v>0</v>
      </c>
      <c r="M1836" s="1630">
        <v>2</v>
      </c>
      <c r="N1836" s="1632" t="s">
        <v>2114</v>
      </c>
      <c r="O1836" s="1813">
        <f>'Part IX Scoring Criteria'!O293</f>
        <v>0</v>
      </c>
      <c r="P1836" s="1813">
        <f>'Part IX Scoring Criteria'!P293</f>
        <v>0</v>
      </c>
    </row>
    <row r="1837" spans="1:26" ht="15">
      <c r="A1837" s="1631"/>
      <c r="B1837" s="1897" t="s">
        <v>1865</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7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c r="A1840" s="1977" t="s">
        <v>363</v>
      </c>
      <c r="B1840" s="1978" t="s">
        <v>4043</v>
      </c>
      <c r="C1840" s="1993"/>
      <c r="D1840" s="1994"/>
      <c r="E1840" s="1994"/>
      <c r="F1840" s="1993"/>
      <c r="G1840" s="1993"/>
      <c r="H1840" s="1652"/>
      <c r="I1840" s="2090" t="s">
        <v>3799</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1982</v>
      </c>
      <c r="B1841" s="2091" t="s">
        <v>3790</v>
      </c>
      <c r="D1841" s="1952"/>
      <c r="E1841" s="1952"/>
      <c r="F1841" s="1952"/>
      <c r="G1841" s="1952"/>
      <c r="H1841" s="1952"/>
      <c r="I1841" s="1952"/>
      <c r="J1841" s="1952"/>
      <c r="K1841" s="1952"/>
      <c r="L1841" s="1952"/>
      <c r="M1841" s="2092" t="str">
        <f>IF(OR(SUM(T1841:T1842)&gt;1,SUM(U1841:U1842)&gt;1),"Only one category can be met by other means!","")</f>
        <v/>
      </c>
      <c r="N1841" s="1937" t="s">
        <v>1982</v>
      </c>
      <c r="O1841" s="1938">
        <f>'Part IX Scoring Criteria'!O299</f>
        <v>0</v>
      </c>
      <c r="P1841" s="1938">
        <f>'Part IX Scoring Criteria'!P299</f>
        <v>0</v>
      </c>
      <c r="U1841" s="1943">
        <f>IF(L1841="Yes",1,0)</f>
        <v>0</v>
      </c>
    </row>
    <row r="1842" spans="1:26">
      <c r="A1842" s="1812" t="s">
        <v>1984</v>
      </c>
      <c r="B1842" s="2091" t="s">
        <v>3791</v>
      </c>
      <c r="D1842" s="1952"/>
      <c r="L1842" s="1952"/>
      <c r="M1842" s="2092"/>
      <c r="N1842" s="1937" t="s">
        <v>1984</v>
      </c>
      <c r="O1842" s="1938">
        <f>'Part IX Scoring Criteria'!O300</f>
        <v>0</v>
      </c>
      <c r="P1842" s="1938">
        <f>'Part IX Scoring Criteria'!P300</f>
        <v>0</v>
      </c>
      <c r="U1842" s="1943">
        <f>IF(L1842="Yes",1,0)</f>
        <v>0</v>
      </c>
    </row>
    <row r="1843" spans="1:26" ht="15">
      <c r="A1843" s="1631"/>
      <c r="B1843" s="1994" t="s">
        <v>3754</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7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c r="A1845" s="1631"/>
      <c r="B1845" s="1897" t="s">
        <v>1865</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7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c r="A1848" s="1977" t="s">
        <v>364</v>
      </c>
      <c r="B1848" s="1978" t="s">
        <v>2458</v>
      </c>
      <c r="C1848" s="1976"/>
      <c r="D1848" s="2012"/>
      <c r="E1848" s="2012"/>
      <c r="F1848" s="2012"/>
      <c r="G1848" s="1976"/>
      <c r="H1848" s="2026" t="s">
        <v>3390</v>
      </c>
      <c r="I1848" s="1976"/>
      <c r="J1848" s="1894" t="s">
        <v>2793</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1982</v>
      </c>
      <c r="B1849" s="1820" t="s">
        <v>4591</v>
      </c>
      <c r="D1849" s="1631"/>
      <c r="E1849" s="1631"/>
      <c r="F1849" s="1631"/>
      <c r="H1849" s="1894" t="s">
        <v>3683</v>
      </c>
      <c r="I1849" s="1216"/>
      <c r="J1849" s="1894" t="str">
        <f>'Part I-Project Information'!$O$34</f>
        <v>No</v>
      </c>
      <c r="K1849" s="1894"/>
      <c r="L1849" s="2042">
        <f>'Part I-Project Information'!$O$35</f>
        <v>0</v>
      </c>
      <c r="M1849" s="1630">
        <v>3</v>
      </c>
      <c r="N1849" s="1937" t="s">
        <v>1982</v>
      </c>
      <c r="O1849" s="1975">
        <f>'Part IX Scoring Criteria'!O307</f>
        <v>0</v>
      </c>
      <c r="P1849" s="1975">
        <f>'Part IX Scoring Criteria'!P307</f>
        <v>0</v>
      </c>
      <c r="Q1849" s="2015" t="str">
        <f>IF(OR($O1849=$M1849,$O1849=0,$O1849=""),"","*CHECK!*")</f>
        <v/>
      </c>
      <c r="R1849" s="2057" t="s">
        <v>2705</v>
      </c>
    </row>
    <row r="1850" spans="1:26" ht="12.75" customHeight="1">
      <c r="A1850" s="1216"/>
      <c r="B1850" s="2050" t="s">
        <v>1985</v>
      </c>
      <c r="C1850" s="1900" t="s">
        <v>4192</v>
      </c>
      <c r="D1850" s="1900"/>
      <c r="E1850" s="1900"/>
      <c r="F1850" s="1900"/>
      <c r="G1850" s="1900"/>
      <c r="H1850" s="1900"/>
      <c r="I1850" s="1900"/>
      <c r="J1850" s="1900"/>
      <c r="K1850" s="1900"/>
      <c r="L1850" s="1900"/>
      <c r="M1850" s="1900"/>
      <c r="N1850" s="2001" t="s">
        <v>1985</v>
      </c>
      <c r="O1850" s="1945">
        <f>'Part IX Scoring Criteria'!O308</f>
        <v>0</v>
      </c>
      <c r="P1850" s="1945">
        <f>'Part IX Scoring Criteria'!P308</f>
        <v>0</v>
      </c>
      <c r="Q1850" s="1900" t="s">
        <v>4592</v>
      </c>
      <c r="R1850" s="1900"/>
      <c r="S1850" s="1900"/>
      <c r="T1850" s="1900"/>
      <c r="U1850" s="1900"/>
      <c r="V1850" s="1900"/>
      <c r="W1850" s="1900"/>
      <c r="X1850" s="1900"/>
      <c r="Y1850" s="1900"/>
      <c r="Z1850" s="1900"/>
    </row>
    <row r="1851" spans="1:26">
      <c r="A1851" s="521"/>
      <c r="B1851" s="2046"/>
      <c r="C1851" s="521" t="s">
        <v>3805</v>
      </c>
      <c r="D1851" s="521"/>
      <c r="E1851" s="521"/>
      <c r="F1851" s="521"/>
      <c r="G1851" s="521"/>
      <c r="H1851" s="1841" t="s">
        <v>2582</v>
      </c>
      <c r="I1851" s="2040">
        <f>'Part IX Scoring Criteria'!J309</f>
        <v>0</v>
      </c>
      <c r="J1851" s="1841" t="s">
        <v>2300</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3860</v>
      </c>
      <c r="D1852" s="521"/>
      <c r="E1852" s="521"/>
      <c r="F1852" s="521"/>
      <c r="G1852" s="521"/>
      <c r="H1852" s="1841" t="s">
        <v>2582</v>
      </c>
      <c r="I1852" s="2040">
        <f>'Part IX Scoring Criteria'!J310</f>
        <v>0</v>
      </c>
      <c r="J1852" s="1841" t="s">
        <v>2300</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1987</v>
      </c>
      <c r="C1853" s="521" t="s">
        <v>963</v>
      </c>
      <c r="D1853" s="521"/>
      <c r="E1853" s="521"/>
      <c r="F1853" s="521"/>
      <c r="G1853" s="521"/>
      <c r="H1853" s="521"/>
      <c r="I1853" s="521"/>
      <c r="J1853" s="521"/>
      <c r="K1853" s="521"/>
      <c r="L1853" s="521"/>
      <c r="M1853" s="1630"/>
      <c r="N1853" s="2013" t="s">
        <v>1987</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2533</v>
      </c>
      <c r="C1854" s="521" t="s">
        <v>964</v>
      </c>
      <c r="D1854" s="521"/>
      <c r="E1854" s="521"/>
      <c r="F1854" s="521"/>
      <c r="G1854" s="521"/>
      <c r="H1854" s="521"/>
      <c r="I1854" s="521"/>
      <c r="J1854" s="521"/>
      <c r="K1854" s="521"/>
      <c r="L1854" s="521"/>
      <c r="M1854" s="1630"/>
      <c r="N1854" s="2013" t="s">
        <v>2533</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1984</v>
      </c>
      <c r="B1856" s="1820" t="s">
        <v>4593</v>
      </c>
      <c r="C1856" s="1631"/>
      <c r="D1856" s="1631"/>
      <c r="E1856" s="1631"/>
      <c r="F1856" s="1631"/>
      <c r="G1856" s="1631"/>
      <c r="H1856" s="2026" t="s">
        <v>3391</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3607</v>
      </c>
      <c r="C1857" s="1631"/>
      <c r="D1857" s="1631"/>
      <c r="E1857" s="1631"/>
      <c r="F1857" s="1631"/>
      <c r="G1857" s="1631"/>
      <c r="H1857" s="2026"/>
      <c r="I1857" s="1631"/>
      <c r="J1857" s="1631"/>
      <c r="K1857" s="1631"/>
      <c r="L1857" s="1631"/>
      <c r="M1857" s="1630">
        <v>3</v>
      </c>
      <c r="N1857" s="1937" t="s">
        <v>1984</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1985</v>
      </c>
      <c r="C1858" s="1894" t="s">
        <v>4594</v>
      </c>
      <c r="D1858" s="1631"/>
      <c r="E1858" s="1631"/>
      <c r="F1858" s="1631"/>
      <c r="G1858" s="1631"/>
      <c r="H1858" s="1631"/>
      <c r="I1858" s="1631"/>
      <c r="J1858" s="1631"/>
      <c r="K1858" s="1631"/>
      <c r="L1858" s="1942" t="str">
        <f>IF(OR($O1858=$M1858,$O1858=0,$O1858=""),"","* * Check Score! * *")</f>
        <v/>
      </c>
      <c r="M1858" s="1630">
        <v>3</v>
      </c>
      <c r="N1858" s="2093" t="s">
        <v>1985</v>
      </c>
      <c r="O1858" s="1975">
        <f>'Part IX Scoring Criteria'!O317</f>
        <v>0</v>
      </c>
      <c r="P1858" s="1975">
        <f>'Part IX Scoring Criteria'!P317</f>
        <v>0</v>
      </c>
      <c r="Q1858" s="2015" t="str">
        <f>IF(OR($O1858=$M1858,$O1858=0,$O1858=""),"","*CHECK!*")</f>
        <v/>
      </c>
      <c r="R1858" s="2057" t="s">
        <v>2705</v>
      </c>
      <c r="S1858" s="1631"/>
      <c r="T1858" s="1631"/>
      <c r="U1858" s="1631"/>
      <c r="V1858" s="1631"/>
      <c r="W1858" s="1631"/>
      <c r="X1858" s="1631"/>
      <c r="Y1858" s="1631"/>
      <c r="Z1858" s="1631"/>
    </row>
    <row r="1859" spans="1:26">
      <c r="A1859" s="1938" t="s">
        <v>1353</v>
      </c>
      <c r="B1859" s="2050" t="s">
        <v>1987</v>
      </c>
      <c r="C1859" s="1950" t="s">
        <v>4595</v>
      </c>
      <c r="D1859" s="1631"/>
      <c r="E1859" s="1631"/>
      <c r="F1859" s="1631"/>
      <c r="G1859" s="1841"/>
      <c r="H1859" s="2026"/>
      <c r="I1859" s="1841"/>
      <c r="L1859" s="1942" t="str">
        <f>IF(OR($O1859=$M1859,$O1859=0,$O1859=""),"","* * Check Score! * *")</f>
        <v/>
      </c>
      <c r="M1859" s="1637">
        <v>2</v>
      </c>
      <c r="N1859" s="2093" t="s">
        <v>1987</v>
      </c>
      <c r="O1859" s="1975">
        <f>'Part IX Scoring Criteria'!O318</f>
        <v>0</v>
      </c>
      <c r="P1859" s="1975">
        <f>'Part IX Scoring Criteria'!P318</f>
        <v>0</v>
      </c>
      <c r="Q1859" s="2015" t="str">
        <f>IF(OR($O1859=$M1859,$O1859=0,$O1859=""),"","*CHECK!*")</f>
        <v/>
      </c>
      <c r="R1859" s="2057" t="s">
        <v>2705</v>
      </c>
    </row>
    <row r="1860" spans="1:26">
      <c r="A1860" s="1812" t="s">
        <v>749</v>
      </c>
      <c r="B1860" s="1820" t="s">
        <v>4596</v>
      </c>
      <c r="C1860" s="1631"/>
      <c r="D1860" s="1631"/>
      <c r="E1860" s="1631"/>
      <c r="F1860" s="1631"/>
      <c r="G1860" s="1631"/>
      <c r="H1860" s="2026" t="s">
        <v>4049</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3610</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1985</v>
      </c>
      <c r="C1862" s="1216" t="s">
        <v>3609</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1985</v>
      </c>
      <c r="O1862" s="1975">
        <f>'Part IX Scoring Criteria'!O321</f>
        <v>0</v>
      </c>
      <c r="P1862" s="1975">
        <f>'Part IX Scoring Criteria'!P321</f>
        <v>0</v>
      </c>
      <c r="Q1862" s="2015" t="str">
        <f>IF(OR($O1862=$M1862,$O1862=0,$O1862=""),"","*CHECK!*")</f>
        <v/>
      </c>
      <c r="R1862" s="2057" t="s">
        <v>2705</v>
      </c>
      <c r="S1862" s="1631"/>
      <c r="T1862" s="1631"/>
      <c r="U1862" s="1631"/>
      <c r="V1862" s="1631"/>
      <c r="W1862" s="1631"/>
      <c r="X1862" s="1631"/>
      <c r="Y1862" s="1631"/>
      <c r="Z1862" s="1631"/>
    </row>
    <row r="1863" spans="1:26">
      <c r="A1863" s="1938" t="s">
        <v>1353</v>
      </c>
      <c r="B1863" s="2050" t="s">
        <v>1987</v>
      </c>
      <c r="C1863" s="1894" t="s">
        <v>4597</v>
      </c>
      <c r="D1863" s="1631"/>
      <c r="E1863" s="1631"/>
      <c r="F1863" s="1631"/>
      <c r="G1863" s="1841"/>
      <c r="H1863" s="1842"/>
      <c r="I1863" s="1841"/>
      <c r="K1863" s="1817"/>
      <c r="L1863" s="1817"/>
      <c r="M1863" s="1637">
        <v>3</v>
      </c>
      <c r="N1863" s="2093" t="s">
        <v>1987</v>
      </c>
      <c r="O1863" s="1975">
        <f>'Part IX Scoring Criteria'!O322</f>
        <v>0</v>
      </c>
      <c r="P1863" s="1975">
        <f>'Part IX Scoring Criteria'!P322</f>
        <v>0</v>
      </c>
      <c r="Q1863" s="2015" t="str">
        <f>IF(OR($O1863=$M1863,$O1863=0,$O1863=""),"","*CHECK!*")</f>
        <v/>
      </c>
      <c r="R1863" s="2057" t="s">
        <v>2705</v>
      </c>
    </row>
    <row r="1864" spans="1:26">
      <c r="A1864" s="1938" t="s">
        <v>1353</v>
      </c>
      <c r="B1864" s="2050" t="s">
        <v>2533</v>
      </c>
      <c r="C1864" s="1950" t="s">
        <v>4598</v>
      </c>
      <c r="D1864" s="1631"/>
      <c r="E1864" s="1631"/>
      <c r="F1864" s="1631"/>
      <c r="G1864" s="1841"/>
      <c r="H1864" s="2026"/>
      <c r="I1864" s="1841"/>
      <c r="K1864" s="1817"/>
      <c r="L1864" s="1817"/>
      <c r="M1864" s="1637">
        <v>2</v>
      </c>
      <c r="N1864" s="2093" t="s">
        <v>2533</v>
      </c>
      <c r="O1864" s="1975">
        <f>'Part IX Scoring Criteria'!O323</f>
        <v>0</v>
      </c>
      <c r="P1864" s="1975">
        <f>'Part IX Scoring Criteria'!P323</f>
        <v>0</v>
      </c>
      <c r="Q1864" s="2015" t="str">
        <f>IF(OR($O1864=$M1864,$O1864=0,$O1864=""),"","*CHECK!*")</f>
        <v/>
      </c>
      <c r="R1864" s="2057" t="s">
        <v>2705</v>
      </c>
    </row>
    <row r="1865" spans="1:26" ht="15">
      <c r="A1865" s="1631"/>
      <c r="B1865" s="1994" t="s">
        <v>3754</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7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c r="A1867" s="1976"/>
      <c r="B1867" s="1897" t="s">
        <v>1865</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7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75">
      <c r="N1869" s="1637"/>
      <c r="O1869" s="1639"/>
      <c r="P1869" s="1639"/>
      <c r="T1869" s="2043"/>
      <c r="U1869" s="2043"/>
    </row>
    <row r="1870" spans="1:26" ht="18.75">
      <c r="A1870" s="2094" t="s">
        <v>1726</v>
      </c>
      <c r="B1870" s="1978" t="s">
        <v>2826</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8.75">
      <c r="A1871" s="1825" t="s">
        <v>1982</v>
      </c>
      <c r="B1871" s="1820" t="s">
        <v>2232</v>
      </c>
      <c r="C1871" s="1993"/>
      <c r="D1871" s="2026"/>
      <c r="E1871" s="2026"/>
      <c r="F1871" s="1972"/>
      <c r="H1871" s="1993"/>
      <c r="I1871" s="1993"/>
      <c r="J1871" s="1993"/>
      <c r="K1871" s="1993"/>
      <c r="L1871" s="1942" t="str">
        <f>IF(OR($O1871=$M1871,$O1871=0,$O1871=""),"","* * Check Score! * *")</f>
        <v/>
      </c>
      <c r="M1871" s="1630">
        <v>1</v>
      </c>
      <c r="N1871" s="1937" t="s">
        <v>1982</v>
      </c>
      <c r="O1871" s="1975">
        <f>'Part IX Scoring Criteria'!O330</f>
        <v>0</v>
      </c>
      <c r="P1871" s="1975">
        <f>'Part IX Scoring Criteria'!P330</f>
        <v>0</v>
      </c>
      <c r="Q1871" s="2015" t="str">
        <f>IF(OR($O1871=$M1871,$O1871=0,$O1871=""),"","*CHECK!*")</f>
        <v/>
      </c>
      <c r="R1871" s="2057" t="s">
        <v>2705</v>
      </c>
      <c r="S1871" s="1993"/>
      <c r="T1871" s="2043"/>
      <c r="U1871" s="2043"/>
      <c r="V1871" s="1993"/>
      <c r="W1871" s="1993"/>
      <c r="X1871" s="1993"/>
      <c r="Y1871" s="1993"/>
      <c r="Z1871" s="1993"/>
    </row>
    <row r="1872" spans="1:26" ht="18.75">
      <c r="A1872" s="1825"/>
      <c r="B1872" s="1841" t="s">
        <v>2690</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75">
      <c r="A1873" s="1825" t="s">
        <v>1984</v>
      </c>
      <c r="B1873" s="1820" t="s">
        <v>2233</v>
      </c>
      <c r="C1873" s="1976"/>
      <c r="D1873" s="521"/>
      <c r="E1873" s="1976"/>
      <c r="F1873" s="1976"/>
      <c r="G1873" s="1976"/>
      <c r="H1873" s="1976"/>
      <c r="I1873" s="1976"/>
      <c r="J1873" s="1976"/>
      <c r="K1873" s="521"/>
      <c r="L1873" s="1942" t="str">
        <f>IF(OR($O1873=$M1873,$O1873=0,$O1873=""),"","* * Check Score! * *")</f>
        <v/>
      </c>
      <c r="M1873" s="1630">
        <v>1</v>
      </c>
      <c r="N1873" s="1937" t="s">
        <v>1984</v>
      </c>
      <c r="O1873" s="1975">
        <f>'Part IX Scoring Criteria'!O334</f>
        <v>0</v>
      </c>
      <c r="P1873" s="1975">
        <f>'Part IX Scoring Criteria'!P334</f>
        <v>0</v>
      </c>
      <c r="Q1873" s="2015" t="str">
        <f>IF(OR($O1873=$M1873,$O1873=0,$O1873=""),"","*CHECK!*")</f>
        <v/>
      </c>
      <c r="R1873" s="2057" t="s">
        <v>2705</v>
      </c>
      <c r="S1873" s="1976"/>
      <c r="T1873" s="2043"/>
      <c r="U1873" s="2043"/>
      <c r="V1873" s="1976"/>
      <c r="W1873" s="1976"/>
      <c r="X1873" s="1976"/>
      <c r="Y1873" s="1976"/>
      <c r="Z1873" s="1976"/>
    </row>
    <row r="1874" spans="1:26" ht="18.75">
      <c r="A1874" s="1825"/>
      <c r="B1874" s="1841" t="s">
        <v>4050</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c r="A1875" s="1631"/>
      <c r="B1875" s="1897" t="s">
        <v>1865</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7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c r="A1878" s="2094" t="s">
        <v>2781</v>
      </c>
      <c r="B1878" s="1978" t="s">
        <v>4051</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5">
      <c r="A1879" s="1825" t="s">
        <v>1984</v>
      </c>
      <c r="B1879" s="1820" t="s">
        <v>4052</v>
      </c>
      <c r="C1879" s="1860"/>
      <c r="D1879" s="1955"/>
      <c r="E1879" s="521"/>
      <c r="F1879" s="1976"/>
      <c r="G1879" s="1849">
        <f>'Part IX Scoring Criteria'!G343</f>
        <v>0</v>
      </c>
      <c r="H1879" s="1976"/>
      <c r="I1879" s="1976"/>
      <c r="J1879" s="1841" t="s">
        <v>2685</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5">
      <c r="A1880" s="1825"/>
      <c r="B1880" s="2047" t="s">
        <v>1985</v>
      </c>
      <c r="C1880" s="521" t="s">
        <v>3459</v>
      </c>
      <c r="D1880" s="1631"/>
      <c r="E1880" s="1993"/>
      <c r="F1880" s="1993"/>
      <c r="G1880" s="1993"/>
      <c r="H1880" s="1993"/>
      <c r="I1880" s="1993"/>
      <c r="J1880" s="1993"/>
      <c r="K1880" s="1993"/>
      <c r="L1880" s="1993"/>
      <c r="M1880" s="1993"/>
      <c r="N1880" s="2093" t="s">
        <v>1985</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c r="A1881" s="1825"/>
      <c r="B1881" s="2047" t="s">
        <v>1987</v>
      </c>
      <c r="C1881" s="521" t="s">
        <v>4069</v>
      </c>
      <c r="D1881" s="1631"/>
      <c r="E1881" s="1993"/>
      <c r="F1881" s="1993"/>
      <c r="G1881" s="1993"/>
      <c r="H1881" s="1993"/>
      <c r="I1881" s="1993"/>
      <c r="J1881" s="1993"/>
      <c r="K1881" s="1993"/>
      <c r="L1881" s="1993"/>
      <c r="M1881" s="1993"/>
      <c r="N1881" s="2093" t="s">
        <v>1987</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c r="A1882" s="1825"/>
      <c r="B1882" s="2047" t="s">
        <v>2533</v>
      </c>
      <c r="C1882" s="521" t="s">
        <v>4068</v>
      </c>
      <c r="D1882" s="1631"/>
      <c r="E1882" s="1993"/>
      <c r="F1882" s="1993"/>
      <c r="G1882" s="1993"/>
      <c r="H1882" s="1993"/>
      <c r="I1882" s="1993"/>
      <c r="J1882" s="1993"/>
      <c r="K1882" s="1993"/>
      <c r="L1882" s="1993"/>
      <c r="M1882" s="1993"/>
      <c r="N1882" s="2093" t="s">
        <v>2533</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c r="A1883" s="1825"/>
      <c r="B1883" s="2047" t="s">
        <v>1224</v>
      </c>
      <c r="C1883" s="521" t="s">
        <v>4070</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c r="A1884" s="1825" t="s">
        <v>1982</v>
      </c>
      <c r="B1884" s="1820" t="s">
        <v>4053</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c r="A1885" s="2094"/>
      <c r="B1885" s="2047" t="s">
        <v>1985</v>
      </c>
      <c r="C1885" s="521" t="s">
        <v>3459</v>
      </c>
      <c r="D1885" s="521"/>
      <c r="E1885" s="521"/>
      <c r="F1885" s="1993"/>
      <c r="G1885" s="1993"/>
      <c r="H1885" s="1993"/>
      <c r="I1885" s="1993"/>
      <c r="J1885" s="1993"/>
      <c r="K1885" s="1993"/>
      <c r="L1885" s="1993"/>
      <c r="M1885" s="1813"/>
      <c r="N1885" s="2093" t="s">
        <v>1985</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c r="A1886" s="1825"/>
      <c r="B1886" s="2047" t="s">
        <v>1987</v>
      </c>
      <c r="C1886" s="521" t="s">
        <v>4082</v>
      </c>
      <c r="D1886" s="1631"/>
      <c r="E1886" s="1993"/>
      <c r="F1886" s="1993"/>
      <c r="G1886" s="1993"/>
      <c r="H1886" s="1993"/>
      <c r="I1886" s="1993"/>
      <c r="J1886" s="1993"/>
      <c r="K1886" s="1993"/>
      <c r="L1886" s="1993"/>
      <c r="M1886" s="1993"/>
      <c r="N1886" s="2093" t="s">
        <v>1987</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c r="A1887" s="1825"/>
      <c r="B1887" s="2047" t="s">
        <v>2533</v>
      </c>
      <c r="C1887" s="521" t="s">
        <v>4070</v>
      </c>
      <c r="D1887" s="1631"/>
      <c r="E1887" s="1993"/>
      <c r="F1887" s="1993"/>
      <c r="G1887" s="1993"/>
      <c r="H1887" s="1993"/>
      <c r="I1887" s="1993"/>
      <c r="J1887" s="1993"/>
      <c r="K1887" s="1993"/>
      <c r="L1887" s="1993"/>
      <c r="M1887" s="1993"/>
      <c r="N1887" s="2093" t="s">
        <v>2533</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c r="A1888" s="1976"/>
      <c r="B1888" s="1897" t="s">
        <v>1865</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7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5">
      <c r="A1891" s="1977" t="s">
        <v>2250</v>
      </c>
      <c r="B1891" s="1978" t="s">
        <v>4054</v>
      </c>
      <c r="C1891" s="2036"/>
      <c r="D1891" s="2036"/>
      <c r="E1891" s="2036"/>
      <c r="F1891" s="2036"/>
      <c r="G1891" s="2036"/>
      <c r="H1891" s="521" t="s">
        <v>3576</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2705</v>
      </c>
      <c r="S1891" s="2036"/>
      <c r="T1891" s="2036"/>
      <c r="U1891" s="2036"/>
      <c r="V1891" s="2036"/>
      <c r="W1891" s="2036"/>
      <c r="X1891" s="2036"/>
      <c r="Y1891" s="2036"/>
      <c r="Z1891" s="2036"/>
    </row>
    <row r="1892" spans="1:26" ht="15" customHeight="1">
      <c r="A1892" s="1900" t="s">
        <v>4599</v>
      </c>
      <c r="B1892" s="1900"/>
      <c r="C1892" s="1900"/>
      <c r="D1892" s="1900"/>
      <c r="E1892" s="1900"/>
      <c r="F1892" s="1900"/>
      <c r="G1892" s="1900"/>
      <c r="H1892" s="1900"/>
      <c r="I1892" s="1921" t="s">
        <v>4143</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c r="A1895" s="1631"/>
      <c r="B1895" s="1994" t="s">
        <v>3754</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7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c r="A1897" s="1631"/>
      <c r="B1897" s="1866" t="s">
        <v>1865</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7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c r="A1900" s="1977" t="s">
        <v>4100</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75">
      <c r="A1901" s="1825" t="s">
        <v>1982</v>
      </c>
      <c r="B1901" s="1929" t="s">
        <v>3614</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2705</v>
      </c>
      <c r="S1901" s="1976"/>
      <c r="T1901" s="1976"/>
      <c r="U1901" s="1976"/>
      <c r="V1901" s="1976"/>
      <c r="W1901" s="1976"/>
      <c r="X1901" s="1976"/>
      <c r="Y1901" s="1976"/>
      <c r="Z1901" s="1976"/>
    </row>
    <row r="1902" spans="1:26" ht="15">
      <c r="A1902" s="1976"/>
      <c r="B1902" s="1841" t="s">
        <v>4058</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1982</v>
      </c>
      <c r="O1902" s="1943" t="s">
        <v>2509</v>
      </c>
      <c r="P1902" s="1943" t="s">
        <v>2509</v>
      </c>
      <c r="Q1902" s="1976"/>
      <c r="R1902" s="1976"/>
      <c r="S1902" s="1976"/>
      <c r="T1902" s="1976"/>
      <c r="U1902" s="1976"/>
      <c r="V1902" s="1976"/>
      <c r="W1902" s="1976"/>
      <c r="X1902" s="1976"/>
      <c r="Y1902" s="1976"/>
      <c r="Z1902" s="1976"/>
    </row>
    <row r="1903" spans="1:26">
      <c r="A1903" s="521"/>
      <c r="B1903" s="2093" t="s">
        <v>1985</v>
      </c>
      <c r="C1903" s="1841" t="s">
        <v>4055</v>
      </c>
      <c r="D1903" s="521"/>
      <c r="E1903" s="521"/>
      <c r="F1903" s="521"/>
      <c r="G1903" s="521"/>
      <c r="H1903" s="521"/>
      <c r="I1903" s="521"/>
      <c r="J1903" s="521"/>
      <c r="K1903" s="521"/>
      <c r="L1903" s="521"/>
      <c r="M1903" s="521"/>
      <c r="N1903" s="2093" t="s">
        <v>1985</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1987</v>
      </c>
      <c r="C1904" s="1841" t="s">
        <v>4056</v>
      </c>
      <c r="D1904" s="521"/>
      <c r="E1904" s="521"/>
      <c r="F1904" s="521"/>
      <c r="G1904" s="521"/>
      <c r="H1904" s="521"/>
      <c r="I1904" s="521"/>
      <c r="J1904" s="521"/>
      <c r="K1904" s="521"/>
      <c r="L1904" s="521"/>
      <c r="M1904" s="521"/>
      <c r="N1904" s="2093" t="s">
        <v>1987</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2533</v>
      </c>
      <c r="C1905" s="1841" t="s">
        <v>4057</v>
      </c>
      <c r="D1905" s="521"/>
      <c r="E1905" s="521"/>
      <c r="F1905" s="521"/>
      <c r="G1905" s="521"/>
      <c r="H1905" s="521"/>
      <c r="I1905" s="521"/>
      <c r="J1905" s="521"/>
      <c r="K1905" s="521"/>
      <c r="L1905" s="521"/>
      <c r="M1905" s="521"/>
      <c r="N1905" s="2093" t="s">
        <v>2533</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3615</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5">
      <c r="A1908" s="1825" t="s">
        <v>1984</v>
      </c>
      <c r="B1908" s="1820" t="s">
        <v>2796</v>
      </c>
      <c r="D1908" s="1631"/>
      <c r="H1908" s="2095" t="s">
        <v>3485</v>
      </c>
      <c r="I1908" s="2095"/>
      <c r="J1908" s="2095"/>
      <c r="K1908" s="2095"/>
      <c r="L1908" s="2095"/>
      <c r="M1908" s="1633">
        <v>1</v>
      </c>
      <c r="N1908" s="1937" t="s">
        <v>1984</v>
      </c>
      <c r="O1908" s="1975" t="e">
        <f>'Part IX Scoring Criteria'!#REF!</f>
        <v>#REF!</v>
      </c>
      <c r="P1908" s="1975" t="e">
        <f>'Part IX Scoring Criteria'!#REF!</f>
        <v>#REF!</v>
      </c>
      <c r="Q1908" s="2015" t="e">
        <f>IF(OR($O1908=$M1908,$O1908=0,$O1908=""),"","*CHECK!*")</f>
        <v>#REF!</v>
      </c>
      <c r="R1908" s="2057" t="s">
        <v>2705</v>
      </c>
    </row>
    <row r="1909" spans="1:26">
      <c r="A1909" s="1631"/>
      <c r="B1909" s="521" t="s">
        <v>2797</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3617</v>
      </c>
      <c r="C1910" s="521" t="str">
        <f>'Part I-Project Information'!$F$38</f>
        <v>Atlanta</v>
      </c>
      <c r="D1910" s="1631"/>
      <c r="E1910" s="521" t="s">
        <v>3484</v>
      </c>
      <c r="F1910" s="521" t="str">
        <f>'Part I-Project Information'!$J$39</f>
        <v>Fulton</v>
      </c>
      <c r="G1910" s="1631"/>
      <c r="H1910" s="1841" t="s">
        <v>451</v>
      </c>
      <c r="I1910" s="1841" t="str">
        <f>'Part I-Project Information'!$N$39</f>
        <v>Yes</v>
      </c>
      <c r="J1910" s="1631"/>
      <c r="K1910" s="1841" t="s">
        <v>3616</v>
      </c>
      <c r="L1910" s="2071" t="str">
        <f>'Part I-Project Information'!$O$38</f>
        <v>0055.01</v>
      </c>
      <c r="M1910" s="2071"/>
      <c r="N1910" s="2071"/>
      <c r="O1910" s="2071"/>
      <c r="P1910" s="2071"/>
      <c r="Q1910" s="1631"/>
      <c r="R1910" s="1631"/>
      <c r="S1910" s="1631"/>
      <c r="T1910" s="1631"/>
      <c r="U1910" s="1631"/>
      <c r="V1910" s="1631"/>
      <c r="W1910" s="1631"/>
      <c r="X1910" s="1631"/>
      <c r="Y1910" s="1631"/>
      <c r="Z1910" s="1631"/>
    </row>
    <row r="1911" spans="1:26" ht="15">
      <c r="A1911" s="1631"/>
      <c r="B1911" s="1994" t="s">
        <v>3754</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7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c r="A1913" s="1631"/>
      <c r="B1913" s="1866" t="s">
        <v>1865</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7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5">
      <c r="A1916" s="1977" t="s">
        <v>4101</v>
      </c>
      <c r="B1916" s="1978" t="s">
        <v>4061</v>
      </c>
      <c r="C1916" s="1976"/>
      <c r="D1916" s="1860"/>
      <c r="E1916" s="1860"/>
      <c r="F1916" s="521"/>
      <c r="G1916" s="521"/>
      <c r="H1916" s="1820" t="s">
        <v>2793</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5">
      <c r="A1917" s="1631"/>
      <c r="B1917" s="1929" t="s">
        <v>2882</v>
      </c>
      <c r="C1917" s="1976"/>
      <c r="D1917" s="1976"/>
      <c r="E1917" s="1860"/>
      <c r="F1917" s="521"/>
      <c r="G1917" s="521"/>
      <c r="H1917" s="521"/>
      <c r="I1917" s="521"/>
      <c r="J1917" s="1976"/>
      <c r="K1917" s="1895"/>
      <c r="L1917" s="2096"/>
      <c r="M1917" s="1976"/>
      <c r="N1917" s="1976"/>
      <c r="O1917" s="1895" t="s">
        <v>2509</v>
      </c>
      <c r="P1917" s="1895" t="s">
        <v>2509</v>
      </c>
      <c r="Q1917" s="1976"/>
      <c r="R1917" s="1976"/>
      <c r="S1917" s="1976"/>
      <c r="T1917" s="1976"/>
      <c r="U1917" s="1976"/>
      <c r="V1917" s="1976"/>
      <c r="W1917" s="1976"/>
      <c r="X1917" s="1976"/>
      <c r="Y1917" s="1976"/>
      <c r="Z1917" s="1976"/>
    </row>
    <row r="1918" spans="1:26" ht="15">
      <c r="A1918" s="1216"/>
      <c r="B1918" s="1937" t="s">
        <v>2434</v>
      </c>
      <c r="C1918" s="1216" t="s">
        <v>2827</v>
      </c>
      <c r="D1918" s="1216"/>
      <c r="E1918" s="1860"/>
      <c r="F1918" s="521"/>
      <c r="G1918" s="521"/>
      <c r="H1918" s="521"/>
      <c r="I1918" s="521"/>
      <c r="J1918" s="1976"/>
      <c r="K1918" s="1895"/>
      <c r="L1918" s="1965" t="str">
        <f>IF(OR(O1918="No",O1918="",O1919="No",O1919="",O1920="No",O1920="",O1921="No",O1921=""),"Unmet criterion results in no points!","")</f>
        <v/>
      </c>
      <c r="M1918" s="1965"/>
      <c r="N1918" s="1937" t="s">
        <v>2434</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2435</v>
      </c>
      <c r="C1919" s="1216" t="s">
        <v>3808</v>
      </c>
      <c r="D1919" s="1216"/>
      <c r="E1919" s="1216"/>
      <c r="F1919" s="1216"/>
      <c r="G1919" s="1216"/>
      <c r="H1919" s="1216"/>
      <c r="I1919" s="1216"/>
      <c r="J1919" s="1216"/>
      <c r="K1919" s="1216"/>
      <c r="L1919" s="1965"/>
      <c r="M1919" s="1965"/>
      <c r="N1919" s="1944" t="s">
        <v>2435</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2436</v>
      </c>
      <c r="C1920" s="1216" t="s">
        <v>3807</v>
      </c>
      <c r="D1920" s="1216"/>
      <c r="E1920" s="1216"/>
      <c r="F1920" s="1216"/>
      <c r="G1920" s="1216"/>
      <c r="H1920" s="1216"/>
      <c r="I1920" s="1216"/>
      <c r="J1920" s="1216"/>
      <c r="K1920" s="1216"/>
      <c r="L1920" s="1965"/>
      <c r="M1920" s="1965"/>
      <c r="N1920" s="1937" t="s">
        <v>2436</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2437</v>
      </c>
      <c r="C1921" s="1867" t="s">
        <v>4062</v>
      </c>
      <c r="D1921" s="1867"/>
      <c r="E1921" s="1867"/>
      <c r="F1921" s="1867"/>
      <c r="G1921" s="1867"/>
      <c r="H1921" s="1867"/>
      <c r="I1921" s="1867"/>
      <c r="J1921" s="1867"/>
      <c r="K1921" s="1867"/>
      <c r="L1921" s="1867"/>
      <c r="M1921" s="1867"/>
      <c r="N1921" s="1944" t="s">
        <v>2437</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1982</v>
      </c>
      <c r="B1923" s="1820" t="s">
        <v>4063</v>
      </c>
      <c r="L1923" s="1942" t="str">
        <f>IF(OR($O1923=$M1923,$O1923=0,$O1923=""),"","* * Check Score! * *")</f>
        <v/>
      </c>
      <c r="M1923" s="1633">
        <v>3</v>
      </c>
      <c r="N1923" s="1937" t="s">
        <v>1982</v>
      </c>
      <c r="O1923" s="1975">
        <f>'Part IX Scoring Criteria'!O391</f>
        <v>0</v>
      </c>
      <c r="P1923" s="1975">
        <f>'Part IX Scoring Criteria'!P391</f>
        <v>0</v>
      </c>
      <c r="Q1923" s="2015" t="str">
        <f>IF(OR($O1923=$M1923,$O1923=0,$O1923=""),"","*CHECK!*")</f>
        <v/>
      </c>
      <c r="R1923" s="2057" t="s">
        <v>2705</v>
      </c>
    </row>
    <row r="1924" spans="1:26" ht="12.75" customHeight="1">
      <c r="A1924" s="2097"/>
      <c r="B1924" s="2029" t="s">
        <v>1985</v>
      </c>
      <c r="C1924" s="1900" t="s">
        <v>4064</v>
      </c>
      <c r="D1924" s="1900"/>
      <c r="E1924" s="1900"/>
      <c r="F1924" s="1900"/>
      <c r="G1924" s="1900"/>
      <c r="H1924" s="1900"/>
      <c r="I1924" s="1900"/>
      <c r="J1924" s="2039" t="s">
        <v>1989</v>
      </c>
      <c r="K1924" s="2039"/>
      <c r="M1924" s="2039" t="s">
        <v>1989</v>
      </c>
      <c r="N1924" s="2039"/>
      <c r="O1924" s="2039"/>
      <c r="P1924" s="2039"/>
    </row>
    <row r="1925" spans="1:26" ht="15">
      <c r="A1925" s="1941"/>
      <c r="B1925" s="1937" t="s">
        <v>2434</v>
      </c>
      <c r="C1925" s="521" t="s">
        <v>1482</v>
      </c>
      <c r="D1925" s="1976"/>
      <c r="E1925" s="1976"/>
      <c r="F1925" s="1976"/>
      <c r="G1925" s="1976"/>
      <c r="H1925" s="1976"/>
      <c r="I1925" s="1937" t="s">
        <v>2434</v>
      </c>
      <c r="J1925" s="1862">
        <f>'Part IX Scoring Criteria'!J394</f>
        <v>0</v>
      </c>
      <c r="K1925" s="1862">
        <f>'Part IX Scoring Criteria'!K394</f>
        <v>0</v>
      </c>
      <c r="L1925" s="1937" t="s">
        <v>2434</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2435</v>
      </c>
      <c r="C1926" s="521" t="s">
        <v>3621</v>
      </c>
      <c r="I1926" s="1944" t="s">
        <v>2435</v>
      </c>
      <c r="J1926" s="1862">
        <f>'Part IX Scoring Criteria'!J395</f>
        <v>0</v>
      </c>
      <c r="K1926" s="1862">
        <f>'Part IX Scoring Criteria'!K395</f>
        <v>0</v>
      </c>
      <c r="L1926" s="1944" t="s">
        <v>2435</v>
      </c>
      <c r="M1926" s="1862">
        <f>'Part IX Scoring Criteria'!M395</f>
        <v>0</v>
      </c>
      <c r="N1926" s="1862">
        <f>'Part IX Scoring Criteria'!N395</f>
        <v>0</v>
      </c>
      <c r="O1926" s="1862">
        <f>'Part IX Scoring Criteria'!O395</f>
        <v>0</v>
      </c>
      <c r="P1926" s="1862">
        <f>'Part IX Scoring Criteria'!P395</f>
        <v>0</v>
      </c>
      <c r="R1926" s="1942"/>
    </row>
    <row r="1927" spans="1:26">
      <c r="B1927" s="1937" t="s">
        <v>2436</v>
      </c>
      <c r="C1927" s="521" t="s">
        <v>2625</v>
      </c>
      <c r="I1927" s="1937" t="s">
        <v>2436</v>
      </c>
      <c r="J1927" s="1862">
        <f>'Part IX Scoring Criteria'!J396</f>
        <v>0</v>
      </c>
      <c r="K1927" s="1862">
        <f>'Part IX Scoring Criteria'!K396</f>
        <v>0</v>
      </c>
      <c r="L1927" s="1937" t="s">
        <v>2436</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2437</v>
      </c>
      <c r="C1928" s="521" t="s">
        <v>3460</v>
      </c>
      <c r="I1928" s="1937" t="s">
        <v>2437</v>
      </c>
      <c r="J1928" s="1862">
        <f>'Part IX Scoring Criteria'!J397</f>
        <v>0</v>
      </c>
      <c r="K1928" s="1862">
        <f>'Part IX Scoring Criteria'!K397</f>
        <v>0</v>
      </c>
      <c r="L1928" s="1937" t="s">
        <v>2437</v>
      </c>
      <c r="M1928" s="1862">
        <f>'Part IX Scoring Criteria'!M397</f>
        <v>0</v>
      </c>
      <c r="N1928" s="1862">
        <f>'Part IX Scoring Criteria'!N397</f>
        <v>0</v>
      </c>
      <c r="O1928" s="1862">
        <f>'Part IX Scoring Criteria'!O397</f>
        <v>0</v>
      </c>
      <c r="P1928" s="1862">
        <f>'Part IX Scoring Criteria'!P397</f>
        <v>0</v>
      </c>
      <c r="R1928" s="1942"/>
    </row>
    <row r="1929" spans="1:26" ht="15">
      <c r="A1929" s="1941"/>
      <c r="B1929" s="1944" t="s">
        <v>2438</v>
      </c>
      <c r="C1929" s="521" t="s">
        <v>2730</v>
      </c>
      <c r="D1929" s="1976"/>
      <c r="E1929" s="1976"/>
      <c r="F1929" s="1976"/>
      <c r="G1929" s="1976"/>
      <c r="H1929" s="1976"/>
      <c r="I1929" s="1944" t="s">
        <v>2438</v>
      </c>
      <c r="J1929" s="1862">
        <f>'Part IX Scoring Criteria'!J398</f>
        <v>0</v>
      </c>
      <c r="K1929" s="1862">
        <f>'Part IX Scoring Criteria'!K398</f>
        <v>0</v>
      </c>
      <c r="L1929" s="1944" t="s">
        <v>2438</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2454</v>
      </c>
      <c r="C1930" s="521" t="s">
        <v>1481</v>
      </c>
      <c r="I1930" s="1937" t="s">
        <v>2454</v>
      </c>
      <c r="J1930" s="1862">
        <f>'Part IX Scoring Criteria'!J399</f>
        <v>0</v>
      </c>
      <c r="K1930" s="1862">
        <f>'Part IX Scoring Criteria'!K399</f>
        <v>0</v>
      </c>
      <c r="L1930" s="1937" t="s">
        <v>2454</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2455</v>
      </c>
      <c r="C1931" s="521" t="s">
        <v>3619</v>
      </c>
      <c r="I1931" s="1937" t="s">
        <v>2455</v>
      </c>
      <c r="J1931" s="1862">
        <f>'Part IX Scoring Criteria'!J400</f>
        <v>0</v>
      </c>
      <c r="K1931" s="1862">
        <f>'Part IX Scoring Criteria'!K400</f>
        <v>0</v>
      </c>
      <c r="L1931" s="1937" t="s">
        <v>2455</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2456</v>
      </c>
      <c r="C1932" s="521" t="s">
        <v>4600</v>
      </c>
      <c r="I1932" s="1937" t="s">
        <v>2456</v>
      </c>
      <c r="J1932" s="1862">
        <f>'Part IX Scoring Criteria'!J401</f>
        <v>0</v>
      </c>
      <c r="K1932" s="1862">
        <f>'Part IX Scoring Criteria'!K401</f>
        <v>0</v>
      </c>
      <c r="L1932" s="1937" t="s">
        <v>2456</v>
      </c>
      <c r="M1932" s="1862">
        <f>'Part IX Scoring Criteria'!M401</f>
        <v>0</v>
      </c>
      <c r="N1932" s="1862">
        <f>'Part IX Scoring Criteria'!N401</f>
        <v>0</v>
      </c>
      <c r="O1932" s="1862">
        <f>'Part IX Scoring Criteria'!O401</f>
        <v>0</v>
      </c>
      <c r="P1932" s="1862">
        <f>'Part IX Scoring Criteria'!P401</f>
        <v>0</v>
      </c>
      <c r="R1932" s="1942"/>
    </row>
    <row r="1933" spans="1:26">
      <c r="B1933" s="1937" t="s">
        <v>2457</v>
      </c>
      <c r="C1933" s="521" t="s">
        <v>3620</v>
      </c>
      <c r="I1933" s="1937" t="s">
        <v>2457</v>
      </c>
      <c r="J1933" s="1862">
        <f>'Part IX Scoring Criteria'!J402</f>
        <v>0</v>
      </c>
      <c r="K1933" s="1862">
        <f>'Part IX Scoring Criteria'!K402</f>
        <v>0</v>
      </c>
      <c r="L1933" s="1937" t="s">
        <v>2457</v>
      </c>
      <c r="M1933" s="1862">
        <f>'Part IX Scoring Criteria'!M402</f>
        <v>0</v>
      </c>
      <c r="N1933" s="1862">
        <f>'Part IX Scoring Criteria'!N402</f>
        <v>0</v>
      </c>
      <c r="O1933" s="1862">
        <f>'Part IX Scoring Criteria'!O402</f>
        <v>0</v>
      </c>
      <c r="P1933" s="1862">
        <f>'Part IX Scoring Criteria'!P402</f>
        <v>0</v>
      </c>
      <c r="R1933" s="1942"/>
    </row>
    <row r="1934" spans="1:26">
      <c r="B1934" s="1937" t="s">
        <v>3622</v>
      </c>
      <c r="C1934" s="521" t="s">
        <v>4137</v>
      </c>
      <c r="I1934" s="1937" t="s">
        <v>3622</v>
      </c>
      <c r="J1934" s="1862">
        <f>'Part IX Scoring Criteria'!J403</f>
        <v>0</v>
      </c>
      <c r="K1934" s="1862">
        <f>'Part IX Scoring Criteria'!K403</f>
        <v>0</v>
      </c>
      <c r="L1934" s="1937" t="s">
        <v>3622</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4601</v>
      </c>
      <c r="H1935" s="1929" t="s">
        <v>2627</v>
      </c>
      <c r="J1935" s="1862">
        <f>SUM(J1925:K1934)</f>
        <v>0</v>
      </c>
      <c r="K1935" s="1862"/>
      <c r="M1935" s="1862">
        <f>SUM($M1925:$M1934)</f>
        <v>0</v>
      </c>
      <c r="N1935" s="1862"/>
      <c r="O1935" s="1862"/>
      <c r="P1935" s="1862"/>
      <c r="R1935" s="1942"/>
    </row>
    <row r="1936" spans="1:26" ht="1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1987</v>
      </c>
      <c r="C1937" s="1848" t="s">
        <v>2626</v>
      </c>
      <c r="E1937" s="1841" t="s">
        <v>2628</v>
      </c>
      <c r="H1937" s="1924">
        <f>'Part IX Scoring Criteria'!I407</f>
        <v>0</v>
      </c>
      <c r="I1937" s="1633"/>
      <c r="J1937" s="1862">
        <f>'Part IV-A-Uses of Funds'!$G$132</f>
        <v>32698126.5</v>
      </c>
      <c r="K1937" s="1862"/>
      <c r="M1937" s="1628"/>
      <c r="N1937" s="1628"/>
      <c r="P1937" s="1628"/>
    </row>
    <row r="1938" spans="1:26" ht="12.75" customHeight="1">
      <c r="A1938" s="1887" t="s">
        <v>4602</v>
      </c>
      <c r="B1938" s="1887"/>
      <c r="C1938" s="1887"/>
      <c r="D1938" s="1887"/>
      <c r="E1938" s="1964" t="s">
        <v>2629</v>
      </c>
      <c r="H1938" s="2176">
        <f>'Part IX Scoring Criteria'!I408</f>
        <v>0</v>
      </c>
      <c r="I1938" s="1633"/>
      <c r="J1938" s="2100">
        <f>IF($J1937=0,0,$J1935/$J1937)</f>
        <v>0</v>
      </c>
      <c r="K1938" s="2100"/>
      <c r="M1938" s="2100">
        <f>IF($J1937=0,0,$M1935/$J1937)</f>
        <v>0</v>
      </c>
      <c r="N1938" s="2100"/>
      <c r="O1938" s="2100"/>
      <c r="P1938" s="2100"/>
    </row>
    <row r="1939" spans="1:26" ht="15">
      <c r="A1939" s="1887"/>
      <c r="B1939" s="1887"/>
      <c r="C1939" s="1887"/>
      <c r="D1939" s="1887"/>
      <c r="E1939" s="1955" t="s">
        <v>4242</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8.75">
      <c r="A1941" s="1825" t="s">
        <v>1984</v>
      </c>
      <c r="B1941" s="1998" t="s">
        <v>3623</v>
      </c>
      <c r="C1941" s="1993"/>
      <c r="D1941" s="521"/>
      <c r="E1941" s="521"/>
      <c r="F1941" s="1813"/>
      <c r="G1941" s="1993"/>
      <c r="H1941" s="521"/>
      <c r="I1941" s="1813"/>
      <c r="J1941" s="1841"/>
      <c r="K1941" s="1841"/>
      <c r="L1941" s="1942" t="str">
        <f>IF(OR($O1941=$M1941,$O1941=0,$O1941=""),"","* * Check Score! * *")</f>
        <v/>
      </c>
      <c r="M1941" s="1633">
        <v>1</v>
      </c>
      <c r="N1941" s="1937" t="s">
        <v>1984</v>
      </c>
      <c r="O1941" s="1975">
        <f>'Part IX Scoring Criteria'!O411</f>
        <v>0</v>
      </c>
      <c r="P1941" s="1975">
        <f>'Part IX Scoring Criteria'!P411</f>
        <v>0</v>
      </c>
      <c r="Q1941" s="1813" t="s">
        <v>441</v>
      </c>
      <c r="R1941" s="2057" t="s">
        <v>2705</v>
      </c>
      <c r="S1941" s="1993"/>
      <c r="T1941" s="1993"/>
      <c r="U1941" s="1993"/>
      <c r="V1941" s="2043"/>
      <c r="W1941" s="2043"/>
      <c r="X1941" s="1993"/>
      <c r="Y1941" s="1993"/>
      <c r="Z1941" s="1993"/>
    </row>
    <row r="1942" spans="1:26" ht="18.75" customHeight="1">
      <c r="A1942" s="1825"/>
      <c r="B1942" s="1944" t="s">
        <v>2434</v>
      </c>
      <c r="C1942" s="1900" t="s">
        <v>4065</v>
      </c>
      <c r="D1942" s="1900"/>
      <c r="E1942" s="1900"/>
      <c r="F1942" s="1900"/>
      <c r="G1942" s="1900"/>
      <c r="H1942" s="1900"/>
      <c r="I1942" s="1900"/>
      <c r="J1942" s="1900"/>
      <c r="K1942" s="1900"/>
      <c r="L1942" s="1900"/>
      <c r="M1942" s="1900"/>
      <c r="N1942" s="1944" t="s">
        <v>2434</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75">
      <c r="A1943" s="1825"/>
      <c r="B1943" s="1937" t="s">
        <v>2435</v>
      </c>
      <c r="C1943" s="521" t="s">
        <v>3800</v>
      </c>
      <c r="D1943" s="521"/>
      <c r="E1943" s="521"/>
      <c r="F1943" s="521"/>
      <c r="G1943" s="521"/>
      <c r="H1943" s="521"/>
      <c r="I1943" s="521"/>
      <c r="J1943" s="521"/>
      <c r="K1943" s="521"/>
      <c r="L1943" s="1976"/>
      <c r="M1943" s="521"/>
      <c r="N1943" s="1944" t="s">
        <v>2435</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2436</v>
      </c>
      <c r="C1944" s="1216" t="s">
        <v>4066</v>
      </c>
      <c r="N1944" s="1937" t="s">
        <v>2436</v>
      </c>
      <c r="O1944" s="1938">
        <f>'Part IX Scoring Criteria'!O414</f>
        <v>0</v>
      </c>
      <c r="P1944" s="1938">
        <f>'Part IX Scoring Criteria'!P414</f>
        <v>0</v>
      </c>
    </row>
    <row r="1945" spans="1:26">
      <c r="B1945" s="1994" t="s">
        <v>3754</v>
      </c>
      <c r="N1945" s="1637"/>
      <c r="O1945" s="1639"/>
      <c r="P1945" s="1639"/>
    </row>
    <row r="1946" spans="1:26" ht="15.7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c r="A1947" s="1631"/>
      <c r="B1947" s="1671" t="s">
        <v>1865</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7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c r="A1950" s="2094" t="s">
        <v>4099</v>
      </c>
      <c r="B1950" s="1976"/>
      <c r="C1950" s="1978" t="s">
        <v>2718</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5">
      <c r="A1951" s="1825" t="s">
        <v>1982</v>
      </c>
      <c r="B1951" s="1820" t="s">
        <v>3649</v>
      </c>
      <c r="C1951" s="1976"/>
      <c r="D1951" s="1631"/>
      <c r="E1951" s="1631"/>
      <c r="F1951" s="1631"/>
      <c r="G1951" s="1976"/>
      <c r="H1951" s="1976"/>
      <c r="I1951" s="1976"/>
      <c r="J1951" s="1841" t="s">
        <v>3811</v>
      </c>
      <c r="K1951" s="1976"/>
      <c r="L1951" s="1874">
        <f>'Part VI-Revenues &amp; Expenses'!$O$67*0.1</f>
        <v>15.600000000000001</v>
      </c>
      <c r="M1951" s="1630">
        <v>2</v>
      </c>
      <c r="N1951" s="1937" t="s">
        <v>1982</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1985</v>
      </c>
      <c r="C1952" s="1900" t="s">
        <v>3810</v>
      </c>
      <c r="D1952" s="1900"/>
      <c r="E1952" s="1900"/>
      <c r="F1952" s="1900"/>
      <c r="G1952" s="1900"/>
      <c r="H1952" s="1900"/>
      <c r="I1952" s="1900"/>
      <c r="J1952" s="1841" t="s">
        <v>3813</v>
      </c>
      <c r="K1952" s="1976"/>
      <c r="L1952" s="1874">
        <f>'Part VI-Revenues &amp; Expenses'!$O$63</f>
        <v>156</v>
      </c>
      <c r="M1952" s="1830" t="str">
        <f>IF(L1954&lt;L1953,"Check 1BR LI count!","")</f>
        <v/>
      </c>
      <c r="N1952" s="2001" t="s">
        <v>1985</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c r="A1953" s="1936"/>
      <c r="B1953" s="2029"/>
      <c r="C1953" s="1900"/>
      <c r="D1953" s="1900"/>
      <c r="E1953" s="1900"/>
      <c r="F1953" s="1900"/>
      <c r="G1953" s="1900"/>
      <c r="H1953" s="1900"/>
      <c r="I1953" s="1900"/>
      <c r="J1953" s="1841" t="s">
        <v>3814</v>
      </c>
      <c r="K1953" s="2028"/>
      <c r="L1953" s="1874">
        <f>L1952*0.1</f>
        <v>15.600000000000001</v>
      </c>
      <c r="M1953" s="1830"/>
      <c r="N1953" s="2001"/>
      <c r="O1953" s="2001"/>
      <c r="P1953" s="2001"/>
      <c r="Q1953" s="2033"/>
      <c r="R1953" s="2034"/>
      <c r="S1953" s="2028"/>
      <c r="T1953" s="2028"/>
      <c r="U1953" s="2028"/>
      <c r="V1953" s="2028"/>
      <c r="W1953" s="2028"/>
      <c r="X1953" s="2028"/>
      <c r="Y1953" s="2028"/>
      <c r="Z1953" s="2028"/>
    </row>
    <row r="1954" spans="1:26" ht="15">
      <c r="A1954" s="1936"/>
      <c r="B1954" s="2029"/>
      <c r="C1954" s="1900"/>
      <c r="D1954" s="1900"/>
      <c r="E1954" s="1900"/>
      <c r="F1954" s="1900"/>
      <c r="G1954" s="1900"/>
      <c r="H1954" s="1900"/>
      <c r="I1954" s="1900"/>
      <c r="J1954" s="1841" t="s">
        <v>3815</v>
      </c>
      <c r="K1954" s="2028"/>
      <c r="L1954" s="1874">
        <f>'Part VI-Revenues &amp; Expenses'!$K$63</f>
        <v>61</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1987</v>
      </c>
      <c r="C1955" s="1900" t="s">
        <v>3393</v>
      </c>
      <c r="D1955" s="1900"/>
      <c r="E1955" s="1900"/>
      <c r="F1955" s="1900"/>
      <c r="G1955" s="1900"/>
      <c r="H1955" s="1900"/>
      <c r="I1955" s="1900"/>
      <c r="J1955" s="1900"/>
      <c r="K1955" s="1900"/>
      <c r="L1955" s="1900"/>
      <c r="M1955" s="1900"/>
      <c r="N1955" s="2001" t="s">
        <v>1987</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2533</v>
      </c>
      <c r="C1956" s="1900" t="s">
        <v>3812</v>
      </c>
      <c r="D1956" s="1900"/>
      <c r="E1956" s="1900"/>
      <c r="F1956" s="1900"/>
      <c r="G1956" s="1900"/>
      <c r="H1956" s="1900"/>
      <c r="I1956" s="1900"/>
      <c r="J1956" s="1900"/>
      <c r="K1956" s="1900"/>
      <c r="L1956" s="1900"/>
      <c r="M1956" s="1900"/>
      <c r="N1956" s="2001" t="s">
        <v>2533</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3809</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c r="A1959" s="1825" t="s">
        <v>1984</v>
      </c>
      <c r="B1959" s="1820" t="s">
        <v>2719</v>
      </c>
      <c r="C1959" s="1976"/>
      <c r="D1959" s="1841"/>
      <c r="E1959" s="1976"/>
      <c r="F1959" s="1976"/>
      <c r="G1959" s="521"/>
      <c r="H1959" s="1976"/>
      <c r="I1959" s="1976"/>
      <c r="J1959" s="1976"/>
      <c r="K1959" s="1976"/>
      <c r="L1959" s="1976"/>
      <c r="M1959" s="1630">
        <v>3</v>
      </c>
      <c r="N1959" s="1937" t="s">
        <v>1984</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1985</v>
      </c>
      <c r="C1960" s="1900" t="s">
        <v>3831</v>
      </c>
      <c r="D1960" s="1900"/>
      <c r="E1960" s="1900"/>
      <c r="F1960" s="1900"/>
      <c r="G1960" s="1900"/>
      <c r="H1960" s="1900"/>
      <c r="I1960" s="1900"/>
      <c r="J1960" s="1900"/>
      <c r="K1960" s="1900"/>
      <c r="L1960" s="1900"/>
      <c r="M1960" s="1900"/>
      <c r="N1960" s="2001" t="s">
        <v>1985</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c r="A1961" s="1936"/>
      <c r="B1961" s="2029"/>
      <c r="C1961" s="1952" t="s">
        <v>3654</v>
      </c>
      <c r="D1961" s="1899"/>
      <c r="E1961" s="1899"/>
      <c r="F1961" s="1899"/>
      <c r="G1961" s="1890" t="e">
        <f>'Part IX Scoring Criteria'!#REF!</f>
        <v>#REF!</v>
      </c>
      <c r="H1961" s="1890" t="e">
        <f>'Part IX Scoring Criteria'!#REF!</f>
        <v>#REF!</v>
      </c>
      <c r="I1961" s="1890" t="e">
        <f>'Part IX Scoring Criteria'!#REF!</f>
        <v>#REF!</v>
      </c>
      <c r="J1961" s="2101" t="s">
        <v>3655</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1987</v>
      </c>
      <c r="C1962" s="1921" t="s">
        <v>3394</v>
      </c>
      <c r="D1962" s="1921"/>
      <c r="E1962" s="1921"/>
      <c r="F1962" s="1921"/>
      <c r="G1962" s="1921"/>
      <c r="H1962" s="1921"/>
      <c r="I1962" s="1921"/>
      <c r="J1962" s="1921" t="s">
        <v>3653</v>
      </c>
      <c r="K1962" s="1921"/>
      <c r="L1962" s="1874">
        <v>0</v>
      </c>
      <c r="M1962" s="2102">
        <f>IF('Part VI-Revenues &amp; Expenses'!$O$67=0,0,L1962/'Part VI-Revenues &amp; Expenses'!$O$67)</f>
        <v>0</v>
      </c>
      <c r="N1962" s="2001" t="s">
        <v>1987</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c r="A1963" s="1631"/>
      <c r="B1963" s="1994" t="s">
        <v>3754</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7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c r="A1965" s="1976"/>
      <c r="B1965" s="1897" t="s">
        <v>1865</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7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c r="A1968" s="1977" t="s">
        <v>4102</v>
      </c>
      <c r="B1968" s="1978" t="s">
        <v>2720</v>
      </c>
      <c r="C1968" s="1976"/>
      <c r="D1968" s="1841"/>
      <c r="E1968" s="1976"/>
      <c r="F1968" s="1976"/>
      <c r="G1968" s="2026" t="s">
        <v>3390</v>
      </c>
      <c r="H1968" s="1976"/>
      <c r="I1968" s="1976"/>
      <c r="J1968" s="521" t="s">
        <v>3396</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c r="A1970" s="2094"/>
      <c r="B1970" s="2044" t="s">
        <v>3461</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2831</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c r="A1972" s="2103" t="s">
        <v>1982</v>
      </c>
      <c r="B1972" s="1894" t="s">
        <v>4603</v>
      </c>
      <c r="C1972" s="1921"/>
      <c r="D1972" s="1921"/>
      <c r="E1972" s="1921"/>
      <c r="F1972" s="1921"/>
      <c r="G1972" s="1921"/>
      <c r="H1972" s="1921"/>
      <c r="I1972" s="1921"/>
      <c r="J1972" s="2028"/>
      <c r="K1972" s="2028"/>
      <c r="L1972" s="2028"/>
      <c r="M1972" s="2030">
        <v>1</v>
      </c>
      <c r="N1972" s="1944" t="s">
        <v>1982</v>
      </c>
      <c r="O1972" s="1975">
        <f>'Part IX Scoring Criteria'!O424</f>
        <v>0</v>
      </c>
      <c r="P1972" s="1975">
        <f>'Part IX Scoring Criteria'!P424</f>
        <v>0</v>
      </c>
      <c r="Q1972" s="2015" t="str">
        <f>IF(OR($O1972=$M1972,$O1972=0,$O1972=""),"","*CHECK!*")</f>
        <v/>
      </c>
      <c r="R1972" s="2057" t="s">
        <v>2705</v>
      </c>
      <c r="S1972" s="2028"/>
      <c r="T1972" s="2028"/>
      <c r="U1972" s="2028"/>
      <c r="V1972" s="2028"/>
      <c r="W1972" s="2028"/>
      <c r="X1972" s="2028"/>
      <c r="Y1972" s="2028"/>
      <c r="Z1972" s="2028"/>
    </row>
    <row r="1973" spans="1:26" ht="15" customHeight="1">
      <c r="A1973" s="2033"/>
      <c r="B1973" s="1867" t="s">
        <v>4194</v>
      </c>
      <c r="C1973" s="1867"/>
      <c r="D1973" s="1867"/>
      <c r="E1973" s="1867"/>
      <c r="F1973" s="1867"/>
      <c r="G1973" s="1867"/>
      <c r="H1973" s="1867"/>
      <c r="I1973" s="1867"/>
      <c r="J1973" s="1867"/>
      <c r="K1973" s="1867"/>
      <c r="L1973" s="1867"/>
      <c r="M1973" s="1900" t="s">
        <v>4604</v>
      </c>
      <c r="N1973" s="1900"/>
      <c r="O1973" s="2028"/>
      <c r="P1973" s="2028"/>
      <c r="Q1973" s="1652"/>
      <c r="R1973" s="2028"/>
      <c r="S1973" s="2028"/>
      <c r="T1973" s="2028"/>
      <c r="U1973" s="2028"/>
      <c r="V1973" s="2028"/>
      <c r="W1973" s="2028"/>
      <c r="X1973" s="2028"/>
      <c r="Y1973" s="2028"/>
      <c r="Z1973" s="2028"/>
    </row>
    <row r="1974" spans="1:26" ht="1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c r="A1975" s="2028"/>
      <c r="B1975" s="1867"/>
      <c r="C1975" s="1867"/>
      <c r="D1975" s="1867"/>
      <c r="E1975" s="1867"/>
      <c r="F1975" s="1867"/>
      <c r="G1975" s="1867"/>
      <c r="H1975" s="1867"/>
      <c r="I1975" s="1867"/>
      <c r="J1975" s="1867"/>
      <c r="K1975" s="1867"/>
      <c r="L1975" s="1867"/>
      <c r="M1975" s="1841" t="s">
        <v>2829</v>
      </c>
      <c r="N1975" s="2030"/>
      <c r="O1975" s="2104">
        <f>'Part VI-Revenues &amp; Expenses'!$O$67</f>
        <v>156</v>
      </c>
      <c r="P1975" s="2104"/>
      <c r="Q1975" s="1652"/>
      <c r="R1975" s="2028"/>
      <c r="S1975" s="2028"/>
      <c r="T1975" s="2028"/>
      <c r="U1975" s="2028"/>
      <c r="V1975" s="2028"/>
      <c r="W1975" s="2028"/>
      <c r="X1975" s="2028"/>
      <c r="Y1975" s="2028"/>
      <c r="Z1975" s="2028"/>
    </row>
    <row r="1976" spans="1:26" ht="15">
      <c r="A1976" s="2028"/>
      <c r="B1976" s="1867"/>
      <c r="C1976" s="1867"/>
      <c r="D1976" s="1867"/>
      <c r="E1976" s="1867"/>
      <c r="F1976" s="1867"/>
      <c r="G1976" s="1867"/>
      <c r="H1976" s="1867"/>
      <c r="I1976" s="1867"/>
      <c r="J1976" s="1867"/>
      <c r="K1976" s="1867"/>
      <c r="L1976" s="1867"/>
      <c r="M1976" s="1841" t="s">
        <v>2830</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c r="A1979" s="2106" t="s">
        <v>4605</v>
      </c>
      <c r="B1979" s="1893" t="s">
        <v>3356</v>
      </c>
      <c r="C1979" s="1921"/>
      <c r="D1979" s="2028"/>
      <c r="E1979" s="2028"/>
      <c r="F1979" s="2028"/>
      <c r="G1979" s="2028"/>
      <c r="H1979" s="1921"/>
      <c r="I1979" s="2028"/>
      <c r="J1979" s="2028"/>
      <c r="K1979" s="2028"/>
      <c r="L1979" s="2028"/>
      <c r="M1979" s="2030">
        <v>1</v>
      </c>
      <c r="N1979" s="1944" t="s">
        <v>1984</v>
      </c>
      <c r="O1979" s="1975">
        <f>'Part IX Scoring Criteria'!O431</f>
        <v>0</v>
      </c>
      <c r="P1979" s="1975">
        <f>'Part IX Scoring Criteria'!P431</f>
        <v>0</v>
      </c>
      <c r="Q1979" s="2015" t="str">
        <f>IF(OR($O1979=$M1979,$O1979=0,$O1979=""),"","*CHECK!*")</f>
        <v/>
      </c>
      <c r="R1979" s="2057" t="s">
        <v>2705</v>
      </c>
      <c r="S1979" s="2028"/>
      <c r="T1979" s="2028"/>
      <c r="U1979" s="2028"/>
      <c r="V1979" s="2028"/>
      <c r="W1979" s="2028"/>
      <c r="X1979" s="2028"/>
      <c r="Y1979" s="2028"/>
      <c r="Z1979" s="2028"/>
    </row>
    <row r="1980" spans="1:26" ht="15" customHeight="1">
      <c r="A1980" s="2106"/>
      <c r="B1980" s="1900" t="s">
        <v>4195</v>
      </c>
      <c r="C1980" s="1900"/>
      <c r="D1980" s="1900"/>
      <c r="E1980" s="1900"/>
      <c r="F1980" s="1900"/>
      <c r="G1980" s="1900"/>
      <c r="H1980" s="1900"/>
      <c r="I1980" s="1900"/>
      <c r="J1980" s="1900"/>
      <c r="K1980" s="1900"/>
      <c r="L1980" s="1900"/>
      <c r="M1980" s="1952" t="s">
        <v>2829</v>
      </c>
      <c r="N1980" s="2030"/>
      <c r="O1980" s="2104">
        <f>'Part VI-Revenues &amp; Expenses'!$O$67</f>
        <v>156</v>
      </c>
      <c r="P1980" s="2104"/>
      <c r="Q1980" s="1652"/>
      <c r="R1980" s="2028"/>
      <c r="S1980" s="2028"/>
      <c r="T1980" s="2028"/>
      <c r="U1980" s="2028"/>
      <c r="V1980" s="2028"/>
      <c r="W1980" s="2028"/>
      <c r="X1980" s="2028"/>
      <c r="Y1980" s="2028"/>
      <c r="Z1980" s="2028"/>
    </row>
    <row r="1981" spans="1:26" ht="15">
      <c r="A1981" s="2106"/>
      <c r="B1981" s="1900"/>
      <c r="C1981" s="1900"/>
      <c r="D1981" s="1900"/>
      <c r="E1981" s="1900"/>
      <c r="F1981" s="1900"/>
      <c r="G1981" s="1900"/>
      <c r="H1981" s="1900"/>
      <c r="I1981" s="1900"/>
      <c r="J1981" s="1900"/>
      <c r="K1981" s="1900"/>
      <c r="L1981" s="1900"/>
      <c r="M1981" s="1841" t="s">
        <v>2830</v>
      </c>
      <c r="N1981" s="2030"/>
      <c r="O1981" s="2105">
        <f>IF(O1980=0,0,L1968/O1980)</f>
        <v>0</v>
      </c>
      <c r="P1981" s="2105"/>
      <c r="Q1981" s="1652"/>
      <c r="R1981" s="2028"/>
      <c r="S1981" s="2028"/>
      <c r="T1981" s="2028"/>
      <c r="U1981" s="2028"/>
      <c r="V1981" s="2028"/>
      <c r="W1981" s="2028"/>
      <c r="X1981" s="2028"/>
      <c r="Y1981" s="2028"/>
      <c r="Z1981" s="2028"/>
    </row>
    <row r="1982" spans="1:26" ht="15">
      <c r="A1982" s="1631"/>
      <c r="B1982" s="1994" t="s">
        <v>3754</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7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c r="A1984" s="1976"/>
      <c r="B1984" s="1897" t="s">
        <v>1865</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7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c r="A1987" s="2094" t="s">
        <v>4103</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c r="A1989" s="2094"/>
      <c r="B1989" s="1894" t="s">
        <v>3657</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c r="A1990" s="2094"/>
      <c r="B1990" s="1894" t="s">
        <v>3658</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c r="A1991" s="2094"/>
      <c r="B1991" s="1894" t="s">
        <v>3659</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c r="A1992" s="1866"/>
      <c r="B1992" s="1866" t="s">
        <v>1865</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7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4608</v>
      </c>
      <c r="R1995" s="1975">
        <f>'Part IX Scoring Criteria'!O448</f>
        <v>20</v>
      </c>
      <c r="S1995" s="1631"/>
      <c r="T1995" s="1631"/>
      <c r="U1995" s="1631"/>
      <c r="V1995" s="1631"/>
      <c r="W1995" s="1631"/>
      <c r="X1995" s="1631"/>
      <c r="Y1995" s="1631"/>
      <c r="Z1995" s="1631"/>
    </row>
    <row r="1996" spans="1:26" ht="15.75">
      <c r="A1996" s="1976"/>
      <c r="B1996" s="2107"/>
      <c r="C1996" s="1976"/>
      <c r="F1996" s="1974"/>
      <c r="G1996" s="1974"/>
      <c r="H1996" s="1820" t="s">
        <v>4189</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75">
      <c r="A1997" s="1976"/>
      <c r="B1997" s="2107"/>
      <c r="C1997" s="1976"/>
      <c r="F1997" s="1974"/>
      <c r="G1997" s="1974"/>
      <c r="H1997" s="1820" t="s">
        <v>4190</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c r="A1998" s="1631"/>
      <c r="B1998" s="1976"/>
      <c r="C1998" s="1976"/>
      <c r="D1998" s="521"/>
      <c r="E1998" s="521"/>
      <c r="F1998" s="1813"/>
      <c r="G1998" s="1976"/>
      <c r="H1998" s="1820" t="s">
        <v>4197</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75">
      <c r="A1999" s="1976"/>
      <c r="B1999" s="2107"/>
      <c r="C1999" s="1976"/>
      <c r="F1999" s="1841"/>
      <c r="G1999" s="1841"/>
      <c r="H1999" s="1974"/>
      <c r="I1999" s="1974"/>
      <c r="J1999" s="2111"/>
      <c r="K1999" s="2111"/>
      <c r="L1999" s="1976"/>
      <c r="N1999" s="1813"/>
      <c r="O1999" s="1813"/>
      <c r="P1999" s="1975"/>
    </row>
    <row r="2000" spans="1:26" ht="15" customHeight="1">
      <c r="A2000" s="2112" t="s">
        <v>3688</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7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75">
      <c r="A2009" s="1732" t="s">
        <v>4202</v>
      </c>
    </row>
    <row r="2010" spans="1:26" ht="16.5">
      <c r="A2010" s="2113" t="str">
        <f>'Part I-Project Information'!$F$34</f>
        <v>55 Milton</v>
      </c>
    </row>
    <row r="2011" spans="1:26" ht="16.5">
      <c r="A2011" s="2113" t="str">
        <f>CONCATENATE('Part I-Project Information'!$F$38,", ", 'Part I-Project Information'!$J$39," County")</f>
        <v>Atlanta, Fulton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topLeftCell="A136" zoomScaleNormal="100" workbookViewId="0">
      <selection activeCell="T90" sqref="T90"/>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080" t="str">
        <f>CONCATENATE("PART TWO - DEVELOPMENT TEAM INFORMATION","  -  ",'Part I-Project Information'!$O$6," ",'Part I-Project Information'!$F$34,", ",'Part I-Project Information'!F38,", ",'Part I-Project Information'!J39," County")</f>
        <v>PART TWO - DEVELOPMENT TEAM INFORMATION  -  2019-5 55 Milton, Atlanta, Fulton County</v>
      </c>
      <c r="B1" s="3081"/>
      <c r="C1" s="3081"/>
      <c r="D1" s="3081"/>
      <c r="E1" s="3081"/>
      <c r="F1" s="3081"/>
      <c r="G1" s="3081"/>
      <c r="H1" s="3081"/>
      <c r="I1" s="3081"/>
      <c r="J1" s="3081"/>
      <c r="K1" s="3081"/>
      <c r="L1" s="3081"/>
      <c r="M1" s="3081"/>
      <c r="N1" s="3081"/>
      <c r="O1" s="3081"/>
      <c r="P1" s="3081"/>
      <c r="Q1" s="3081"/>
      <c r="R1" s="3081"/>
      <c r="S1" s="3082"/>
    </row>
    <row r="2" spans="1:27" ht="12" customHeight="1" thickBot="1">
      <c r="A2" s="1107" t="s">
        <v>4458</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1857</v>
      </c>
      <c r="C3" s="331"/>
      <c r="E3" s="331"/>
      <c r="F3" s="331"/>
      <c r="G3" s="331"/>
      <c r="H3" s="1586" t="s">
        <v>4255</v>
      </c>
      <c r="O3" s="3083" t="str">
        <f>'Part I-Project Information'!$B$6</f>
        <v>May 2019 Final</v>
      </c>
      <c r="P3" s="3084"/>
      <c r="Q3" s="3084"/>
      <c r="R3" s="3084"/>
      <c r="S3" s="3085"/>
    </row>
    <row r="4" spans="1:27" s="325" customFormat="1" ht="8.4499999999999993" customHeight="1">
      <c r="A4" s="327"/>
      <c r="B4" s="327"/>
      <c r="C4" s="327"/>
      <c r="D4" s="331"/>
      <c r="E4" s="331"/>
      <c r="F4" s="331"/>
      <c r="G4" s="331"/>
      <c r="H4" s="331"/>
      <c r="I4" s="331"/>
      <c r="J4" s="331"/>
    </row>
    <row r="5" spans="1:27" s="325" customFormat="1" ht="11.25" customHeight="1">
      <c r="B5" s="327" t="s">
        <v>1982</v>
      </c>
      <c r="C5" s="331" t="s">
        <v>1853</v>
      </c>
      <c r="H5" s="3072" t="s">
        <v>5237</v>
      </c>
      <c r="I5" s="3073"/>
      <c r="J5" s="3073"/>
      <c r="K5" s="3073"/>
      <c r="L5" s="3073"/>
      <c r="M5" s="3073"/>
      <c r="N5" s="3074"/>
      <c r="O5" s="372" t="s">
        <v>1988</v>
      </c>
      <c r="P5" s="372"/>
      <c r="Q5" s="3072" t="s">
        <v>5215</v>
      </c>
      <c r="R5" s="3073"/>
      <c r="S5" s="3074"/>
      <c r="Y5" s="1271"/>
      <c r="Z5" s="1272"/>
      <c r="AA5" s="1267"/>
    </row>
    <row r="6" spans="1:27" s="325" customFormat="1" ht="11.25" customHeight="1">
      <c r="D6" s="373"/>
      <c r="E6" s="330" t="s">
        <v>1021</v>
      </c>
      <c r="F6" s="339"/>
      <c r="H6" s="2899" t="s">
        <v>5238</v>
      </c>
      <c r="I6" s="3076"/>
      <c r="J6" s="3076"/>
      <c r="K6" s="3077"/>
      <c r="L6" s="3076"/>
      <c r="M6" s="3076"/>
      <c r="N6" s="3078"/>
      <c r="O6" s="372" t="s">
        <v>1747</v>
      </c>
      <c r="P6" s="374"/>
      <c r="Q6" s="2943" t="s">
        <v>5216</v>
      </c>
      <c r="R6" s="2990"/>
      <c r="S6" s="2991"/>
      <c r="V6" s="1271"/>
      <c r="W6" s="1271"/>
      <c r="X6" s="1271"/>
      <c r="Y6" s="1271"/>
      <c r="Z6" s="1272"/>
      <c r="AA6" s="1267"/>
    </row>
    <row r="7" spans="1:27" s="325" customFormat="1" ht="11.25" customHeight="1">
      <c r="D7" s="373"/>
      <c r="E7" s="330" t="s">
        <v>618</v>
      </c>
      <c r="H7" s="2899" t="s">
        <v>1205</v>
      </c>
      <c r="I7" s="3077"/>
      <c r="J7" s="2993"/>
      <c r="K7" s="475" t="s">
        <v>762</v>
      </c>
      <c r="L7" s="2912" t="s">
        <v>5239</v>
      </c>
      <c r="M7" s="3076"/>
      <c r="N7" s="3078"/>
      <c r="O7" s="372" t="s">
        <v>1721</v>
      </c>
      <c r="P7" s="374"/>
      <c r="Q7" s="3055">
        <v>4049493871</v>
      </c>
      <c r="R7" s="3056"/>
      <c r="S7" s="3057"/>
    </row>
    <row r="8" spans="1:27" s="325" customFormat="1" ht="11.25" customHeight="1">
      <c r="D8" s="373"/>
      <c r="E8" s="330" t="s">
        <v>1799</v>
      </c>
      <c r="H8" s="1599" t="s">
        <v>848</v>
      </c>
      <c r="I8" s="1000" t="s">
        <v>2228</v>
      </c>
      <c r="J8" s="3066">
        <v>303272800</v>
      </c>
      <c r="K8" s="3067"/>
      <c r="L8" s="374" t="s">
        <v>3687</v>
      </c>
      <c r="M8" s="3068" t="s">
        <v>5240</v>
      </c>
      <c r="N8" s="3069"/>
      <c r="O8" s="372" t="s">
        <v>1978</v>
      </c>
      <c r="P8" s="374"/>
      <c r="Q8" s="3055">
        <v>4049663824</v>
      </c>
      <c r="R8" s="3056"/>
      <c r="S8" s="3057"/>
    </row>
    <row r="9" spans="1:27" s="325" customFormat="1" ht="11.25" customHeight="1">
      <c r="D9" s="373"/>
      <c r="E9" s="330" t="s">
        <v>4256</v>
      </c>
      <c r="H9" s="3070">
        <v>4049493871</v>
      </c>
      <c r="I9" s="3071"/>
      <c r="J9" s="1070"/>
      <c r="K9" s="375" t="s">
        <v>1983</v>
      </c>
      <c r="L9" s="2946" t="s">
        <v>5218</v>
      </c>
      <c r="M9" s="3017"/>
      <c r="N9" s="3017"/>
      <c r="O9" s="2947"/>
      <c r="P9" s="2947"/>
      <c r="Q9" s="3017"/>
      <c r="R9" s="3017"/>
      <c r="S9" s="3018"/>
    </row>
    <row r="10" spans="1:27" s="325" customFormat="1" ht="11.25" customHeight="1">
      <c r="D10" s="373"/>
      <c r="E10" s="1586" t="s">
        <v>4255</v>
      </c>
      <c r="H10" s="376"/>
      <c r="I10" s="374"/>
      <c r="J10" s="374"/>
      <c r="K10" s="430"/>
      <c r="L10" s="374"/>
      <c r="M10" s="374"/>
      <c r="N10" s="476" t="s">
        <v>3565</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1984</v>
      </c>
      <c r="C12" s="331" t="s">
        <v>1854</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1985</v>
      </c>
      <c r="D13" s="371" t="s">
        <v>1986</v>
      </c>
      <c r="H13" s="380"/>
      <c r="I13" s="380"/>
      <c r="J13" s="380"/>
      <c r="K13" s="374"/>
      <c r="L13" s="374"/>
      <c r="M13" s="374"/>
      <c r="N13" s="477"/>
      <c r="O13" s="374"/>
      <c r="P13" s="374"/>
      <c r="Q13" s="374"/>
      <c r="R13" s="374"/>
      <c r="S13" s="374"/>
      <c r="W13" s="567"/>
      <c r="X13" s="567"/>
      <c r="Y13" s="567"/>
      <c r="Z13" s="567"/>
    </row>
    <row r="14" spans="1:27" s="325" customFormat="1" ht="11.25" customHeight="1">
      <c r="D14" s="327" t="s">
        <v>2115</v>
      </c>
      <c r="E14" s="325" t="s">
        <v>1855</v>
      </c>
      <c r="H14" s="3072" t="s">
        <v>5241</v>
      </c>
      <c r="I14" s="3073"/>
      <c r="J14" s="3073"/>
      <c r="K14" s="3073"/>
      <c r="L14" s="3073"/>
      <c r="M14" s="3073"/>
      <c r="N14" s="3074"/>
      <c r="O14" s="372" t="s">
        <v>1988</v>
      </c>
      <c r="P14" s="372"/>
      <c r="Q14" s="3072" t="s">
        <v>5215</v>
      </c>
      <c r="R14" s="3073"/>
      <c r="S14" s="3074"/>
    </row>
    <row r="15" spans="1:27" s="325" customFormat="1" ht="11.25" customHeight="1">
      <c r="D15" s="373"/>
      <c r="E15" s="330" t="s">
        <v>1021</v>
      </c>
      <c r="F15" s="339"/>
      <c r="H15" s="2899" t="s">
        <v>5238</v>
      </c>
      <c r="I15" s="3076"/>
      <c r="J15" s="3076"/>
      <c r="K15" s="3077"/>
      <c r="L15" s="3076"/>
      <c r="M15" s="3076"/>
      <c r="N15" s="3078"/>
      <c r="O15" s="372" t="s">
        <v>1747</v>
      </c>
      <c r="P15" s="374"/>
      <c r="Q15" s="2943" t="s">
        <v>5216</v>
      </c>
      <c r="R15" s="2990"/>
      <c r="S15" s="2991"/>
    </row>
    <row r="16" spans="1:27" s="325" customFormat="1" ht="11.25" customHeight="1">
      <c r="D16" s="373"/>
      <c r="E16" s="330" t="s">
        <v>618</v>
      </c>
      <c r="H16" s="2899" t="s">
        <v>1205</v>
      </c>
      <c r="I16" s="3077"/>
      <c r="J16" s="2993"/>
      <c r="K16" s="576" t="s">
        <v>2703</v>
      </c>
      <c r="L16" s="2899" t="s">
        <v>970</v>
      </c>
      <c r="M16" s="3076"/>
      <c r="N16" s="2993"/>
      <c r="O16" s="372" t="s">
        <v>1721</v>
      </c>
      <c r="P16" s="374"/>
      <c r="Q16" s="3055">
        <v>4049493871</v>
      </c>
      <c r="R16" s="3056"/>
      <c r="S16" s="3057"/>
    </row>
    <row r="17" spans="3:19" s="325" customFormat="1" ht="11.25" customHeight="1">
      <c r="D17" s="327"/>
      <c r="E17" s="330" t="s">
        <v>1799</v>
      </c>
      <c r="H17" s="1599" t="s">
        <v>848</v>
      </c>
      <c r="I17" s="374"/>
      <c r="J17" s="374"/>
      <c r="K17" s="1000" t="s">
        <v>2228</v>
      </c>
      <c r="L17" s="2888">
        <v>303272800</v>
      </c>
      <c r="M17" s="3079"/>
      <c r="N17" s="374"/>
      <c r="O17" s="372" t="s">
        <v>1978</v>
      </c>
      <c r="P17" s="374"/>
      <c r="Q17" s="3055">
        <v>4049663824</v>
      </c>
      <c r="R17" s="3056"/>
      <c r="S17" s="3057"/>
    </row>
    <row r="18" spans="3:19" s="325" customFormat="1" ht="11.25" customHeight="1">
      <c r="D18" s="373"/>
      <c r="E18" s="330" t="s">
        <v>4256</v>
      </c>
      <c r="H18" s="3070">
        <v>4049493871</v>
      </c>
      <c r="I18" s="3075"/>
      <c r="J18" s="357"/>
      <c r="K18" s="375" t="s">
        <v>1983</v>
      </c>
      <c r="L18" s="3054" t="s">
        <v>5218</v>
      </c>
      <c r="M18" s="3017"/>
      <c r="N18" s="2947"/>
      <c r="O18" s="2947"/>
      <c r="P18" s="2947"/>
      <c r="Q18" s="3017"/>
      <c r="R18" s="3017"/>
      <c r="S18" s="3018"/>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2116</v>
      </c>
      <c r="E20" s="325" t="s">
        <v>1856</v>
      </c>
      <c r="F20" s="1238"/>
      <c r="H20" s="3072"/>
      <c r="I20" s="3073"/>
      <c r="J20" s="3073"/>
      <c r="K20" s="3073"/>
      <c r="L20" s="3073"/>
      <c r="M20" s="3073"/>
      <c r="N20" s="3074"/>
      <c r="O20" s="372" t="s">
        <v>1988</v>
      </c>
      <c r="P20" s="372"/>
      <c r="Q20" s="3072"/>
      <c r="R20" s="3073"/>
      <c r="S20" s="3074"/>
    </row>
    <row r="21" spans="3:19" s="325" customFormat="1" ht="11.25" customHeight="1">
      <c r="D21" s="373"/>
      <c r="E21" s="330" t="s">
        <v>1021</v>
      </c>
      <c r="F21" s="339"/>
      <c r="H21" s="2899"/>
      <c r="I21" s="3076"/>
      <c r="J21" s="3076"/>
      <c r="K21" s="3077"/>
      <c r="L21" s="3076"/>
      <c r="M21" s="3076"/>
      <c r="N21" s="3078"/>
      <c r="O21" s="372" t="s">
        <v>1747</v>
      </c>
      <c r="P21" s="374"/>
      <c r="Q21" s="2943"/>
      <c r="R21" s="2990"/>
      <c r="S21" s="2991"/>
    </row>
    <row r="22" spans="3:19" s="325" customFormat="1" ht="11.25" customHeight="1">
      <c r="D22" s="373"/>
      <c r="E22" s="330" t="s">
        <v>618</v>
      </c>
      <c r="H22" s="2899"/>
      <c r="I22" s="3077"/>
      <c r="J22" s="2993"/>
      <c r="K22" s="576" t="s">
        <v>2703</v>
      </c>
      <c r="L22" s="2899"/>
      <c r="M22" s="3076"/>
      <c r="N22" s="2993"/>
      <c r="O22" s="372" t="s">
        <v>1721</v>
      </c>
      <c r="P22" s="374"/>
      <c r="Q22" s="3055"/>
      <c r="R22" s="3056"/>
      <c r="S22" s="3057"/>
    </row>
    <row r="23" spans="3:19" s="325" customFormat="1" ht="11.25" customHeight="1">
      <c r="E23" s="330" t="s">
        <v>1799</v>
      </c>
      <c r="H23" s="1599"/>
      <c r="I23" s="374"/>
      <c r="J23" s="374"/>
      <c r="K23" s="1000" t="s">
        <v>2228</v>
      </c>
      <c r="L23" s="2888"/>
      <c r="M23" s="3079"/>
      <c r="N23" s="374"/>
      <c r="O23" s="372" t="s">
        <v>1978</v>
      </c>
      <c r="P23" s="374"/>
      <c r="Q23" s="3055"/>
      <c r="R23" s="3056"/>
      <c r="S23" s="3057"/>
    </row>
    <row r="24" spans="3:19" s="325" customFormat="1" ht="11.25" customHeight="1">
      <c r="D24" s="373"/>
      <c r="E24" s="330" t="s">
        <v>4256</v>
      </c>
      <c r="H24" s="3070"/>
      <c r="I24" s="3075"/>
      <c r="J24" s="357"/>
      <c r="K24" s="375" t="s">
        <v>1983</v>
      </c>
      <c r="L24" s="3054"/>
      <c r="M24" s="3017"/>
      <c r="N24" s="2947"/>
      <c r="O24" s="2947"/>
      <c r="P24" s="2947"/>
      <c r="Q24" s="3017"/>
      <c r="R24" s="3017"/>
      <c r="S24" s="3018"/>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1856</v>
      </c>
      <c r="F26" s="1238"/>
      <c r="H26" s="3072"/>
      <c r="I26" s="3073"/>
      <c r="J26" s="3073"/>
      <c r="K26" s="3073"/>
      <c r="L26" s="3073"/>
      <c r="M26" s="3073"/>
      <c r="N26" s="3074"/>
      <c r="O26" s="372" t="s">
        <v>1988</v>
      </c>
      <c r="P26" s="372"/>
      <c r="Q26" s="3072"/>
      <c r="R26" s="3073"/>
      <c r="S26" s="3074"/>
    </row>
    <row r="27" spans="3:19" s="325" customFormat="1" ht="11.25" customHeight="1">
      <c r="D27" s="373"/>
      <c r="E27" s="330" t="s">
        <v>1021</v>
      </c>
      <c r="F27" s="339"/>
      <c r="H27" s="2899"/>
      <c r="I27" s="3076"/>
      <c r="J27" s="3076"/>
      <c r="K27" s="3077"/>
      <c r="L27" s="3076"/>
      <c r="M27" s="3076"/>
      <c r="N27" s="3078"/>
      <c r="O27" s="372" t="s">
        <v>1747</v>
      </c>
      <c r="P27" s="374"/>
      <c r="Q27" s="2943"/>
      <c r="R27" s="2990"/>
      <c r="S27" s="2991"/>
    </row>
    <row r="28" spans="3:19" s="325" customFormat="1" ht="11.25" customHeight="1">
      <c r="D28" s="373"/>
      <c r="E28" s="330" t="s">
        <v>618</v>
      </c>
      <c r="H28" s="2899"/>
      <c r="I28" s="3077"/>
      <c r="J28" s="2993"/>
      <c r="K28" s="576" t="s">
        <v>2703</v>
      </c>
      <c r="L28" s="2899"/>
      <c r="M28" s="3076"/>
      <c r="N28" s="2993"/>
      <c r="O28" s="372" t="s">
        <v>1721</v>
      </c>
      <c r="P28" s="374"/>
      <c r="Q28" s="3055"/>
      <c r="R28" s="3056"/>
      <c r="S28" s="3057"/>
    </row>
    <row r="29" spans="3:19" s="325" customFormat="1" ht="11.25" customHeight="1">
      <c r="E29" s="330" t="s">
        <v>1799</v>
      </c>
      <c r="H29" s="1599"/>
      <c r="I29" s="374"/>
      <c r="J29" s="374"/>
      <c r="K29" s="1000" t="s">
        <v>2228</v>
      </c>
      <c r="L29" s="2888"/>
      <c r="M29" s="3079"/>
      <c r="N29" s="374"/>
      <c r="O29" s="372" t="s">
        <v>1978</v>
      </c>
      <c r="P29" s="374"/>
      <c r="Q29" s="3055"/>
      <c r="R29" s="3056"/>
      <c r="S29" s="3057"/>
    </row>
    <row r="30" spans="3:19" s="325" customFormat="1" ht="11.25" customHeight="1">
      <c r="D30" s="373"/>
      <c r="E30" s="330" t="s">
        <v>4256</v>
      </c>
      <c r="H30" s="3070"/>
      <c r="I30" s="3075"/>
      <c r="J30" s="357"/>
      <c r="K30" s="375" t="s">
        <v>1983</v>
      </c>
      <c r="L30" s="3054"/>
      <c r="M30" s="3017"/>
      <c r="N30" s="2947"/>
      <c r="O30" s="2947"/>
      <c r="P30" s="2947"/>
      <c r="Q30" s="3017"/>
      <c r="R30" s="3017"/>
      <c r="S30" s="3018"/>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1987</v>
      </c>
      <c r="D32" s="371" t="s">
        <v>1858</v>
      </c>
      <c r="H32" s="380"/>
      <c r="I32" s="380"/>
      <c r="J32" s="380"/>
      <c r="K32" s="2709" t="s">
        <v>4255</v>
      </c>
      <c r="L32" s="380"/>
      <c r="M32" s="380"/>
      <c r="N32" s="374"/>
      <c r="O32" s="374"/>
      <c r="P32" s="374"/>
      <c r="Q32" s="374"/>
      <c r="R32" s="374"/>
      <c r="S32" s="374"/>
    </row>
    <row r="33" spans="3:19" s="325" customFormat="1" ht="11.25" customHeight="1">
      <c r="D33" s="327" t="s">
        <v>2115</v>
      </c>
      <c r="E33" s="325" t="s">
        <v>750</v>
      </c>
      <c r="H33" s="3072" t="s">
        <v>5242</v>
      </c>
      <c r="I33" s="3073"/>
      <c r="J33" s="3073"/>
      <c r="K33" s="3073"/>
      <c r="L33" s="3073"/>
      <c r="M33" s="3073"/>
      <c r="N33" s="3074"/>
      <c r="O33" s="372" t="s">
        <v>1988</v>
      </c>
      <c r="P33" s="372"/>
      <c r="Q33" s="3072" t="s">
        <v>5244</v>
      </c>
      <c r="R33" s="3073"/>
      <c r="S33" s="3074"/>
    </row>
    <row r="34" spans="3:19" s="325" customFormat="1" ht="11.25" customHeight="1">
      <c r="D34" s="373"/>
      <c r="E34" s="330" t="s">
        <v>1021</v>
      </c>
      <c r="F34" s="339"/>
      <c r="H34" s="2899" t="s">
        <v>5243</v>
      </c>
      <c r="I34" s="3076"/>
      <c r="J34" s="3076"/>
      <c r="K34" s="3077"/>
      <c r="L34" s="3076"/>
      <c r="M34" s="3076"/>
      <c r="N34" s="3078"/>
      <c r="O34" s="372" t="s">
        <v>1747</v>
      </c>
      <c r="P34" s="374"/>
      <c r="Q34" s="2943" t="s">
        <v>5245</v>
      </c>
      <c r="R34" s="2990"/>
      <c r="S34" s="2991"/>
    </row>
    <row r="35" spans="3:19" s="325" customFormat="1" ht="11.25" customHeight="1">
      <c r="D35" s="373"/>
      <c r="E35" s="330" t="s">
        <v>618</v>
      </c>
      <c r="H35" s="2899" t="s">
        <v>1205</v>
      </c>
      <c r="I35" s="3077"/>
      <c r="J35" s="2993"/>
      <c r="K35" s="576" t="s">
        <v>2703</v>
      </c>
      <c r="L35" s="2899" t="s">
        <v>5246</v>
      </c>
      <c r="M35" s="3076"/>
      <c r="N35" s="2993"/>
      <c r="O35" s="372" t="s">
        <v>1721</v>
      </c>
      <c r="P35" s="374"/>
      <c r="Q35" s="3055">
        <v>4045888775</v>
      </c>
      <c r="R35" s="3056"/>
      <c r="S35" s="3057"/>
    </row>
    <row r="36" spans="3:19" s="325" customFormat="1" ht="11.25" customHeight="1">
      <c r="E36" s="330" t="s">
        <v>1799</v>
      </c>
      <c r="H36" s="1599" t="s">
        <v>848</v>
      </c>
      <c r="I36" s="374"/>
      <c r="J36" s="374"/>
      <c r="K36" s="1000" t="s">
        <v>2228</v>
      </c>
      <c r="L36" s="2888">
        <v>303097629</v>
      </c>
      <c r="M36" s="3079"/>
      <c r="N36" s="374"/>
      <c r="O36" s="372" t="s">
        <v>1978</v>
      </c>
      <c r="P36" s="374"/>
      <c r="Q36" s="3055">
        <v>7706390087</v>
      </c>
      <c r="R36" s="3056"/>
      <c r="S36" s="3057"/>
    </row>
    <row r="37" spans="3:19" s="325" customFormat="1" ht="11.25" customHeight="1">
      <c r="D37" s="373"/>
      <c r="E37" s="330" t="s">
        <v>4256</v>
      </c>
      <c r="H37" s="3070">
        <v>4045888775</v>
      </c>
      <c r="I37" s="3075"/>
      <c r="J37" s="357"/>
      <c r="K37" s="375" t="s">
        <v>1983</v>
      </c>
      <c r="L37" s="3054" t="s">
        <v>5247</v>
      </c>
      <c r="M37" s="3017"/>
      <c r="N37" s="2947"/>
      <c r="O37" s="2947"/>
      <c r="P37" s="2947"/>
      <c r="Q37" s="3017"/>
      <c r="R37" s="3017"/>
      <c r="S37" s="3018"/>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2116</v>
      </c>
      <c r="E39" s="325" t="s">
        <v>751</v>
      </c>
      <c r="F39" s="327"/>
      <c r="H39" s="3072" t="s">
        <v>5242</v>
      </c>
      <c r="I39" s="3073"/>
      <c r="J39" s="3073"/>
      <c r="K39" s="3073"/>
      <c r="L39" s="3073"/>
      <c r="M39" s="3073"/>
      <c r="N39" s="3074"/>
      <c r="O39" s="372" t="s">
        <v>1988</v>
      </c>
      <c r="P39" s="372"/>
      <c r="Q39" s="3072" t="s">
        <v>5244</v>
      </c>
      <c r="R39" s="3073"/>
      <c r="S39" s="3074"/>
    </row>
    <row r="40" spans="3:19" s="325" customFormat="1" ht="11.25" customHeight="1">
      <c r="D40" s="373"/>
      <c r="E40" s="330" t="s">
        <v>1021</v>
      </c>
      <c r="F40" s="339"/>
      <c r="H40" s="2899" t="s">
        <v>5243</v>
      </c>
      <c r="I40" s="3076"/>
      <c r="J40" s="3076"/>
      <c r="K40" s="3077"/>
      <c r="L40" s="3076"/>
      <c r="M40" s="3076"/>
      <c r="N40" s="3078"/>
      <c r="O40" s="372" t="s">
        <v>1747</v>
      </c>
      <c r="P40" s="374"/>
      <c r="Q40" s="2943" t="s">
        <v>5245</v>
      </c>
      <c r="R40" s="2990"/>
      <c r="S40" s="2991"/>
    </row>
    <row r="41" spans="3:19" s="325" customFormat="1" ht="11.25" customHeight="1">
      <c r="D41" s="373"/>
      <c r="E41" s="330" t="s">
        <v>618</v>
      </c>
      <c r="H41" s="2899" t="s">
        <v>1205</v>
      </c>
      <c r="I41" s="3077"/>
      <c r="J41" s="2993"/>
      <c r="K41" s="576" t="s">
        <v>2703</v>
      </c>
      <c r="L41" s="2899" t="s">
        <v>5246</v>
      </c>
      <c r="M41" s="3076"/>
      <c r="N41" s="2993"/>
      <c r="O41" s="372" t="s">
        <v>1721</v>
      </c>
      <c r="P41" s="374"/>
      <c r="Q41" s="3055">
        <v>4045888775</v>
      </c>
      <c r="R41" s="3056"/>
      <c r="S41" s="3057"/>
    </row>
    <row r="42" spans="3:19" s="325" customFormat="1" ht="11.25" customHeight="1">
      <c r="D42" s="327"/>
      <c r="E42" s="330" t="s">
        <v>1799</v>
      </c>
      <c r="H42" s="1599" t="s">
        <v>848</v>
      </c>
      <c r="I42" s="374"/>
      <c r="J42" s="374"/>
      <c r="K42" s="1000" t="s">
        <v>2228</v>
      </c>
      <c r="L42" s="2888">
        <v>303097629</v>
      </c>
      <c r="M42" s="3079"/>
      <c r="N42" s="374"/>
      <c r="O42" s="372" t="s">
        <v>1978</v>
      </c>
      <c r="P42" s="374"/>
      <c r="Q42" s="3055">
        <v>7706390087</v>
      </c>
      <c r="R42" s="3056"/>
      <c r="S42" s="3057"/>
    </row>
    <row r="43" spans="3:19" s="325" customFormat="1" ht="11.25" customHeight="1">
      <c r="D43" s="373"/>
      <c r="E43" s="330" t="s">
        <v>4256</v>
      </c>
      <c r="H43" s="3070">
        <v>4045888775</v>
      </c>
      <c r="I43" s="3075"/>
      <c r="J43" s="357"/>
      <c r="K43" s="375" t="s">
        <v>1983</v>
      </c>
      <c r="L43" s="3054" t="s">
        <v>5247</v>
      </c>
      <c r="M43" s="3017"/>
      <c r="N43" s="2947"/>
      <c r="O43" s="2947"/>
      <c r="P43" s="2947"/>
      <c r="Q43" s="3017"/>
      <c r="R43" s="3017"/>
      <c r="S43" s="3018"/>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2533</v>
      </c>
      <c r="D45" s="371" t="s">
        <v>651</v>
      </c>
      <c r="H45" s="380"/>
      <c r="I45" s="380"/>
      <c r="J45" s="380"/>
      <c r="K45" s="2709" t="s">
        <v>4255</v>
      </c>
      <c r="L45" s="380"/>
      <c r="M45" s="380"/>
      <c r="N45" s="374"/>
      <c r="O45" s="374"/>
      <c r="P45" s="374"/>
      <c r="Q45" s="374"/>
      <c r="R45" s="374"/>
      <c r="S45" s="374"/>
    </row>
    <row r="46" spans="3:19" s="325" customFormat="1" ht="11.25" customHeight="1">
      <c r="E46" s="325" t="s">
        <v>92</v>
      </c>
      <c r="H46" s="3072"/>
      <c r="I46" s="3073"/>
      <c r="J46" s="3073"/>
      <c r="K46" s="3073"/>
      <c r="L46" s="3073"/>
      <c r="M46" s="3073"/>
      <c r="N46" s="3074"/>
      <c r="O46" s="372" t="s">
        <v>1988</v>
      </c>
      <c r="P46" s="372"/>
      <c r="Q46" s="3072"/>
      <c r="R46" s="3073"/>
      <c r="S46" s="3074"/>
    </row>
    <row r="47" spans="3:19" s="325" customFormat="1" ht="11.25" customHeight="1">
      <c r="D47" s="373"/>
      <c r="E47" s="330" t="s">
        <v>1021</v>
      </c>
      <c r="F47" s="339"/>
      <c r="H47" s="2899"/>
      <c r="I47" s="3076"/>
      <c r="J47" s="3076"/>
      <c r="K47" s="3077"/>
      <c r="L47" s="3076"/>
      <c r="M47" s="3076"/>
      <c r="N47" s="3078"/>
      <c r="O47" s="372" t="s">
        <v>1747</v>
      </c>
      <c r="P47" s="374"/>
      <c r="Q47" s="2943"/>
      <c r="R47" s="2990"/>
      <c r="S47" s="2991"/>
    </row>
    <row r="48" spans="3:19" s="325" customFormat="1" ht="11.25" customHeight="1">
      <c r="D48" s="373"/>
      <c r="E48" s="330" t="s">
        <v>618</v>
      </c>
      <c r="H48" s="2899"/>
      <c r="I48" s="3077"/>
      <c r="J48" s="2993"/>
      <c r="K48" s="576" t="s">
        <v>2703</v>
      </c>
      <c r="L48" s="2899"/>
      <c r="M48" s="3076"/>
      <c r="N48" s="2993"/>
      <c r="O48" s="372" t="s">
        <v>1721</v>
      </c>
      <c r="P48" s="374"/>
      <c r="Q48" s="3055"/>
      <c r="R48" s="3056"/>
      <c r="S48" s="3057"/>
    </row>
    <row r="49" spans="1:19" s="325" customFormat="1" ht="11.25" customHeight="1">
      <c r="E49" s="330" t="s">
        <v>1799</v>
      </c>
      <c r="H49" s="1599"/>
      <c r="I49" s="374"/>
      <c r="J49" s="374"/>
      <c r="K49" s="1000" t="s">
        <v>2228</v>
      </c>
      <c r="L49" s="2888"/>
      <c r="M49" s="3079"/>
      <c r="N49" s="374"/>
      <c r="O49" s="372" t="s">
        <v>1978</v>
      </c>
      <c r="P49" s="374"/>
      <c r="Q49" s="3055"/>
      <c r="R49" s="3056"/>
      <c r="S49" s="3057"/>
    </row>
    <row r="50" spans="1:19" s="325" customFormat="1" ht="11.25" customHeight="1">
      <c r="D50" s="373"/>
      <c r="E50" s="330" t="s">
        <v>4256</v>
      </c>
      <c r="H50" s="3070"/>
      <c r="I50" s="3075"/>
      <c r="J50" s="357"/>
      <c r="K50" s="375" t="s">
        <v>1983</v>
      </c>
      <c r="L50" s="3054"/>
      <c r="M50" s="3017"/>
      <c r="N50" s="2947"/>
      <c r="O50" s="2947"/>
      <c r="P50" s="2947"/>
      <c r="Q50" s="3017"/>
      <c r="R50" s="3017"/>
      <c r="S50" s="3018"/>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9" t="s">
        <v>4255</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1982</v>
      </c>
      <c r="C54" s="327" t="s">
        <v>282</v>
      </c>
      <c r="H54" s="3072" t="s">
        <v>5248</v>
      </c>
      <c r="I54" s="3073"/>
      <c r="J54" s="3073"/>
      <c r="K54" s="3073"/>
      <c r="L54" s="3073"/>
      <c r="M54" s="3073"/>
      <c r="N54" s="3074"/>
      <c r="O54" s="372" t="s">
        <v>1988</v>
      </c>
      <c r="P54" s="372"/>
      <c r="Q54" s="3072" t="s">
        <v>5215</v>
      </c>
      <c r="R54" s="3073"/>
      <c r="S54" s="3074"/>
    </row>
    <row r="55" spans="1:19" s="325" customFormat="1" ht="11.25" customHeight="1">
      <c r="D55" s="373"/>
      <c r="E55" s="330" t="s">
        <v>1021</v>
      </c>
      <c r="F55" s="339"/>
      <c r="H55" s="2899" t="s">
        <v>5249</v>
      </c>
      <c r="I55" s="3076"/>
      <c r="J55" s="3076"/>
      <c r="K55" s="3077"/>
      <c r="L55" s="3076"/>
      <c r="M55" s="3076"/>
      <c r="N55" s="3078"/>
      <c r="O55" s="372" t="s">
        <v>1747</v>
      </c>
      <c r="P55" s="374"/>
      <c r="Q55" s="2943" t="s">
        <v>5216</v>
      </c>
      <c r="R55" s="2990"/>
      <c r="S55" s="2991"/>
    </row>
    <row r="56" spans="1:19" s="325" customFormat="1" ht="11.25" customHeight="1">
      <c r="D56" s="373"/>
      <c r="E56" s="330" t="s">
        <v>618</v>
      </c>
      <c r="H56" s="2899" t="s">
        <v>1205</v>
      </c>
      <c r="I56" s="3077"/>
      <c r="J56" s="2993"/>
      <c r="K56" s="576" t="s">
        <v>2703</v>
      </c>
      <c r="L56" s="2899" t="s">
        <v>5250</v>
      </c>
      <c r="M56" s="3076"/>
      <c r="N56" s="2993"/>
      <c r="O56" s="372" t="s">
        <v>1721</v>
      </c>
      <c r="P56" s="374"/>
      <c r="Q56" s="3055">
        <v>4049493871</v>
      </c>
      <c r="R56" s="3056"/>
      <c r="S56" s="3057"/>
    </row>
    <row r="57" spans="1:19" s="325" customFormat="1" ht="11.25" customHeight="1">
      <c r="E57" s="330" t="s">
        <v>1799</v>
      </c>
      <c r="H57" s="1599" t="s">
        <v>848</v>
      </c>
      <c r="I57" s="374"/>
      <c r="J57" s="374"/>
      <c r="K57" s="1000" t="s">
        <v>2228</v>
      </c>
      <c r="L57" s="2888">
        <v>303272800</v>
      </c>
      <c r="M57" s="3079"/>
      <c r="N57" s="374"/>
      <c r="O57" s="372" t="s">
        <v>1978</v>
      </c>
      <c r="P57" s="374"/>
      <c r="Q57" s="3055">
        <v>4049663824</v>
      </c>
      <c r="R57" s="3056"/>
      <c r="S57" s="3057"/>
    </row>
    <row r="58" spans="1:19" s="325" customFormat="1" ht="11.25" customHeight="1">
      <c r="D58" s="373"/>
      <c r="E58" s="330" t="s">
        <v>4256</v>
      </c>
      <c r="H58" s="3070">
        <v>4049493871</v>
      </c>
      <c r="I58" s="3075"/>
      <c r="J58" s="357"/>
      <c r="K58" s="375" t="s">
        <v>1983</v>
      </c>
      <c r="L58" s="3054" t="s">
        <v>5218</v>
      </c>
      <c r="M58" s="3017"/>
      <c r="N58" s="2947"/>
      <c r="O58" s="2947"/>
      <c r="P58" s="2947"/>
      <c r="Q58" s="3017"/>
      <c r="R58" s="3017"/>
      <c r="S58" s="3018"/>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1984</v>
      </c>
      <c r="C60" s="327" t="s">
        <v>283</v>
      </c>
      <c r="H60" s="3072"/>
      <c r="I60" s="3073"/>
      <c r="J60" s="3073"/>
      <c r="K60" s="3073"/>
      <c r="L60" s="3073"/>
      <c r="M60" s="3073"/>
      <c r="N60" s="3074"/>
      <c r="O60" s="372" t="s">
        <v>1988</v>
      </c>
      <c r="P60" s="372"/>
      <c r="Q60" s="3072"/>
      <c r="R60" s="3073"/>
      <c r="S60" s="3074"/>
    </row>
    <row r="61" spans="1:19" s="325" customFormat="1" ht="11.25" customHeight="1">
      <c r="D61" s="373"/>
      <c r="E61" s="330" t="s">
        <v>1021</v>
      </c>
      <c r="F61" s="339"/>
      <c r="H61" s="2899"/>
      <c r="I61" s="3076"/>
      <c r="J61" s="3076"/>
      <c r="K61" s="3077"/>
      <c r="L61" s="3076"/>
      <c r="M61" s="3076"/>
      <c r="N61" s="3078"/>
      <c r="O61" s="372" t="s">
        <v>1747</v>
      </c>
      <c r="P61" s="374"/>
      <c r="Q61" s="2943"/>
      <c r="R61" s="2990"/>
      <c r="S61" s="2991"/>
    </row>
    <row r="62" spans="1:19" s="325" customFormat="1" ht="11.25" customHeight="1">
      <c r="D62" s="373"/>
      <c r="E62" s="330" t="s">
        <v>618</v>
      </c>
      <c r="H62" s="2899"/>
      <c r="I62" s="3077"/>
      <c r="J62" s="2993"/>
      <c r="K62" s="576" t="s">
        <v>2703</v>
      </c>
      <c r="L62" s="2899"/>
      <c r="M62" s="3076"/>
      <c r="N62" s="2993"/>
      <c r="O62" s="372" t="s">
        <v>1721</v>
      </c>
      <c r="P62" s="374"/>
      <c r="Q62" s="3055"/>
      <c r="R62" s="3056"/>
      <c r="S62" s="3057"/>
    </row>
    <row r="63" spans="1:19" s="325" customFormat="1" ht="11.25" customHeight="1">
      <c r="E63" s="330" t="s">
        <v>1799</v>
      </c>
      <c r="H63" s="1599"/>
      <c r="I63" s="374"/>
      <c r="J63" s="374"/>
      <c r="K63" s="1000" t="s">
        <v>2228</v>
      </c>
      <c r="L63" s="2888"/>
      <c r="M63" s="3079"/>
      <c r="N63" s="374"/>
      <c r="O63" s="372" t="s">
        <v>1978</v>
      </c>
      <c r="P63" s="374"/>
      <c r="Q63" s="3055"/>
      <c r="R63" s="3056"/>
      <c r="S63" s="3057"/>
    </row>
    <row r="64" spans="1:19" s="325" customFormat="1" ht="11.25" customHeight="1">
      <c r="D64" s="373"/>
      <c r="E64" s="330" t="s">
        <v>4256</v>
      </c>
      <c r="H64" s="3070"/>
      <c r="I64" s="3075"/>
      <c r="J64" s="357"/>
      <c r="K64" s="375" t="s">
        <v>1983</v>
      </c>
      <c r="L64" s="3054"/>
      <c r="M64" s="3017"/>
      <c r="N64" s="2947"/>
      <c r="O64" s="2947"/>
      <c r="P64" s="2947"/>
      <c r="Q64" s="3017"/>
      <c r="R64" s="3017"/>
      <c r="S64" s="3018"/>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072"/>
      <c r="I66" s="3073"/>
      <c r="J66" s="3073"/>
      <c r="K66" s="3073"/>
      <c r="L66" s="3073"/>
      <c r="M66" s="3073"/>
      <c r="N66" s="3074"/>
      <c r="O66" s="372" t="s">
        <v>1988</v>
      </c>
      <c r="P66" s="372"/>
      <c r="Q66" s="3072"/>
      <c r="R66" s="3073"/>
      <c r="S66" s="3074"/>
    </row>
    <row r="67" spans="1:19" s="325" customFormat="1" ht="11.25" customHeight="1">
      <c r="D67" s="373"/>
      <c r="E67" s="330" t="s">
        <v>1021</v>
      </c>
      <c r="F67" s="339"/>
      <c r="H67" s="2899"/>
      <c r="I67" s="3076"/>
      <c r="J67" s="3076"/>
      <c r="K67" s="3077"/>
      <c r="L67" s="3076"/>
      <c r="M67" s="3076"/>
      <c r="N67" s="3078"/>
      <c r="O67" s="372" t="s">
        <v>1747</v>
      </c>
      <c r="P67" s="374"/>
      <c r="Q67" s="2943"/>
      <c r="R67" s="2990"/>
      <c r="S67" s="2991"/>
    </row>
    <row r="68" spans="1:19" s="325" customFormat="1" ht="11.25" customHeight="1">
      <c r="D68" s="373"/>
      <c r="E68" s="330" t="s">
        <v>618</v>
      </c>
      <c r="H68" s="2899"/>
      <c r="I68" s="3077"/>
      <c r="J68" s="2993"/>
      <c r="K68" s="576" t="s">
        <v>2703</v>
      </c>
      <c r="L68" s="2899"/>
      <c r="M68" s="3076"/>
      <c r="N68" s="2993"/>
      <c r="O68" s="372" t="s">
        <v>1721</v>
      </c>
      <c r="P68" s="374"/>
      <c r="Q68" s="3055"/>
      <c r="R68" s="3056"/>
      <c r="S68" s="3057"/>
    </row>
    <row r="69" spans="1:19" s="325" customFormat="1" ht="11.25" customHeight="1">
      <c r="E69" s="330" t="s">
        <v>1799</v>
      </c>
      <c r="H69" s="1599"/>
      <c r="I69" s="374"/>
      <c r="J69" s="374"/>
      <c r="K69" s="1000" t="s">
        <v>2228</v>
      </c>
      <c r="L69" s="2888"/>
      <c r="M69" s="3079"/>
      <c r="N69" s="374"/>
      <c r="O69" s="372" t="s">
        <v>1978</v>
      </c>
      <c r="P69" s="374"/>
      <c r="Q69" s="3055"/>
      <c r="R69" s="3056"/>
      <c r="S69" s="3057"/>
    </row>
    <row r="70" spans="1:19" s="325" customFormat="1" ht="11.25" customHeight="1">
      <c r="D70" s="373"/>
      <c r="E70" s="330" t="s">
        <v>4256</v>
      </c>
      <c r="H70" s="3070"/>
      <c r="I70" s="3075"/>
      <c r="J70" s="357"/>
      <c r="K70" s="375" t="s">
        <v>1983</v>
      </c>
      <c r="L70" s="3054"/>
      <c r="M70" s="3017"/>
      <c r="N70" s="2947"/>
      <c r="O70" s="2947"/>
      <c r="P70" s="2947"/>
      <c r="Q70" s="3017"/>
      <c r="R70" s="3017"/>
      <c r="S70" s="3018"/>
    </row>
    <row r="71" spans="1:19" ht="6.6" customHeight="1">
      <c r="H71" s="384"/>
      <c r="I71" s="384"/>
      <c r="J71" s="384"/>
      <c r="K71" s="375"/>
      <c r="L71" s="384"/>
      <c r="M71" s="384"/>
      <c r="N71" s="382"/>
      <c r="O71" s="383"/>
      <c r="P71" s="383"/>
      <c r="Q71" s="375"/>
      <c r="R71" s="383"/>
      <c r="S71" s="383"/>
    </row>
    <row r="72" spans="1:19" s="325" customFormat="1" ht="11.25" customHeight="1">
      <c r="B72" s="327" t="s">
        <v>2114</v>
      </c>
      <c r="C72" s="327" t="s">
        <v>284</v>
      </c>
      <c r="H72" s="3072"/>
      <c r="I72" s="3073"/>
      <c r="J72" s="3073"/>
      <c r="K72" s="3073"/>
      <c r="L72" s="3073"/>
      <c r="M72" s="3073"/>
      <c r="N72" s="3074"/>
      <c r="O72" s="372" t="s">
        <v>1988</v>
      </c>
      <c r="P72" s="372"/>
      <c r="Q72" s="3072"/>
      <c r="R72" s="3073"/>
      <c r="S72" s="3074"/>
    </row>
    <row r="73" spans="1:19" s="325" customFormat="1" ht="11.25" customHeight="1">
      <c r="D73" s="373"/>
      <c r="E73" s="330" t="s">
        <v>1021</v>
      </c>
      <c r="F73" s="339"/>
      <c r="H73" s="2899"/>
      <c r="I73" s="3076"/>
      <c r="J73" s="3076"/>
      <c r="K73" s="3077"/>
      <c r="L73" s="3076"/>
      <c r="M73" s="3076"/>
      <c r="N73" s="3078"/>
      <c r="O73" s="372" t="s">
        <v>1747</v>
      </c>
      <c r="P73" s="374"/>
      <c r="Q73" s="2943"/>
      <c r="R73" s="2990"/>
      <c r="S73" s="2991"/>
    </row>
    <row r="74" spans="1:19" s="325" customFormat="1" ht="11.25" customHeight="1">
      <c r="D74" s="373"/>
      <c r="E74" s="330" t="s">
        <v>618</v>
      </c>
      <c r="H74" s="2899"/>
      <c r="I74" s="3077"/>
      <c r="J74" s="2993"/>
      <c r="K74" s="576" t="s">
        <v>2703</v>
      </c>
      <c r="L74" s="2899"/>
      <c r="M74" s="3076"/>
      <c r="N74" s="2993"/>
      <c r="O74" s="372" t="s">
        <v>1721</v>
      </c>
      <c r="P74" s="374"/>
      <c r="Q74" s="3055"/>
      <c r="R74" s="3056"/>
      <c r="S74" s="3057"/>
    </row>
    <row r="75" spans="1:19" s="325" customFormat="1" ht="11.25" customHeight="1">
      <c r="E75" s="330" t="s">
        <v>1799</v>
      </c>
      <c r="H75" s="1599"/>
      <c r="I75" s="374"/>
      <c r="J75" s="374"/>
      <c r="K75" s="1000" t="s">
        <v>2228</v>
      </c>
      <c r="L75" s="2888"/>
      <c r="M75" s="3079"/>
      <c r="N75" s="374"/>
      <c r="O75" s="372" t="s">
        <v>1978</v>
      </c>
      <c r="P75" s="374"/>
      <c r="Q75" s="3055"/>
      <c r="R75" s="3056"/>
      <c r="S75" s="3057"/>
    </row>
    <row r="76" spans="1:19" s="325" customFormat="1" ht="11.25" customHeight="1">
      <c r="D76" s="373"/>
      <c r="E76" s="330" t="s">
        <v>4256</v>
      </c>
      <c r="H76" s="3070"/>
      <c r="I76" s="3075"/>
      <c r="J76" s="357"/>
      <c r="K76" s="375" t="s">
        <v>1983</v>
      </c>
      <c r="L76" s="3054"/>
      <c r="M76" s="3017"/>
      <c r="N76" s="2947"/>
      <c r="O76" s="2947"/>
      <c r="P76" s="2947"/>
      <c r="Q76" s="3017"/>
      <c r="R76" s="3017"/>
      <c r="S76" s="3018"/>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9" t="s">
        <v>4255</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1982</v>
      </c>
      <c r="C80" s="327" t="s">
        <v>286</v>
      </c>
      <c r="H80" s="3072"/>
      <c r="I80" s="3073"/>
      <c r="J80" s="3073"/>
      <c r="K80" s="3073"/>
      <c r="L80" s="3073"/>
      <c r="M80" s="3073"/>
      <c r="N80" s="3074"/>
      <c r="O80" s="372" t="s">
        <v>1988</v>
      </c>
      <c r="P80" s="372"/>
      <c r="Q80" s="3072"/>
      <c r="R80" s="3073"/>
      <c r="S80" s="3074"/>
    </row>
    <row r="81" spans="2:19" s="325" customFormat="1" ht="11.25" customHeight="1">
      <c r="D81" s="373"/>
      <c r="E81" s="330" t="s">
        <v>1021</v>
      </c>
      <c r="F81" s="339"/>
      <c r="H81" s="2899"/>
      <c r="I81" s="3076"/>
      <c r="J81" s="3076"/>
      <c r="K81" s="3077"/>
      <c r="L81" s="3076"/>
      <c r="M81" s="3076"/>
      <c r="N81" s="3078"/>
      <c r="O81" s="372" t="s">
        <v>1747</v>
      </c>
      <c r="P81" s="374"/>
      <c r="Q81" s="2943"/>
      <c r="R81" s="2990"/>
      <c r="S81" s="2991"/>
    </row>
    <row r="82" spans="2:19" s="325" customFormat="1" ht="11.25" customHeight="1">
      <c r="D82" s="373"/>
      <c r="E82" s="330" t="s">
        <v>618</v>
      </c>
      <c r="H82" s="2899"/>
      <c r="I82" s="3077"/>
      <c r="J82" s="2993"/>
      <c r="K82" s="576" t="s">
        <v>2703</v>
      </c>
      <c r="L82" s="2899"/>
      <c r="M82" s="3076"/>
      <c r="N82" s="2993"/>
      <c r="O82" s="372" t="s">
        <v>1721</v>
      </c>
      <c r="P82" s="374"/>
      <c r="Q82" s="3055"/>
      <c r="R82" s="3056"/>
      <c r="S82" s="3057"/>
    </row>
    <row r="83" spans="2:19" s="325" customFormat="1" ht="11.25" customHeight="1">
      <c r="E83" s="330" t="s">
        <v>1799</v>
      </c>
      <c r="H83" s="1599"/>
      <c r="I83" s="374"/>
      <c r="J83" s="374"/>
      <c r="K83" s="1000" t="s">
        <v>2228</v>
      </c>
      <c r="L83" s="2888"/>
      <c r="M83" s="3079"/>
      <c r="N83" s="374"/>
      <c r="O83" s="372" t="s">
        <v>1978</v>
      </c>
      <c r="P83" s="374"/>
      <c r="Q83" s="3055"/>
      <c r="R83" s="3056"/>
      <c r="S83" s="3057"/>
    </row>
    <row r="84" spans="2:19" s="325" customFormat="1" ht="11.25" customHeight="1">
      <c r="D84" s="373"/>
      <c r="E84" s="330" t="s">
        <v>4256</v>
      </c>
      <c r="H84" s="3070"/>
      <c r="I84" s="3075"/>
      <c r="J84" s="357"/>
      <c r="K84" s="375" t="s">
        <v>1983</v>
      </c>
      <c r="L84" s="3054"/>
      <c r="M84" s="3017"/>
      <c r="N84" s="2947"/>
      <c r="O84" s="2947"/>
      <c r="P84" s="2947"/>
      <c r="Q84" s="3017"/>
      <c r="R84" s="3017"/>
      <c r="S84" s="3018"/>
    </row>
    <row r="85" spans="2:19" ht="6.6" customHeight="1">
      <c r="H85" s="384"/>
      <c r="I85" s="384"/>
      <c r="J85" s="384"/>
      <c r="K85" s="375"/>
      <c r="L85" s="384"/>
      <c r="M85" s="384"/>
      <c r="N85" s="382"/>
      <c r="O85" s="383"/>
      <c r="P85" s="383"/>
      <c r="Q85" s="375"/>
      <c r="R85" s="383"/>
      <c r="S85" s="383"/>
    </row>
    <row r="86" spans="2:19" s="325" customFormat="1" ht="11.25" customHeight="1">
      <c r="B86" s="327" t="s">
        <v>1984</v>
      </c>
      <c r="C86" s="327" t="s">
        <v>287</v>
      </c>
      <c r="H86" s="3072" t="s">
        <v>5251</v>
      </c>
      <c r="I86" s="3073"/>
      <c r="J86" s="3073"/>
      <c r="K86" s="3073"/>
      <c r="L86" s="3073"/>
      <c r="M86" s="3073"/>
      <c r="N86" s="3074"/>
      <c r="O86" s="372" t="s">
        <v>1988</v>
      </c>
      <c r="P86" s="372"/>
      <c r="Q86" s="3072" t="s">
        <v>5253</v>
      </c>
      <c r="R86" s="3073"/>
      <c r="S86" s="3074"/>
    </row>
    <row r="87" spans="2:19" s="325" customFormat="1" ht="11.25" customHeight="1">
      <c r="D87" s="373"/>
      <c r="E87" s="330" t="s">
        <v>1021</v>
      </c>
      <c r="F87" s="339"/>
      <c r="H87" s="2899" t="s">
        <v>5252</v>
      </c>
      <c r="I87" s="3076"/>
      <c r="J87" s="3076"/>
      <c r="K87" s="3077"/>
      <c r="L87" s="3076"/>
      <c r="M87" s="3076"/>
      <c r="N87" s="3078"/>
      <c r="O87" s="372" t="s">
        <v>1747</v>
      </c>
      <c r="P87" s="374"/>
      <c r="Q87" s="2943" t="s">
        <v>5254</v>
      </c>
      <c r="R87" s="2990"/>
      <c r="S87" s="2991"/>
    </row>
    <row r="88" spans="2:19" s="325" customFormat="1" ht="11.25" customHeight="1">
      <c r="D88" s="373"/>
      <c r="E88" s="330" t="s">
        <v>618</v>
      </c>
      <c r="H88" s="2899" t="s">
        <v>1205</v>
      </c>
      <c r="I88" s="3077"/>
      <c r="J88" s="2993"/>
      <c r="K88" s="576" t="s">
        <v>2703</v>
      </c>
      <c r="L88" s="2899" t="s">
        <v>5250</v>
      </c>
      <c r="M88" s="3076"/>
      <c r="N88" s="2993"/>
      <c r="O88" s="372" t="s">
        <v>1721</v>
      </c>
      <c r="P88" s="374"/>
      <c r="Q88" s="3055">
        <v>4049493882</v>
      </c>
      <c r="R88" s="3056"/>
      <c r="S88" s="3057"/>
    </row>
    <row r="89" spans="2:19" s="325" customFormat="1" ht="11.25" customHeight="1">
      <c r="E89" s="330" t="s">
        <v>1799</v>
      </c>
      <c r="H89" s="1599" t="s">
        <v>848</v>
      </c>
      <c r="I89" s="374"/>
      <c r="J89" s="374"/>
      <c r="K89" s="1000" t="s">
        <v>2228</v>
      </c>
      <c r="L89" s="2888">
        <v>303272800</v>
      </c>
      <c r="M89" s="3079"/>
      <c r="N89" s="374"/>
      <c r="O89" s="372" t="s">
        <v>1978</v>
      </c>
      <c r="P89" s="374"/>
      <c r="Q89" s="3055">
        <v>4043761063</v>
      </c>
      <c r="R89" s="3056"/>
      <c r="S89" s="3057"/>
    </row>
    <row r="90" spans="2:19" s="325" customFormat="1" ht="11.25" customHeight="1">
      <c r="D90" s="373"/>
      <c r="E90" s="330" t="s">
        <v>4256</v>
      </c>
      <c r="H90" s="3070">
        <v>4049493882</v>
      </c>
      <c r="I90" s="3075"/>
      <c r="J90" s="357"/>
      <c r="K90" s="375" t="s">
        <v>1983</v>
      </c>
      <c r="L90" s="3054" t="s">
        <v>5255</v>
      </c>
      <c r="M90" s="3017"/>
      <c r="N90" s="2947"/>
      <c r="O90" s="2947"/>
      <c r="P90" s="2947"/>
      <c r="Q90" s="3017"/>
      <c r="R90" s="3017"/>
      <c r="S90" s="3018"/>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072" t="s">
        <v>5340</v>
      </c>
      <c r="I92" s="3073"/>
      <c r="J92" s="3073"/>
      <c r="K92" s="3073"/>
      <c r="L92" s="3073"/>
      <c r="M92" s="3073"/>
      <c r="N92" s="3074"/>
      <c r="O92" s="372" t="s">
        <v>1988</v>
      </c>
      <c r="P92" s="372"/>
      <c r="Q92" s="3072" t="s">
        <v>5336</v>
      </c>
      <c r="R92" s="3073"/>
      <c r="S92" s="3074"/>
    </row>
    <row r="93" spans="2:19" s="325" customFormat="1" ht="11.25" customHeight="1">
      <c r="D93" s="373"/>
      <c r="E93" s="330" t="s">
        <v>1021</v>
      </c>
      <c r="F93" s="339"/>
      <c r="H93" s="2899" t="s">
        <v>5337</v>
      </c>
      <c r="I93" s="3076"/>
      <c r="J93" s="3076"/>
      <c r="K93" s="3077"/>
      <c r="L93" s="3076"/>
      <c r="M93" s="3076"/>
      <c r="N93" s="3078"/>
      <c r="O93" s="372" t="s">
        <v>1747</v>
      </c>
      <c r="P93" s="374"/>
      <c r="Q93" s="2943" t="s">
        <v>5245</v>
      </c>
      <c r="R93" s="2990"/>
      <c r="S93" s="2991"/>
    </row>
    <row r="94" spans="2:19" s="325" customFormat="1" ht="11.25" customHeight="1">
      <c r="D94" s="373"/>
      <c r="E94" s="330" t="s">
        <v>618</v>
      </c>
      <c r="H94" s="2899" t="s">
        <v>2247</v>
      </c>
      <c r="I94" s="3077"/>
      <c r="J94" s="2993"/>
      <c r="K94" s="576" t="s">
        <v>2703</v>
      </c>
      <c r="L94" s="2899" t="s">
        <v>5338</v>
      </c>
      <c r="M94" s="3076"/>
      <c r="N94" s="2993"/>
      <c r="O94" s="372" t="s">
        <v>1721</v>
      </c>
      <c r="P94" s="374"/>
      <c r="Q94" s="3055">
        <v>6154906721</v>
      </c>
      <c r="R94" s="3056"/>
      <c r="S94" s="3057"/>
    </row>
    <row r="95" spans="2:19" s="325" customFormat="1" ht="11.25" customHeight="1">
      <c r="D95" s="373"/>
      <c r="E95" s="330" t="s">
        <v>1799</v>
      </c>
      <c r="H95" s="1599" t="s">
        <v>1358</v>
      </c>
      <c r="I95" s="374"/>
      <c r="J95" s="374"/>
      <c r="K95" s="1000" t="s">
        <v>2228</v>
      </c>
      <c r="L95" s="2888">
        <v>372033100</v>
      </c>
      <c r="M95" s="3079"/>
      <c r="N95" s="374"/>
      <c r="O95" s="372" t="s">
        <v>1978</v>
      </c>
      <c r="P95" s="374"/>
      <c r="Q95" s="3055">
        <v>6159696667</v>
      </c>
      <c r="R95" s="3056"/>
      <c r="S95" s="3057"/>
    </row>
    <row r="96" spans="2:19" s="325" customFormat="1" ht="11.25" customHeight="1">
      <c r="D96" s="373"/>
      <c r="E96" s="330" t="s">
        <v>4256</v>
      </c>
      <c r="H96" s="3070">
        <v>6154906700</v>
      </c>
      <c r="I96" s="3075"/>
      <c r="J96" s="357"/>
      <c r="K96" s="375" t="s">
        <v>1983</v>
      </c>
      <c r="L96" s="3054" t="s">
        <v>5339</v>
      </c>
      <c r="M96" s="3017"/>
      <c r="N96" s="2947"/>
      <c r="O96" s="2947"/>
      <c r="P96" s="2947"/>
      <c r="Q96" s="3017"/>
      <c r="R96" s="3017"/>
      <c r="S96" s="3018"/>
    </row>
    <row r="97" spans="2:19" ht="6.6" customHeight="1">
      <c r="H97" s="384"/>
      <c r="I97" s="384"/>
      <c r="J97" s="384"/>
      <c r="K97" s="375"/>
      <c r="L97" s="384"/>
      <c r="M97" s="384"/>
      <c r="N97" s="382"/>
      <c r="O97" s="383"/>
      <c r="P97" s="383"/>
      <c r="Q97" s="375"/>
      <c r="R97" s="383"/>
      <c r="S97" s="383"/>
    </row>
    <row r="98" spans="2:19" s="325" customFormat="1" ht="11.25" customHeight="1">
      <c r="B98" s="327" t="s">
        <v>2114</v>
      </c>
      <c r="C98" s="327" t="s">
        <v>289</v>
      </c>
      <c r="H98" s="3072" t="s">
        <v>5256</v>
      </c>
      <c r="I98" s="3073"/>
      <c r="J98" s="3073"/>
      <c r="K98" s="3073"/>
      <c r="L98" s="3073"/>
      <c r="M98" s="3073"/>
      <c r="N98" s="3074"/>
      <c r="O98" s="372" t="s">
        <v>1988</v>
      </c>
      <c r="P98" s="372"/>
      <c r="Q98" s="3072" t="s">
        <v>5260</v>
      </c>
      <c r="R98" s="3073"/>
      <c r="S98" s="3074"/>
    </row>
    <row r="99" spans="2:19" s="325" customFormat="1" ht="11.25" customHeight="1">
      <c r="D99" s="373"/>
      <c r="E99" s="330" t="s">
        <v>1021</v>
      </c>
      <c r="F99" s="339"/>
      <c r="H99" s="2899" t="s">
        <v>5257</v>
      </c>
      <c r="I99" s="3076"/>
      <c r="J99" s="3076"/>
      <c r="K99" s="3077"/>
      <c r="L99" s="3076"/>
      <c r="M99" s="3076"/>
      <c r="N99" s="3078"/>
      <c r="O99" s="372" t="s">
        <v>1747</v>
      </c>
      <c r="P99" s="374"/>
      <c r="Q99" s="2943" t="s">
        <v>5261</v>
      </c>
      <c r="R99" s="2990"/>
      <c r="S99" s="2991"/>
    </row>
    <row r="100" spans="2:19" s="325" customFormat="1" ht="11.25" customHeight="1">
      <c r="D100" s="373"/>
      <c r="E100" s="330" t="s">
        <v>618</v>
      </c>
      <c r="H100" s="2899" t="s">
        <v>1205</v>
      </c>
      <c r="I100" s="3077"/>
      <c r="J100" s="2993"/>
      <c r="K100" s="576" t="s">
        <v>2703</v>
      </c>
      <c r="L100" s="2899" t="s">
        <v>5258</v>
      </c>
      <c r="M100" s="3076"/>
      <c r="N100" s="2993"/>
      <c r="O100" s="372" t="s">
        <v>1721</v>
      </c>
      <c r="P100" s="374"/>
      <c r="Q100" s="3055">
        <v>4048737014</v>
      </c>
      <c r="R100" s="3056"/>
      <c r="S100" s="3057"/>
    </row>
    <row r="101" spans="2:19" s="325" customFormat="1" ht="11.25" customHeight="1">
      <c r="D101" s="373"/>
      <c r="E101" s="330" t="s">
        <v>1799</v>
      </c>
      <c r="H101" s="1599" t="s">
        <v>848</v>
      </c>
      <c r="I101" s="374"/>
      <c r="J101" s="374"/>
      <c r="K101" s="1000" t="s">
        <v>2228</v>
      </c>
      <c r="L101" s="2888">
        <v>303631031</v>
      </c>
      <c r="M101" s="3079"/>
      <c r="N101" s="374"/>
      <c r="O101" s="372" t="s">
        <v>1978</v>
      </c>
      <c r="P101" s="374"/>
      <c r="Q101" s="3055">
        <v>4042340004</v>
      </c>
      <c r="R101" s="3056"/>
      <c r="S101" s="3057"/>
    </row>
    <row r="102" spans="2:19" ht="11.25" customHeight="1">
      <c r="E102" s="330" t="s">
        <v>4256</v>
      </c>
      <c r="F102" s="325"/>
      <c r="G102" s="325"/>
      <c r="H102" s="3070">
        <v>4048737014</v>
      </c>
      <c r="I102" s="3075"/>
      <c r="J102" s="357"/>
      <c r="K102" s="375" t="s">
        <v>1983</v>
      </c>
      <c r="L102" s="3054" t="s">
        <v>5259</v>
      </c>
      <c r="M102" s="3017"/>
      <c r="N102" s="2947"/>
      <c r="O102" s="2947"/>
      <c r="P102" s="2947"/>
      <c r="Q102" s="3017"/>
      <c r="R102" s="3017"/>
      <c r="S102" s="3018"/>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072" t="s">
        <v>5262</v>
      </c>
      <c r="I104" s="3073"/>
      <c r="J104" s="3073"/>
      <c r="K104" s="3073"/>
      <c r="L104" s="3073"/>
      <c r="M104" s="3073"/>
      <c r="N104" s="3074"/>
      <c r="O104" s="372" t="s">
        <v>1988</v>
      </c>
      <c r="P104" s="372"/>
      <c r="Q104" s="3072" t="s">
        <v>5266</v>
      </c>
      <c r="R104" s="3073"/>
      <c r="S104" s="3074"/>
    </row>
    <row r="105" spans="2:19" s="325" customFormat="1" ht="11.25" customHeight="1">
      <c r="D105" s="373"/>
      <c r="E105" s="330" t="s">
        <v>1021</v>
      </c>
      <c r="F105" s="339"/>
      <c r="H105" s="2899" t="s">
        <v>5263</v>
      </c>
      <c r="I105" s="3076"/>
      <c r="J105" s="3076"/>
      <c r="K105" s="3077"/>
      <c r="L105" s="3076"/>
      <c r="M105" s="3076"/>
      <c r="N105" s="3078"/>
      <c r="O105" s="372" t="s">
        <v>1747</v>
      </c>
      <c r="P105" s="374"/>
      <c r="Q105" s="2943" t="s">
        <v>5261</v>
      </c>
      <c r="R105" s="2990"/>
      <c r="S105" s="2991"/>
    </row>
    <row r="106" spans="2:19" s="325" customFormat="1" ht="11.25" customHeight="1">
      <c r="D106" s="373"/>
      <c r="E106" s="330" t="s">
        <v>618</v>
      </c>
      <c r="H106" s="2899" t="s">
        <v>1205</v>
      </c>
      <c r="I106" s="3077"/>
      <c r="J106" s="2993"/>
      <c r="K106" s="576" t="s">
        <v>2703</v>
      </c>
      <c r="L106" s="2899" t="s">
        <v>5264</v>
      </c>
      <c r="M106" s="3076"/>
      <c r="N106" s="2993"/>
      <c r="O106" s="372" t="s">
        <v>1721</v>
      </c>
      <c r="P106" s="374"/>
      <c r="Q106" s="3055">
        <v>4048479447</v>
      </c>
      <c r="R106" s="3056"/>
      <c r="S106" s="3057"/>
    </row>
    <row r="107" spans="2:19" s="325" customFormat="1" ht="11.25" customHeight="1">
      <c r="D107" s="373"/>
      <c r="E107" s="330" t="s">
        <v>1799</v>
      </c>
      <c r="H107" s="1599" t="s">
        <v>848</v>
      </c>
      <c r="I107" s="374"/>
      <c r="J107" s="374"/>
      <c r="K107" s="1000" t="s">
        <v>2228</v>
      </c>
      <c r="L107" s="2888">
        <v>303264726</v>
      </c>
      <c r="M107" s="3079"/>
      <c r="N107" s="374"/>
      <c r="O107" s="372" t="s">
        <v>1978</v>
      </c>
      <c r="P107" s="374"/>
      <c r="Q107" s="3055">
        <v>6785760400</v>
      </c>
      <c r="R107" s="3056"/>
      <c r="S107" s="3057"/>
    </row>
    <row r="108" spans="2:19" ht="11.25" customHeight="1">
      <c r="E108" s="330" t="s">
        <v>4256</v>
      </c>
      <c r="F108" s="325"/>
      <c r="G108" s="325"/>
      <c r="H108" s="3070">
        <v>4048479447</v>
      </c>
      <c r="I108" s="3075"/>
      <c r="J108" s="357"/>
      <c r="K108" s="375" t="s">
        <v>1983</v>
      </c>
      <c r="L108" s="3054" t="s">
        <v>5265</v>
      </c>
      <c r="M108" s="3017"/>
      <c r="N108" s="2947"/>
      <c r="O108" s="2947"/>
      <c r="P108" s="2947"/>
      <c r="Q108" s="3017"/>
      <c r="R108" s="3017"/>
      <c r="S108" s="3018"/>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072" t="s">
        <v>5267</v>
      </c>
      <c r="I110" s="3073"/>
      <c r="J110" s="3073"/>
      <c r="K110" s="3073"/>
      <c r="L110" s="3073"/>
      <c r="M110" s="3073"/>
      <c r="N110" s="3074"/>
      <c r="O110" s="372" t="s">
        <v>1988</v>
      </c>
      <c r="P110" s="372"/>
      <c r="Q110" s="3072" t="s">
        <v>5271</v>
      </c>
      <c r="R110" s="3073"/>
      <c r="S110" s="3074"/>
    </row>
    <row r="111" spans="2:19" s="325" customFormat="1" ht="11.25" customHeight="1">
      <c r="D111" s="373"/>
      <c r="E111" s="330" t="s">
        <v>1021</v>
      </c>
      <c r="F111" s="339"/>
      <c r="H111" s="2899" t="s">
        <v>5268</v>
      </c>
      <c r="I111" s="3076"/>
      <c r="J111" s="3076"/>
      <c r="K111" s="3077"/>
      <c r="L111" s="3076"/>
      <c r="M111" s="3076"/>
      <c r="N111" s="3078"/>
      <c r="O111" s="372" t="s">
        <v>1747</v>
      </c>
      <c r="P111" s="374"/>
      <c r="Q111" s="2943" t="s">
        <v>5261</v>
      </c>
      <c r="R111" s="2990"/>
      <c r="S111" s="2991"/>
    </row>
    <row r="112" spans="2:19" s="325" customFormat="1" ht="11.25" customHeight="1">
      <c r="D112" s="373"/>
      <c r="E112" s="330" t="s">
        <v>618</v>
      </c>
      <c r="H112" s="2899" t="s">
        <v>1205</v>
      </c>
      <c r="I112" s="3077"/>
      <c r="J112" s="2993"/>
      <c r="K112" s="576" t="s">
        <v>2703</v>
      </c>
      <c r="L112" s="2899" t="s">
        <v>5269</v>
      </c>
      <c r="M112" s="3076"/>
      <c r="N112" s="2993"/>
      <c r="O112" s="372" t="s">
        <v>1721</v>
      </c>
      <c r="P112" s="374"/>
      <c r="Q112" s="3055">
        <v>4042281958</v>
      </c>
      <c r="R112" s="3056"/>
      <c r="S112" s="3057"/>
    </row>
    <row r="113" spans="1:22" s="325" customFormat="1" ht="11.25" customHeight="1">
      <c r="D113" s="390"/>
      <c r="E113" s="330" t="s">
        <v>1799</v>
      </c>
      <c r="H113" s="1599" t="s">
        <v>848</v>
      </c>
      <c r="I113" s="374"/>
      <c r="J113" s="374"/>
      <c r="K113" s="1000" t="s">
        <v>2228</v>
      </c>
      <c r="L113" s="2888">
        <v>303185419</v>
      </c>
      <c r="M113" s="3079"/>
      <c r="N113" s="374"/>
      <c r="O113" s="372" t="s">
        <v>1978</v>
      </c>
      <c r="P113" s="374"/>
      <c r="Q113" s="3055">
        <v>4047979944</v>
      </c>
      <c r="R113" s="3056"/>
      <c r="S113" s="3057"/>
    </row>
    <row r="114" spans="1:22" s="325" customFormat="1" ht="11.25" customHeight="1">
      <c r="D114" s="390"/>
      <c r="E114" s="330" t="s">
        <v>4256</v>
      </c>
      <c r="H114" s="3070">
        <v>4042281958</v>
      </c>
      <c r="I114" s="3075"/>
      <c r="J114" s="357"/>
      <c r="K114" s="375" t="s">
        <v>1983</v>
      </c>
      <c r="L114" s="3054" t="s">
        <v>5270</v>
      </c>
      <c r="M114" s="3017"/>
      <c r="N114" s="2947"/>
      <c r="O114" s="2947"/>
      <c r="P114" s="2947"/>
      <c r="Q114" s="3017"/>
      <c r="R114" s="3017"/>
      <c r="S114" s="3018"/>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2602</v>
      </c>
      <c r="F116" s="327"/>
      <c r="G116" s="1243"/>
      <c r="H116" s="375"/>
      <c r="I116" s="375"/>
      <c r="J116" s="375"/>
      <c r="K116" s="375"/>
      <c r="L116" s="375"/>
      <c r="M116" s="375"/>
      <c r="N116" s="375"/>
      <c r="O116" s="375"/>
      <c r="P116" s="375"/>
      <c r="Q116" s="576"/>
      <c r="R116" s="374"/>
      <c r="S116" s="374"/>
    </row>
    <row r="117" spans="1:22" s="325" customFormat="1" ht="11.25" customHeight="1">
      <c r="B117" s="327" t="s">
        <v>1982</v>
      </c>
      <c r="C117" s="327" t="s">
        <v>3577</v>
      </c>
      <c r="H117" s="3072"/>
      <c r="I117" s="3095"/>
      <c r="J117" s="3096"/>
      <c r="K117" s="375" t="s">
        <v>2473</v>
      </c>
      <c r="L117" s="3072"/>
      <c r="M117" s="3073"/>
      <c r="N117" s="3074"/>
      <c r="O117" s="389" t="s">
        <v>3578</v>
      </c>
      <c r="P117" s="374"/>
      <c r="Q117" s="3097"/>
      <c r="R117" s="3098"/>
      <c r="S117" s="3099"/>
    </row>
    <row r="118" spans="1:22" s="325" customFormat="1" ht="11.25" customHeight="1">
      <c r="D118" s="373"/>
      <c r="E118" s="330" t="s">
        <v>1021</v>
      </c>
      <c r="F118" s="339"/>
      <c r="H118" s="3009"/>
      <c r="I118" s="3100"/>
      <c r="J118" s="3101"/>
      <c r="K118" s="3010"/>
      <c r="L118" s="3100"/>
      <c r="M118" s="3100"/>
      <c r="N118" s="3102"/>
      <c r="O118" s="389" t="s">
        <v>618</v>
      </c>
      <c r="P118" s="374"/>
      <c r="Q118" s="3103"/>
      <c r="R118" s="3013"/>
      <c r="S118" s="3014"/>
    </row>
    <row r="119" spans="1:22" s="325" customFormat="1" ht="11.25" customHeight="1">
      <c r="D119" s="373"/>
      <c r="E119" s="330" t="s">
        <v>1799</v>
      </c>
      <c r="H119" s="2673"/>
      <c r="I119" s="1000" t="s">
        <v>2228</v>
      </c>
      <c r="J119" s="2992"/>
      <c r="K119" s="2993"/>
      <c r="L119" s="375" t="s">
        <v>1983</v>
      </c>
      <c r="M119" s="2946"/>
      <c r="N119" s="2947"/>
      <c r="O119" s="2947"/>
      <c r="P119" s="2947"/>
      <c r="Q119" s="3017"/>
      <c r="R119" s="3017"/>
      <c r="S119" s="3018"/>
    </row>
    <row r="120" spans="1:22" ht="12" customHeight="1">
      <c r="B120" s="327" t="s">
        <v>1984</v>
      </c>
      <c r="C120" s="327" t="s">
        <v>5010</v>
      </c>
      <c r="H120" s="704"/>
      <c r="I120" s="704"/>
      <c r="J120" s="704"/>
      <c r="K120" s="704"/>
      <c r="L120" s="704"/>
      <c r="M120" s="704"/>
      <c r="N120" s="704"/>
      <c r="O120" s="704"/>
      <c r="P120" s="704"/>
      <c r="Q120" s="704"/>
      <c r="R120" s="704"/>
      <c r="S120" s="704"/>
    </row>
    <row r="121" spans="1:22" ht="11.25" customHeight="1" thickBot="1">
      <c r="A121" s="3086" t="s">
        <v>3880</v>
      </c>
      <c r="B121" s="3086"/>
      <c r="C121" s="3086"/>
      <c r="D121" s="3086"/>
      <c r="E121" s="3087"/>
      <c r="F121" s="2681" t="s">
        <v>2509</v>
      </c>
      <c r="G121" s="3088" t="s">
        <v>3477</v>
      </c>
      <c r="H121" s="3089"/>
      <c r="I121" s="3089"/>
      <c r="J121" s="3089"/>
      <c r="K121" s="3089"/>
      <c r="L121" s="3089"/>
      <c r="M121" s="3089"/>
      <c r="N121" s="3089"/>
      <c r="O121" s="3089"/>
      <c r="P121" s="3089"/>
      <c r="Q121" s="3089"/>
      <c r="R121" s="3089"/>
      <c r="S121" s="3090"/>
    </row>
    <row r="122" spans="1:22" s="325" customFormat="1" ht="25.5" customHeight="1" thickBot="1">
      <c r="B122" s="568"/>
      <c r="C122" s="1332" t="s">
        <v>1985</v>
      </c>
      <c r="D122" s="3091" t="s">
        <v>2836</v>
      </c>
      <c r="E122" s="3091"/>
      <c r="F122" s="2568" t="s">
        <v>2989</v>
      </c>
      <c r="G122" s="3092" t="s">
        <v>5272</v>
      </c>
      <c r="H122" s="3093"/>
      <c r="I122" s="3093"/>
      <c r="J122" s="3093"/>
      <c r="K122" s="3093"/>
      <c r="L122" s="3093"/>
      <c r="M122" s="3093"/>
      <c r="N122" s="3093"/>
      <c r="O122" s="3093"/>
      <c r="P122" s="3093"/>
      <c r="Q122" s="3093"/>
      <c r="R122" s="3093"/>
      <c r="S122" s="3094"/>
      <c r="U122" s="3065" t="s">
        <v>2030</v>
      </c>
      <c r="V122" s="3065"/>
    </row>
    <row r="123" spans="1:22" s="325" customFormat="1" ht="25.5" customHeight="1" thickBot="1">
      <c r="B123" s="568"/>
      <c r="C123" s="700" t="s">
        <v>1987</v>
      </c>
      <c r="D123" s="2969" t="s">
        <v>2901</v>
      </c>
      <c r="E123" s="3046"/>
      <c r="F123" s="2568" t="s">
        <v>2989</v>
      </c>
      <c r="G123" s="3063" t="s">
        <v>5273</v>
      </c>
      <c r="H123" s="3063"/>
      <c r="I123" s="3063"/>
      <c r="J123" s="3063"/>
      <c r="K123" s="3063"/>
      <c r="L123" s="3063"/>
      <c r="M123" s="3063"/>
      <c r="N123" s="3063"/>
      <c r="O123" s="3063"/>
      <c r="P123" s="3063"/>
      <c r="Q123" s="3063"/>
      <c r="R123" s="3063"/>
      <c r="S123" s="3064"/>
      <c r="U123" s="3065"/>
      <c r="V123" s="3065"/>
    </row>
    <row r="124" spans="1:22" s="325" customFormat="1" ht="25.5" customHeight="1" thickBot="1">
      <c r="B124" s="568"/>
      <c r="C124" s="700" t="s">
        <v>2533</v>
      </c>
      <c r="D124" s="2969" t="s">
        <v>2877</v>
      </c>
      <c r="E124" s="3046"/>
      <c r="F124" s="2568" t="s">
        <v>2989</v>
      </c>
      <c r="G124" s="3063" t="s">
        <v>5274</v>
      </c>
      <c r="H124" s="3063"/>
      <c r="I124" s="3063"/>
      <c r="J124" s="3063"/>
      <c r="K124" s="3063"/>
      <c r="L124" s="3063"/>
      <c r="M124" s="3063"/>
      <c r="N124" s="3063"/>
      <c r="O124" s="3063"/>
      <c r="P124" s="3063"/>
      <c r="Q124" s="3063"/>
      <c r="R124" s="3063"/>
      <c r="S124" s="3064"/>
      <c r="U124" s="3065"/>
      <c r="V124" s="3065"/>
    </row>
    <row r="125" spans="1:22" s="325" customFormat="1" ht="25.5" customHeight="1" thickBot="1">
      <c r="B125" s="568"/>
      <c r="C125" s="700" t="s">
        <v>1224</v>
      </c>
      <c r="D125" s="2969" t="s">
        <v>2837</v>
      </c>
      <c r="E125" s="3046"/>
      <c r="F125" s="2568" t="s">
        <v>2992</v>
      </c>
      <c r="G125" s="3063"/>
      <c r="H125" s="3063"/>
      <c r="I125" s="3063"/>
      <c r="J125" s="3063"/>
      <c r="K125" s="3063"/>
      <c r="L125" s="3063"/>
      <c r="M125" s="3063"/>
      <c r="N125" s="3063"/>
      <c r="O125" s="3063"/>
      <c r="P125" s="3063"/>
      <c r="Q125" s="3063"/>
      <c r="R125" s="3063"/>
      <c r="S125" s="3064"/>
      <c r="U125" s="3065"/>
      <c r="V125" s="3065"/>
    </row>
    <row r="126" spans="1:22" s="325" customFormat="1" ht="25.5" customHeight="1" thickBot="1">
      <c r="B126" s="568"/>
      <c r="C126" s="700" t="s">
        <v>1225</v>
      </c>
      <c r="D126" s="2969" t="s">
        <v>3465</v>
      </c>
      <c r="E126" s="3046"/>
      <c r="F126" s="2568" t="s">
        <v>2992</v>
      </c>
      <c r="G126" s="3063"/>
      <c r="H126" s="3063"/>
      <c r="I126" s="3063"/>
      <c r="J126" s="3063"/>
      <c r="K126" s="3063"/>
      <c r="L126" s="3063"/>
      <c r="M126" s="3063"/>
      <c r="N126" s="3063"/>
      <c r="O126" s="3063"/>
      <c r="P126" s="3063"/>
      <c r="Q126" s="3063"/>
      <c r="R126" s="3063"/>
      <c r="S126" s="3064"/>
      <c r="U126" s="3065"/>
      <c r="V126" s="3065"/>
    </row>
    <row r="127" spans="1:22" s="325" customFormat="1" ht="25.5" customHeight="1" thickBot="1">
      <c r="B127" s="568"/>
      <c r="C127" s="700" t="s">
        <v>1880</v>
      </c>
      <c r="D127" s="2969" t="s">
        <v>3466</v>
      </c>
      <c r="E127" s="3046"/>
      <c r="F127" s="2568" t="s">
        <v>2992</v>
      </c>
      <c r="G127" s="3063"/>
      <c r="H127" s="3063"/>
      <c r="I127" s="3063"/>
      <c r="J127" s="3063"/>
      <c r="K127" s="3063"/>
      <c r="L127" s="3063"/>
      <c r="M127" s="3063"/>
      <c r="N127" s="3063"/>
      <c r="O127" s="3063"/>
      <c r="P127" s="3063"/>
      <c r="Q127" s="3063"/>
      <c r="R127" s="3063"/>
      <c r="S127" s="3064"/>
      <c r="U127" s="3065"/>
      <c r="V127" s="3065"/>
    </row>
    <row r="128" spans="1:22" s="325" customFormat="1" ht="25.5" customHeight="1" thickBot="1">
      <c r="B128" s="568"/>
      <c r="C128" s="700" t="s">
        <v>503</v>
      </c>
      <c r="D128" s="2969" t="s">
        <v>2838</v>
      </c>
      <c r="E128" s="3046"/>
      <c r="F128" s="2568" t="s">
        <v>2992</v>
      </c>
      <c r="G128" s="3063"/>
      <c r="H128" s="3063"/>
      <c r="I128" s="3063"/>
      <c r="J128" s="3063"/>
      <c r="K128" s="3063"/>
      <c r="L128" s="3063"/>
      <c r="M128" s="3063"/>
      <c r="N128" s="3063"/>
      <c r="O128" s="3063"/>
      <c r="P128" s="3063"/>
      <c r="Q128" s="3063"/>
      <c r="R128" s="3063"/>
      <c r="S128" s="3064"/>
    </row>
    <row r="129" spans="1:22" s="325" customFormat="1" ht="25.5" customHeight="1" thickBot="1">
      <c r="B129" s="568"/>
      <c r="C129" s="700" t="s">
        <v>504</v>
      </c>
      <c r="D129" s="2969" t="s">
        <v>5031</v>
      </c>
      <c r="E129" s="3046"/>
      <c r="F129" s="2568" t="s">
        <v>2992</v>
      </c>
      <c r="G129" s="3063"/>
      <c r="H129" s="3063"/>
      <c r="I129" s="3063"/>
      <c r="J129" s="3063"/>
      <c r="K129" s="3063"/>
      <c r="L129" s="3063"/>
      <c r="M129" s="3063"/>
      <c r="N129" s="3063"/>
      <c r="O129" s="3063"/>
      <c r="P129" s="3063"/>
      <c r="Q129" s="3063"/>
      <c r="R129" s="3063"/>
      <c r="S129" s="3064"/>
    </row>
    <row r="130" spans="1:22" s="325" customFormat="1" ht="25.5" customHeight="1" thickBot="1">
      <c r="B130" s="568"/>
      <c r="C130" s="700" t="s">
        <v>5030</v>
      </c>
      <c r="D130" s="3114" t="s">
        <v>3879</v>
      </c>
      <c r="E130" s="3115"/>
      <c r="F130" s="2568" t="s">
        <v>4940</v>
      </c>
      <c r="G130" s="3116"/>
      <c r="H130" s="3116"/>
      <c r="I130" s="3116"/>
      <c r="J130" s="3116"/>
      <c r="K130" s="3116"/>
      <c r="L130" s="3116"/>
      <c r="M130" s="3116"/>
      <c r="N130" s="3116"/>
      <c r="O130" s="3116"/>
      <c r="P130" s="3116"/>
      <c r="Q130" s="3116"/>
      <c r="R130" s="3116"/>
      <c r="S130" s="3117"/>
    </row>
    <row r="131" spans="1:22" s="325" customFormat="1" ht="13.35" customHeight="1">
      <c r="A131" s="327" t="s">
        <v>1794</v>
      </c>
      <c r="B131" s="327" t="s">
        <v>2846</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5011</v>
      </c>
    </row>
    <row r="134" spans="1:22" s="325" customFormat="1" ht="13.5" customHeight="1">
      <c r="A134" s="3118" t="s">
        <v>640</v>
      </c>
      <c r="B134" s="3091"/>
      <c r="C134" s="3091"/>
      <c r="D134" s="3091"/>
      <c r="E134" s="3122" t="s">
        <v>3447</v>
      </c>
      <c r="F134" s="3123"/>
      <c r="G134" s="3123"/>
      <c r="H134" s="3123"/>
      <c r="I134" s="3124"/>
      <c r="J134" s="3128" t="s">
        <v>3448</v>
      </c>
      <c r="K134" s="3131" t="s">
        <v>2907</v>
      </c>
      <c r="L134" s="3131" t="s">
        <v>2908</v>
      </c>
      <c r="M134" s="3134" t="s">
        <v>3457</v>
      </c>
      <c r="N134" s="3135"/>
      <c r="O134" s="3135"/>
      <c r="P134" s="3135"/>
      <c r="Q134" s="3135"/>
      <c r="R134" s="3135"/>
      <c r="S134" s="3136"/>
    </row>
    <row r="135" spans="1:22" s="325" customFormat="1" ht="13.5" customHeight="1">
      <c r="A135" s="3119"/>
      <c r="B135" s="3046"/>
      <c r="C135" s="3046"/>
      <c r="D135" s="3046"/>
      <c r="E135" s="3125"/>
      <c r="F135" s="3126"/>
      <c r="G135" s="3126"/>
      <c r="H135" s="3126"/>
      <c r="I135" s="3127"/>
      <c r="J135" s="3129"/>
      <c r="K135" s="3132"/>
      <c r="L135" s="3132"/>
      <c r="M135" s="3137"/>
      <c r="N135" s="3138"/>
      <c r="O135" s="3138"/>
      <c r="P135" s="3138"/>
      <c r="Q135" s="3138"/>
      <c r="R135" s="3138"/>
      <c r="S135" s="3139"/>
    </row>
    <row r="136" spans="1:22" s="325" customFormat="1" ht="13.5" customHeight="1">
      <c r="A136" s="3119"/>
      <c r="B136" s="3046"/>
      <c r="C136" s="3046"/>
      <c r="D136" s="3046"/>
      <c r="E136" s="3125"/>
      <c r="F136" s="3126"/>
      <c r="G136" s="3126"/>
      <c r="H136" s="3126"/>
      <c r="I136" s="3127"/>
      <c r="J136" s="3129"/>
      <c r="K136" s="3132"/>
      <c r="L136" s="3132"/>
      <c r="M136" s="3137"/>
      <c r="N136" s="3138"/>
      <c r="O136" s="3138"/>
      <c r="P136" s="3138"/>
      <c r="Q136" s="3138"/>
      <c r="R136" s="3138"/>
      <c r="S136" s="3139"/>
    </row>
    <row r="137" spans="1:22" s="325" customFormat="1" ht="23.25" customHeight="1">
      <c r="A137" s="3119"/>
      <c r="B137" s="3046"/>
      <c r="C137" s="3046"/>
      <c r="D137" s="3046"/>
      <c r="E137" s="3140" t="s">
        <v>3718</v>
      </c>
      <c r="F137" s="3141"/>
      <c r="G137" s="3141"/>
      <c r="H137" s="3142"/>
      <c r="I137" s="705"/>
      <c r="J137" s="3129"/>
      <c r="K137" s="3132"/>
      <c r="L137" s="3132"/>
      <c r="M137" s="3137"/>
      <c r="N137" s="3138"/>
      <c r="O137" s="3138"/>
      <c r="P137" s="3138"/>
      <c r="Q137" s="3138"/>
      <c r="R137" s="3138"/>
      <c r="S137" s="3139"/>
    </row>
    <row r="138" spans="1:22" s="325" customFormat="1" ht="13.5" customHeight="1">
      <c r="A138" s="3120"/>
      <c r="B138" s="3121"/>
      <c r="C138" s="3121"/>
      <c r="D138" s="3121"/>
      <c r="E138" s="3143"/>
      <c r="F138" s="3144"/>
      <c r="G138" s="3144"/>
      <c r="H138" s="3145"/>
      <c r="I138" s="2569" t="s">
        <v>2509</v>
      </c>
      <c r="J138" s="3130"/>
      <c r="K138" s="3133"/>
      <c r="L138" s="3132"/>
      <c r="M138" s="2570" t="s">
        <v>2509</v>
      </c>
      <c r="N138" s="2919" t="s">
        <v>2906</v>
      </c>
      <c r="O138" s="2919"/>
      <c r="P138" s="2919"/>
      <c r="Q138" s="2919"/>
      <c r="R138" s="2919"/>
      <c r="S138" s="3146"/>
    </row>
    <row r="139" spans="1:22" s="325" customFormat="1" ht="24" customHeight="1">
      <c r="A139" s="3104" t="s">
        <v>3442</v>
      </c>
      <c r="B139" s="3105"/>
      <c r="C139" s="3105"/>
      <c r="D139" s="3106"/>
      <c r="E139" s="3107"/>
      <c r="F139" s="3093"/>
      <c r="G139" s="3093"/>
      <c r="H139" s="3093"/>
      <c r="I139" s="957" t="s">
        <v>2992</v>
      </c>
      <c r="J139" s="701" t="s">
        <v>2992</v>
      </c>
      <c r="K139" s="706" t="s">
        <v>5240</v>
      </c>
      <c r="L139" s="960">
        <v>1E-4</v>
      </c>
      <c r="M139" s="707" t="s">
        <v>2989</v>
      </c>
      <c r="N139" s="3108" t="s">
        <v>5275</v>
      </c>
      <c r="O139" s="3093"/>
      <c r="P139" s="3093"/>
      <c r="Q139" s="3093"/>
      <c r="R139" s="3093"/>
      <c r="S139" s="3094"/>
    </row>
    <row r="140" spans="1:22" s="325" customFormat="1" ht="24" customHeight="1">
      <c r="A140" s="3109" t="s">
        <v>3443</v>
      </c>
      <c r="B140" s="3110"/>
      <c r="C140" s="3110"/>
      <c r="D140" s="3111"/>
      <c r="E140" s="3112"/>
      <c r="F140" s="3063"/>
      <c r="G140" s="3063"/>
      <c r="H140" s="3063"/>
      <c r="I140" s="958"/>
      <c r="J140" s="702"/>
      <c r="K140" s="708"/>
      <c r="L140" s="961"/>
      <c r="M140" s="709"/>
      <c r="N140" s="3113"/>
      <c r="O140" s="3063"/>
      <c r="P140" s="3063"/>
      <c r="Q140" s="3063"/>
      <c r="R140" s="3063"/>
      <c r="S140" s="3064"/>
      <c r="U140" s="3065" t="s">
        <v>2030</v>
      </c>
      <c r="V140" s="3065"/>
    </row>
    <row r="141" spans="1:22" s="325" customFormat="1" ht="24" customHeight="1">
      <c r="A141" s="3109" t="s">
        <v>3444</v>
      </c>
      <c r="B141" s="3110"/>
      <c r="C141" s="3110"/>
      <c r="D141" s="3111"/>
      <c r="E141" s="3112"/>
      <c r="F141" s="3063"/>
      <c r="G141" s="3063"/>
      <c r="H141" s="3063"/>
      <c r="I141" s="958"/>
      <c r="J141" s="702"/>
      <c r="K141" s="708"/>
      <c r="L141" s="961"/>
      <c r="M141" s="709"/>
      <c r="N141" s="3113"/>
      <c r="O141" s="3063"/>
      <c r="P141" s="3063"/>
      <c r="Q141" s="3063"/>
      <c r="R141" s="3063"/>
      <c r="S141" s="3064"/>
      <c r="U141" s="3065"/>
      <c r="V141" s="3065"/>
    </row>
    <row r="142" spans="1:22" s="325" customFormat="1" ht="24" customHeight="1">
      <c r="A142" s="3109" t="s">
        <v>3445</v>
      </c>
      <c r="B142" s="3110"/>
      <c r="C142" s="3110"/>
      <c r="D142" s="3111"/>
      <c r="E142" s="3112"/>
      <c r="F142" s="3063"/>
      <c r="G142" s="3063"/>
      <c r="H142" s="3063"/>
      <c r="I142" s="958" t="s">
        <v>2992</v>
      </c>
      <c r="J142" s="702" t="s">
        <v>2992</v>
      </c>
      <c r="K142" s="708" t="s">
        <v>5240</v>
      </c>
      <c r="L142" s="961">
        <v>0.98980000000000001</v>
      </c>
      <c r="M142" s="709" t="s">
        <v>2992</v>
      </c>
      <c r="N142" s="3113"/>
      <c r="O142" s="3063"/>
      <c r="P142" s="3063"/>
      <c r="Q142" s="3063"/>
      <c r="R142" s="3063"/>
      <c r="S142" s="3064"/>
      <c r="U142" s="3065"/>
      <c r="V142" s="3065"/>
    </row>
    <row r="143" spans="1:22" s="325" customFormat="1" ht="24" customHeight="1">
      <c r="A143" s="3109" t="s">
        <v>3446</v>
      </c>
      <c r="B143" s="3110"/>
      <c r="C143" s="3110"/>
      <c r="D143" s="3111"/>
      <c r="E143" s="3112"/>
      <c r="F143" s="3063"/>
      <c r="G143" s="3063"/>
      <c r="H143" s="3063"/>
      <c r="I143" s="958" t="s">
        <v>2992</v>
      </c>
      <c r="J143" s="702" t="s">
        <v>2992</v>
      </c>
      <c r="K143" s="708" t="s">
        <v>5240</v>
      </c>
      <c r="L143" s="961">
        <v>0.01</v>
      </c>
      <c r="M143" s="709" t="s">
        <v>2992</v>
      </c>
      <c r="N143" s="3113"/>
      <c r="O143" s="3063"/>
      <c r="P143" s="3063"/>
      <c r="Q143" s="3063"/>
      <c r="R143" s="3063"/>
      <c r="S143" s="3064"/>
      <c r="U143" s="3065"/>
      <c r="V143" s="3065"/>
    </row>
    <row r="144" spans="1:22" s="325" customFormat="1" ht="24" customHeight="1">
      <c r="A144" s="3109" t="s">
        <v>2894</v>
      </c>
      <c r="B144" s="3110"/>
      <c r="C144" s="3110"/>
      <c r="D144" s="3111"/>
      <c r="E144" s="3112"/>
      <c r="F144" s="3063"/>
      <c r="G144" s="3063"/>
      <c r="H144" s="3063"/>
      <c r="I144" s="958"/>
      <c r="J144" s="702"/>
      <c r="K144" s="708"/>
      <c r="L144" s="961"/>
      <c r="M144" s="709"/>
      <c r="N144" s="3113"/>
      <c r="O144" s="3063"/>
      <c r="P144" s="3063"/>
      <c r="Q144" s="3063"/>
      <c r="R144" s="3063"/>
      <c r="S144" s="3064"/>
      <c r="U144" s="3065"/>
      <c r="V144" s="3065"/>
    </row>
    <row r="145" spans="1:24" s="325" customFormat="1" ht="24" customHeight="1">
      <c r="A145" s="3109" t="s">
        <v>653</v>
      </c>
      <c r="B145" s="3110"/>
      <c r="C145" s="3110"/>
      <c r="D145" s="3111"/>
      <c r="E145" s="3112"/>
      <c r="F145" s="3063"/>
      <c r="G145" s="3063"/>
      <c r="H145" s="3063"/>
      <c r="I145" s="958" t="s">
        <v>2992</v>
      </c>
      <c r="J145" s="702" t="s">
        <v>2992</v>
      </c>
      <c r="K145" s="708" t="s">
        <v>5240</v>
      </c>
      <c r="L145" s="961">
        <v>0</v>
      </c>
      <c r="M145" s="709" t="s">
        <v>2989</v>
      </c>
      <c r="N145" s="3113" t="s">
        <v>5275</v>
      </c>
      <c r="O145" s="3063"/>
      <c r="P145" s="3063"/>
      <c r="Q145" s="3063"/>
      <c r="R145" s="3063"/>
      <c r="S145" s="3064"/>
      <c r="U145" s="3065"/>
      <c r="V145" s="3065"/>
    </row>
    <row r="146" spans="1:24" s="325" customFormat="1" ht="24" customHeight="1">
      <c r="A146" s="3109" t="s">
        <v>2895</v>
      </c>
      <c r="B146" s="3110"/>
      <c r="C146" s="3110"/>
      <c r="D146" s="3111"/>
      <c r="E146" s="3112"/>
      <c r="F146" s="3063"/>
      <c r="G146" s="3063"/>
      <c r="H146" s="3063"/>
      <c r="I146" s="958"/>
      <c r="J146" s="702"/>
      <c r="K146" s="708"/>
      <c r="L146" s="961"/>
      <c r="M146" s="709"/>
      <c r="N146" s="3113"/>
      <c r="O146" s="3063"/>
      <c r="P146" s="3063"/>
      <c r="Q146" s="3063"/>
      <c r="R146" s="3063"/>
      <c r="S146" s="3064"/>
    </row>
    <row r="147" spans="1:24" s="325" customFormat="1" ht="24" customHeight="1">
      <c r="A147" s="3109" t="s">
        <v>2896</v>
      </c>
      <c r="B147" s="3110"/>
      <c r="C147" s="3110"/>
      <c r="D147" s="3111"/>
      <c r="E147" s="3112"/>
      <c r="F147" s="3063"/>
      <c r="G147" s="3063"/>
      <c r="H147" s="3063"/>
      <c r="I147" s="958"/>
      <c r="J147" s="702"/>
      <c r="K147" s="708"/>
      <c r="L147" s="961"/>
      <c r="M147" s="709"/>
      <c r="N147" s="3113"/>
      <c r="O147" s="3063"/>
      <c r="P147" s="3063"/>
      <c r="Q147" s="3063"/>
      <c r="R147" s="3063"/>
      <c r="S147" s="3064"/>
    </row>
    <row r="148" spans="1:24" s="325" customFormat="1" ht="24" customHeight="1">
      <c r="A148" s="3109" t="s">
        <v>2898</v>
      </c>
      <c r="B148" s="3110"/>
      <c r="C148" s="3110"/>
      <c r="D148" s="3111"/>
      <c r="E148" s="3112"/>
      <c r="F148" s="3063"/>
      <c r="G148" s="3063"/>
      <c r="H148" s="3063"/>
      <c r="I148" s="958"/>
      <c r="J148" s="702"/>
      <c r="K148" s="708"/>
      <c r="L148" s="961"/>
      <c r="M148" s="709"/>
      <c r="N148" s="3113"/>
      <c r="O148" s="3063"/>
      <c r="P148" s="3063"/>
      <c r="Q148" s="3063"/>
      <c r="R148" s="3063"/>
      <c r="S148" s="3064"/>
    </row>
    <row r="149" spans="1:24" s="325" customFormat="1" ht="24" customHeight="1">
      <c r="A149" s="3109" t="s">
        <v>2897</v>
      </c>
      <c r="B149" s="3110"/>
      <c r="C149" s="3110"/>
      <c r="D149" s="3111"/>
      <c r="E149" s="3112"/>
      <c r="F149" s="3063"/>
      <c r="G149" s="3063"/>
      <c r="H149" s="3063"/>
      <c r="I149" s="958"/>
      <c r="J149" s="702"/>
      <c r="K149" s="708"/>
      <c r="L149" s="961"/>
      <c r="M149" s="709"/>
      <c r="N149" s="3113"/>
      <c r="O149" s="3063"/>
      <c r="P149" s="3063"/>
      <c r="Q149" s="3063"/>
      <c r="R149" s="3063"/>
      <c r="S149" s="3064"/>
    </row>
    <row r="150" spans="1:24" s="325" customFormat="1" ht="24" customHeight="1">
      <c r="A150" s="3109" t="s">
        <v>1529</v>
      </c>
      <c r="B150" s="3110"/>
      <c r="C150" s="3110"/>
      <c r="D150" s="3111"/>
      <c r="E150" s="3112"/>
      <c r="F150" s="3063"/>
      <c r="G150" s="3063"/>
      <c r="H150" s="3063"/>
      <c r="I150" s="958" t="s">
        <v>2992</v>
      </c>
      <c r="J150" s="702" t="s">
        <v>2992</v>
      </c>
      <c r="K150" s="708" t="s">
        <v>5240</v>
      </c>
      <c r="L150" s="961">
        <v>0</v>
      </c>
      <c r="M150" s="709" t="s">
        <v>2989</v>
      </c>
      <c r="N150" s="3113" t="s">
        <v>5275</v>
      </c>
      <c r="O150" s="3063"/>
      <c r="P150" s="3063"/>
      <c r="Q150" s="3063"/>
      <c r="R150" s="3063"/>
      <c r="S150" s="3064"/>
    </row>
    <row r="151" spans="1:24" s="325" customFormat="1" ht="24" customHeight="1">
      <c r="A151" s="3147" t="s">
        <v>2899</v>
      </c>
      <c r="B151" s="3148"/>
      <c r="C151" s="3148"/>
      <c r="D151" s="3149"/>
      <c r="E151" s="3150"/>
      <c r="F151" s="3116"/>
      <c r="G151" s="3116"/>
      <c r="H151" s="3116"/>
      <c r="I151" s="959" t="s">
        <v>2992</v>
      </c>
      <c r="J151" s="703" t="s">
        <v>2992</v>
      </c>
      <c r="K151" s="710" t="s">
        <v>5240</v>
      </c>
      <c r="L151" s="962">
        <v>0</v>
      </c>
      <c r="M151" s="711" t="s">
        <v>2992</v>
      </c>
      <c r="N151" s="3151"/>
      <c r="O151" s="3116"/>
      <c r="P151" s="3116"/>
      <c r="Q151" s="3116"/>
      <c r="R151" s="3116"/>
      <c r="S151" s="3117"/>
    </row>
    <row r="152" spans="1:24" s="1238" customFormat="1" ht="12" customHeight="1">
      <c r="G152" s="337"/>
      <c r="H152" s="337"/>
      <c r="I152" s="337"/>
      <c r="J152" s="1243"/>
      <c r="K152" s="354" t="s">
        <v>539</v>
      </c>
      <c r="L152" s="630">
        <f>SUM(L139:S151)</f>
        <v>0.99990000000000001</v>
      </c>
      <c r="M152" s="1243"/>
      <c r="P152" s="335"/>
    </row>
    <row r="153" spans="1:24" ht="11.25" customHeight="1">
      <c r="A153" s="356" t="s">
        <v>530</v>
      </c>
      <c r="B153" s="371"/>
      <c r="C153" s="356" t="s">
        <v>572</v>
      </c>
      <c r="N153" s="356" t="s">
        <v>530</v>
      </c>
      <c r="O153" s="356" t="s">
        <v>79</v>
      </c>
    </row>
    <row r="154" spans="1:24" ht="60" customHeight="1">
      <c r="A154" s="3152" t="s">
        <v>5276</v>
      </c>
      <c r="B154" s="3153"/>
      <c r="C154" s="3153"/>
      <c r="D154" s="3153"/>
      <c r="E154" s="3153"/>
      <c r="F154" s="3153"/>
      <c r="G154" s="3153"/>
      <c r="H154" s="3153"/>
      <c r="I154" s="3153"/>
      <c r="J154" s="3153"/>
      <c r="K154" s="3153"/>
      <c r="L154" s="3153"/>
      <c r="M154" s="3154"/>
      <c r="N154" s="3155"/>
      <c r="O154" s="3156"/>
      <c r="P154" s="3156"/>
      <c r="Q154" s="3156"/>
      <c r="R154" s="3156"/>
      <c r="S154" s="3157"/>
      <c r="T154" s="2881" t="s">
        <v>2692</v>
      </c>
      <c r="U154" s="2881"/>
      <c r="V154" s="2881"/>
      <c r="W154" s="2881"/>
      <c r="X154" s="2881"/>
    </row>
    <row r="155" spans="1:24" s="325" customFormat="1" ht="12" customHeight="1">
      <c r="A155" s="331"/>
      <c r="B155" s="346"/>
      <c r="C155" s="346"/>
      <c r="D155" s="346"/>
      <c r="E155" s="346"/>
      <c r="F155" s="346"/>
      <c r="G155" s="346"/>
      <c r="H155" s="346"/>
      <c r="I155" s="346"/>
      <c r="J155" s="346"/>
      <c r="K155" s="346"/>
      <c r="L155" s="346"/>
      <c r="M155" s="346"/>
      <c r="N155" s="346"/>
      <c r="O155" s="346"/>
      <c r="T155" s="2881"/>
      <c r="U155" s="2881"/>
      <c r="V155" s="2881"/>
      <c r="W155" s="2881"/>
      <c r="X155" s="2881"/>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zoomScaleNormal="100" workbookViewId="0">
      <selection activeCell="S27" sqref="S27:T33"/>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080" t="str">
        <f>CONCATENATE("PART THREE - SOURCES OF FUNDS","  -  ",'Part I-Project Information'!$O$6," ",'Part I-Project Information'!$F$34,", ",'Part I-Project Information'!$F$38,", ",'Part I-Project Information'!$J$39," County")</f>
        <v>PART THREE - SOURCES OF FUNDS  -  2019-5 55 Milton, Atlanta, Fulton County</v>
      </c>
      <c r="B1" s="3081"/>
      <c r="C1" s="3081"/>
      <c r="D1" s="3081"/>
      <c r="E1" s="3081"/>
      <c r="F1" s="3081"/>
      <c r="G1" s="3081"/>
      <c r="H1" s="3081"/>
      <c r="I1" s="3081"/>
      <c r="J1" s="3081"/>
      <c r="K1" s="3081"/>
      <c r="L1" s="3081"/>
      <c r="M1" s="3081"/>
      <c r="N1" s="3081"/>
      <c r="O1" s="3081"/>
      <c r="P1" s="3081"/>
      <c r="Q1" s="3082"/>
      <c r="S1" s="3167" t="str">
        <f>$A$1</f>
        <v>PART THREE - SOURCES OF FUNDS  -  2019-5 55 Milton, Atlanta, Fulton County</v>
      </c>
      <c r="T1" s="3167"/>
    </row>
    <row r="2" spans="1:20" ht="17.45" customHeight="1">
      <c r="A2" s="346"/>
      <c r="B2" s="346"/>
      <c r="C2" s="346"/>
      <c r="D2" s="346"/>
      <c r="E2" s="346"/>
      <c r="F2" s="346"/>
      <c r="G2" s="1602"/>
      <c r="H2" s="1602"/>
      <c r="I2" s="1602"/>
      <c r="J2" s="1602"/>
      <c r="K2" s="1602"/>
      <c r="L2" s="1602"/>
    </row>
    <row r="3" spans="1:20" s="300" customFormat="1" ht="13.35" customHeight="1">
      <c r="A3" s="327" t="s">
        <v>616</v>
      </c>
      <c r="B3" s="337" t="s">
        <v>2490</v>
      </c>
      <c r="C3" s="325"/>
      <c r="D3" s="2563"/>
      <c r="E3" s="2563"/>
      <c r="F3" s="2563"/>
      <c r="G3" s="2563"/>
      <c r="L3" s="3181" t="str">
        <f>'Part I-Project Information'!$B$6</f>
        <v>May 2019 Final</v>
      </c>
      <c r="M3" s="3182"/>
      <c r="N3" s="3182"/>
      <c r="O3" s="3182"/>
      <c r="P3" s="3183"/>
      <c r="S3" s="395" t="str">
        <f>B3</f>
        <v>GOVERNMENT FUNDING SOURCES  (check all that apply)</v>
      </c>
    </row>
    <row r="4" spans="1:20" s="300" customFormat="1" ht="15.75" customHeight="1">
      <c r="A4" s="356"/>
      <c r="B4" s="545"/>
      <c r="C4" s="349"/>
      <c r="D4" s="1238"/>
      <c r="E4" s="1238"/>
      <c r="F4" s="1238"/>
      <c r="G4" s="1238"/>
      <c r="S4" s="3168" t="s">
        <v>2682</v>
      </c>
      <c r="T4" s="3168"/>
    </row>
    <row r="5" spans="1:20" s="300" customFormat="1" ht="16.5" customHeight="1">
      <c r="A5" s="545"/>
      <c r="B5" s="2598" t="s">
        <v>2989</v>
      </c>
      <c r="C5" s="2572" t="s">
        <v>2409</v>
      </c>
      <c r="D5" s="325"/>
      <c r="E5" s="2598" t="s">
        <v>2992</v>
      </c>
      <c r="F5" s="2572" t="s">
        <v>3722</v>
      </c>
      <c r="G5" s="325"/>
      <c r="H5" s="3176"/>
      <c r="I5" s="3177"/>
      <c r="L5" s="2598" t="s">
        <v>2992</v>
      </c>
      <c r="M5" s="2572" t="s">
        <v>1537</v>
      </c>
      <c r="S5" s="3169"/>
      <c r="T5" s="3170"/>
    </row>
    <row r="6" spans="1:20" s="300" customFormat="1" ht="16.5" customHeight="1">
      <c r="A6" s="545"/>
      <c r="B6" s="2574" t="s">
        <v>2992</v>
      </c>
      <c r="C6" s="2572" t="s">
        <v>5005</v>
      </c>
      <c r="D6" s="325"/>
      <c r="E6" s="2573" t="s">
        <v>2992</v>
      </c>
      <c r="F6" s="2572" t="s">
        <v>3723</v>
      </c>
      <c r="H6" s="3178"/>
      <c r="I6" s="3179"/>
      <c r="L6" s="2574" t="s">
        <v>2992</v>
      </c>
      <c r="M6" s="2572" t="s">
        <v>549</v>
      </c>
      <c r="S6" s="3158"/>
      <c r="T6" s="3159"/>
    </row>
    <row r="7" spans="1:20" s="300" customFormat="1" ht="16.5" customHeight="1">
      <c r="A7" s="325"/>
      <c r="B7" s="2574" t="s">
        <v>2992</v>
      </c>
      <c r="C7" s="2572" t="s">
        <v>551</v>
      </c>
      <c r="F7" s="325" t="s">
        <v>5004</v>
      </c>
      <c r="H7" s="3184" t="s">
        <v>3449</v>
      </c>
      <c r="I7" s="3185"/>
      <c r="J7" s="3175"/>
      <c r="L7" s="2574" t="s">
        <v>2992</v>
      </c>
      <c r="M7" s="2571" t="s">
        <v>3619</v>
      </c>
      <c r="S7" s="3158"/>
      <c r="T7" s="3159"/>
    </row>
    <row r="8" spans="1:20" s="300" customFormat="1" ht="16.5" customHeight="1">
      <c r="A8" s="545"/>
      <c r="B8" s="2574" t="s">
        <v>2992</v>
      </c>
      <c r="C8" s="2572" t="s">
        <v>2600</v>
      </c>
      <c r="E8" s="2598" t="s">
        <v>2992</v>
      </c>
      <c r="F8" s="2571" t="s">
        <v>2608</v>
      </c>
      <c r="L8" s="2574" t="s">
        <v>2992</v>
      </c>
      <c r="M8" s="2571" t="s">
        <v>5006</v>
      </c>
      <c r="S8" s="3160"/>
      <c r="T8" s="3161"/>
    </row>
    <row r="9" spans="1:20" s="300" customFormat="1" ht="16.5" customHeight="1">
      <c r="A9" s="545"/>
      <c r="B9" s="2574" t="s">
        <v>2992</v>
      </c>
      <c r="C9" s="2572" t="s">
        <v>2601</v>
      </c>
      <c r="E9" s="2574" t="s">
        <v>2989</v>
      </c>
      <c r="F9" s="2571" t="s">
        <v>3721</v>
      </c>
      <c r="H9" s="3173" t="s">
        <v>5277</v>
      </c>
      <c r="I9" s="3174"/>
      <c r="J9" s="3175"/>
      <c r="L9" s="2574" t="s">
        <v>2992</v>
      </c>
      <c r="M9" s="2572" t="s">
        <v>3680</v>
      </c>
      <c r="S9" s="3169"/>
      <c r="T9" s="3170"/>
    </row>
    <row r="10" spans="1:20" s="300" customFormat="1" ht="16.5" customHeight="1">
      <c r="A10" s="545"/>
      <c r="B10" s="2574" t="s">
        <v>2992</v>
      </c>
      <c r="C10" s="2571" t="s">
        <v>3685</v>
      </c>
      <c r="E10" s="2605" t="s">
        <v>2992</v>
      </c>
      <c r="F10" s="3180" t="s">
        <v>4719</v>
      </c>
      <c r="G10" s="3002"/>
      <c r="H10" s="3002"/>
      <c r="I10" s="3002"/>
      <c r="J10" s="3025"/>
      <c r="L10" s="2574" t="s">
        <v>2992</v>
      </c>
      <c r="M10" s="325" t="s">
        <v>2609</v>
      </c>
      <c r="S10" s="3158"/>
      <c r="T10" s="3159"/>
    </row>
    <row r="11" spans="1:20" s="300" customFormat="1" ht="16.5" customHeight="1">
      <c r="A11" s="545"/>
      <c r="B11" s="2574" t="s">
        <v>2992</v>
      </c>
      <c r="C11" s="325" t="s">
        <v>3887</v>
      </c>
      <c r="F11" s="3162" t="s">
        <v>4720</v>
      </c>
      <c r="G11" s="3163"/>
      <c r="H11" s="3163"/>
      <c r="I11" s="3163"/>
      <c r="J11" s="3164"/>
      <c r="L11" s="2574" t="s">
        <v>2992</v>
      </c>
      <c r="M11" s="325" t="s">
        <v>3724</v>
      </c>
      <c r="S11" s="3158"/>
      <c r="T11" s="3159"/>
    </row>
    <row r="12" spans="1:20" s="300" customFormat="1" ht="16.5" customHeight="1">
      <c r="A12" s="545"/>
      <c r="B12" s="2574" t="s">
        <v>2992</v>
      </c>
      <c r="C12" s="325" t="s">
        <v>2607</v>
      </c>
      <c r="E12" s="2606" t="s">
        <v>2989</v>
      </c>
      <c r="F12" s="3180" t="s">
        <v>5278</v>
      </c>
      <c r="G12" s="3002"/>
      <c r="H12" s="3002"/>
      <c r="I12" s="3002"/>
      <c r="J12" s="3025"/>
      <c r="L12" s="2574" t="s">
        <v>2992</v>
      </c>
      <c r="M12" s="325" t="s">
        <v>2795</v>
      </c>
      <c r="S12" s="3158"/>
      <c r="T12" s="3159"/>
    </row>
    <row r="13" spans="1:20" s="300" customFormat="1" ht="16.5" customHeight="1">
      <c r="A13" s="545"/>
      <c r="B13" s="2574" t="s">
        <v>2992</v>
      </c>
      <c r="C13" s="325" t="s">
        <v>3719</v>
      </c>
      <c r="F13" s="3162" t="s">
        <v>5279</v>
      </c>
      <c r="G13" s="3163"/>
      <c r="H13" s="3163"/>
      <c r="I13" s="3163"/>
      <c r="J13" s="3164"/>
      <c r="L13" s="2574" t="s">
        <v>2992</v>
      </c>
      <c r="M13" s="2571" t="s">
        <v>3886</v>
      </c>
      <c r="S13" s="3160"/>
      <c r="T13" s="3161"/>
    </row>
    <row r="14" spans="1:20" s="300" customFormat="1" ht="16.5" customHeight="1">
      <c r="A14" s="545"/>
      <c r="B14" s="2573" t="s">
        <v>2992</v>
      </c>
      <c r="C14" s="2572" t="s">
        <v>1803</v>
      </c>
      <c r="E14" s="963" t="s">
        <v>2989</v>
      </c>
      <c r="F14" s="2572" t="s">
        <v>5003</v>
      </c>
      <c r="I14" s="3171">
        <v>17500000</v>
      </c>
      <c r="J14" s="3172"/>
      <c r="L14" s="2573" t="s">
        <v>2992</v>
      </c>
      <c r="M14" s="320" t="s">
        <v>5008</v>
      </c>
    </row>
    <row r="15" spans="1:20" s="300" customFormat="1" ht="17.100000000000001" customHeight="1">
      <c r="A15" s="545"/>
      <c r="B15" s="300" t="s">
        <v>5007</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2344</v>
      </c>
      <c r="C17" s="325"/>
      <c r="D17" s="1238"/>
      <c r="E17" s="325"/>
      <c r="F17" s="325"/>
      <c r="G17" s="325"/>
      <c r="H17" s="300"/>
      <c r="L17" s="325"/>
      <c r="M17" s="1238"/>
      <c r="N17" s="3165"/>
      <c r="O17" s="3165"/>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1870</v>
      </c>
      <c r="C19" s="325"/>
      <c r="D19" s="325"/>
      <c r="E19" s="325"/>
      <c r="F19" s="325"/>
      <c r="G19" s="325"/>
      <c r="H19" s="3166" t="s">
        <v>1297</v>
      </c>
      <c r="I19" s="3166"/>
      <c r="J19" s="3166"/>
      <c r="K19" s="3166"/>
      <c r="L19" s="2920" t="s">
        <v>4959</v>
      </c>
      <c r="M19" s="2920"/>
      <c r="N19" s="2920" t="s">
        <v>1507</v>
      </c>
      <c r="O19" s="2920"/>
      <c r="P19" s="2920" t="s">
        <v>1630</v>
      </c>
      <c r="Q19" s="2920"/>
      <c r="S19" s="3168" t="s">
        <v>2682</v>
      </c>
      <c r="T19" s="3168"/>
    </row>
    <row r="20" spans="1:20" s="300" customFormat="1" ht="15.75" customHeight="1">
      <c r="A20" s="325"/>
      <c r="B20" s="3201" t="s">
        <v>1591</v>
      </c>
      <c r="C20" s="3202"/>
      <c r="D20" s="3202"/>
      <c r="E20" s="1239"/>
      <c r="F20" s="1239"/>
      <c r="G20" s="1239"/>
      <c r="H20" s="3203" t="s">
        <v>5280</v>
      </c>
      <c r="I20" s="3204"/>
      <c r="J20" s="3204"/>
      <c r="K20" s="3205"/>
      <c r="L20" s="3206">
        <v>21630000</v>
      </c>
      <c r="M20" s="3207"/>
      <c r="N20" s="3208">
        <v>4.3499999999999997E-2</v>
      </c>
      <c r="O20" s="3209"/>
      <c r="P20" s="3210">
        <v>30</v>
      </c>
      <c r="Q20" s="3211"/>
      <c r="S20" s="3169"/>
      <c r="T20" s="3170"/>
    </row>
    <row r="21" spans="1:20" s="300" customFormat="1" ht="15.75" customHeight="1">
      <c r="A21" s="325"/>
      <c r="B21" s="3212" t="s">
        <v>1592</v>
      </c>
      <c r="C21" s="3213"/>
      <c r="D21" s="3213"/>
      <c r="E21" s="1238"/>
      <c r="F21" s="1238"/>
      <c r="G21" s="1238"/>
      <c r="H21" s="3214" t="s">
        <v>5282</v>
      </c>
      <c r="I21" s="3215"/>
      <c r="J21" s="3215"/>
      <c r="K21" s="3216"/>
      <c r="L21" s="3217">
        <v>2000000</v>
      </c>
      <c r="M21" s="3218"/>
      <c r="N21" s="3186">
        <v>0</v>
      </c>
      <c r="O21" s="3187"/>
      <c r="P21" s="3188">
        <v>30</v>
      </c>
      <c r="Q21" s="3189"/>
      <c r="S21" s="3158"/>
      <c r="T21" s="3159"/>
    </row>
    <row r="22" spans="1:20" s="300" customFormat="1" ht="15.75" customHeight="1">
      <c r="A22" s="325"/>
      <c r="B22" s="3190" t="s">
        <v>1593</v>
      </c>
      <c r="C22" s="3191"/>
      <c r="D22" s="3191"/>
      <c r="E22" s="1245"/>
      <c r="F22" s="1245"/>
      <c r="G22" s="1245"/>
      <c r="H22" s="3192" t="s">
        <v>5283</v>
      </c>
      <c r="I22" s="3193"/>
      <c r="J22" s="3193"/>
      <c r="K22" s="3194"/>
      <c r="L22" s="3195">
        <v>720000</v>
      </c>
      <c r="M22" s="3196"/>
      <c r="N22" s="3197">
        <v>0</v>
      </c>
      <c r="O22" s="3198"/>
      <c r="P22" s="3199">
        <v>30</v>
      </c>
      <c r="Q22" s="3200"/>
      <c r="S22" s="3158"/>
      <c r="T22" s="3159"/>
    </row>
    <row r="23" spans="1:20" s="300" customFormat="1" ht="15.75" customHeight="1">
      <c r="A23" s="325"/>
      <c r="B23" s="3201" t="s">
        <v>2214</v>
      </c>
      <c r="C23" s="3202"/>
      <c r="D23" s="3202"/>
      <c r="E23" s="1238"/>
      <c r="F23" s="1238"/>
      <c r="G23" s="1238"/>
      <c r="H23" s="3219"/>
      <c r="I23" s="3220"/>
      <c r="J23" s="3220"/>
      <c r="K23" s="3221"/>
      <c r="L23" s="3222"/>
      <c r="M23" s="3223"/>
      <c r="N23" s="3224"/>
      <c r="O23" s="3225"/>
      <c r="P23" s="3226"/>
      <c r="Q23" s="3226"/>
      <c r="S23" s="3158"/>
      <c r="T23" s="3159"/>
    </row>
    <row r="24" spans="1:20" s="300" customFormat="1" ht="15.75" customHeight="1">
      <c r="A24" s="325"/>
      <c r="B24" s="3212" t="s">
        <v>801</v>
      </c>
      <c r="C24" s="3213"/>
      <c r="D24" s="3213"/>
      <c r="E24" s="1238"/>
      <c r="H24" s="3214"/>
      <c r="I24" s="3215"/>
      <c r="J24" s="3215"/>
      <c r="K24" s="3216"/>
      <c r="L24" s="3217"/>
      <c r="M24" s="3218"/>
      <c r="N24" s="3224"/>
      <c r="O24" s="3225"/>
      <c r="P24" s="3226"/>
      <c r="Q24" s="3226"/>
      <c r="S24" s="3158"/>
      <c r="T24" s="3159"/>
    </row>
    <row r="25" spans="1:20" s="300" customFormat="1" ht="15.75" customHeight="1">
      <c r="A25" s="325"/>
      <c r="B25" s="3212" t="s">
        <v>641</v>
      </c>
      <c r="C25" s="3213"/>
      <c r="D25" s="3213"/>
      <c r="E25" s="1238"/>
      <c r="H25" s="3214"/>
      <c r="I25" s="3215"/>
      <c r="J25" s="3215"/>
      <c r="K25" s="3216"/>
      <c r="L25" s="3217"/>
      <c r="M25" s="3218"/>
      <c r="N25" s="3224"/>
      <c r="O25" s="3225"/>
      <c r="P25" s="3226"/>
      <c r="Q25" s="3226"/>
      <c r="S25" s="3158"/>
      <c r="T25" s="3159"/>
    </row>
    <row r="26" spans="1:20" s="300" customFormat="1" ht="15.75" customHeight="1">
      <c r="A26" s="325"/>
      <c r="B26" s="3212" t="s">
        <v>802</v>
      </c>
      <c r="C26" s="3213"/>
      <c r="D26" s="3213"/>
      <c r="E26" s="1238"/>
      <c r="H26" s="3214" t="s">
        <v>5242</v>
      </c>
      <c r="I26" s="3215"/>
      <c r="J26" s="3215"/>
      <c r="K26" s="3216"/>
      <c r="L26" s="3217">
        <v>2912002.0552976797</v>
      </c>
      <c r="M26" s="3218"/>
      <c r="N26" s="325"/>
      <c r="Q26" s="325"/>
      <c r="S26" s="3160"/>
      <c r="T26" s="3161"/>
    </row>
    <row r="27" spans="1:20" s="300" customFormat="1" ht="15.75" customHeight="1">
      <c r="A27" s="325"/>
      <c r="B27" s="3212" t="s">
        <v>803</v>
      </c>
      <c r="C27" s="3213"/>
      <c r="D27" s="3213"/>
      <c r="E27" s="1238"/>
      <c r="H27" s="3214" t="s">
        <v>5242</v>
      </c>
      <c r="I27" s="3215"/>
      <c r="J27" s="3215"/>
      <c r="K27" s="3216"/>
      <c r="L27" s="3217">
        <v>1911192.4680359059</v>
      </c>
      <c r="M27" s="3218"/>
      <c r="N27" s="325"/>
      <c r="Q27" s="325"/>
      <c r="S27" s="3169"/>
      <c r="T27" s="3170"/>
    </row>
    <row r="28" spans="1:20" s="300" customFormat="1" ht="15.75" customHeight="1">
      <c r="A28" s="325"/>
      <c r="B28" s="1237" t="s">
        <v>242</v>
      </c>
      <c r="C28" s="1238"/>
      <c r="D28" s="3227"/>
      <c r="E28" s="3227"/>
      <c r="F28" s="3227"/>
      <c r="G28" s="3227"/>
      <c r="H28" s="3214"/>
      <c r="I28" s="3215"/>
      <c r="J28" s="3215"/>
      <c r="K28" s="3216"/>
      <c r="L28" s="3217"/>
      <c r="M28" s="3218"/>
      <c r="N28" s="325"/>
      <c r="Q28" s="325"/>
      <c r="S28" s="3158"/>
      <c r="T28" s="3159"/>
    </row>
    <row r="29" spans="1:20" s="300" customFormat="1" ht="15.75" customHeight="1">
      <c r="A29" s="325"/>
      <c r="B29" s="1237" t="s">
        <v>242</v>
      </c>
      <c r="C29" s="1238"/>
      <c r="D29" s="3228"/>
      <c r="E29" s="3228"/>
      <c r="F29" s="3228"/>
      <c r="G29" s="3228"/>
      <c r="H29" s="3214"/>
      <c r="I29" s="3215"/>
      <c r="J29" s="3215"/>
      <c r="K29" s="3216"/>
      <c r="L29" s="3217"/>
      <c r="M29" s="3218"/>
      <c r="N29" s="325"/>
      <c r="S29" s="3158"/>
      <c r="T29" s="3159"/>
    </row>
    <row r="30" spans="1:20" s="300" customFormat="1" ht="15.75" customHeight="1">
      <c r="A30" s="325"/>
      <c r="B30" s="1244" t="s">
        <v>242</v>
      </c>
      <c r="C30" s="1245"/>
      <c r="D30" s="3229"/>
      <c r="E30" s="3229"/>
      <c r="F30" s="3229"/>
      <c r="G30" s="3229"/>
      <c r="H30" s="3192"/>
      <c r="I30" s="3193"/>
      <c r="J30" s="3193"/>
      <c r="K30" s="3194"/>
      <c r="L30" s="3195"/>
      <c r="M30" s="3196"/>
      <c r="N30" s="325"/>
      <c r="S30" s="3158"/>
      <c r="T30" s="3159"/>
    </row>
    <row r="31" spans="1:20" s="300" customFormat="1" ht="16.5" customHeight="1">
      <c r="A31" s="325"/>
      <c r="B31" s="299" t="s">
        <v>1298</v>
      </c>
      <c r="C31" s="325"/>
      <c r="D31" s="325"/>
      <c r="E31" s="325"/>
      <c r="F31" s="325"/>
      <c r="G31" s="325"/>
      <c r="H31" s="325"/>
      <c r="I31" s="325"/>
      <c r="L31" s="3230">
        <f>SUM(L20:L30)</f>
        <v>29173194.523333587</v>
      </c>
      <c r="M31" s="3231"/>
      <c r="N31" s="346"/>
      <c r="S31" s="3158"/>
      <c r="T31" s="3159"/>
    </row>
    <row r="32" spans="1:20" s="300" customFormat="1" ht="16.5" customHeight="1">
      <c r="A32" s="325"/>
      <c r="B32" s="1228" t="s">
        <v>1299</v>
      </c>
      <c r="C32" s="325"/>
      <c r="D32" s="325"/>
      <c r="E32" s="325"/>
      <c r="F32" s="325"/>
      <c r="G32" s="325"/>
      <c r="H32" s="325"/>
      <c r="I32" s="325"/>
      <c r="L32" s="323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28844951.5</v>
      </c>
      <c r="M32" s="3233"/>
      <c r="N32" s="968"/>
      <c r="S32" s="3158"/>
      <c r="T32" s="3159"/>
    </row>
    <row r="33" spans="1:20" s="300" customFormat="1" ht="16.5" customHeight="1">
      <c r="A33" s="325"/>
      <c r="B33" s="330" t="s">
        <v>2156</v>
      </c>
      <c r="C33" s="325"/>
      <c r="D33" s="325"/>
      <c r="E33" s="325"/>
      <c r="F33" s="325"/>
      <c r="G33" s="325"/>
      <c r="H33" s="325"/>
      <c r="I33" s="325"/>
      <c r="L33" s="3234">
        <f>L31-L32</f>
        <v>328243.02333358675</v>
      </c>
      <c r="M33" s="3235"/>
      <c r="N33" s="968"/>
      <c r="S33" s="3160"/>
      <c r="T33" s="3161"/>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6"/>
      <c r="I36" s="3226"/>
      <c r="K36" s="423" t="s">
        <v>2098</v>
      </c>
      <c r="L36" s="1243" t="s">
        <v>1295</v>
      </c>
      <c r="M36" s="1243" t="s">
        <v>1300</v>
      </c>
      <c r="P36" s="3239" t="s">
        <v>34</v>
      </c>
      <c r="Q36" s="3239"/>
      <c r="S36" s="395"/>
    </row>
    <row r="37" spans="1:20" s="300" customFormat="1" ht="13.35" customHeight="1">
      <c r="A37" s="325"/>
      <c r="B37" s="1246" t="s">
        <v>1870</v>
      </c>
      <c r="C37" s="1245"/>
      <c r="D37" s="1245"/>
      <c r="E37" s="2954" t="s">
        <v>1297</v>
      </c>
      <c r="F37" s="2954"/>
      <c r="G37" s="2954"/>
      <c r="H37" s="2954"/>
      <c r="I37" s="2920" t="s">
        <v>4958</v>
      </c>
      <c r="J37" s="2920"/>
      <c r="K37" s="1230" t="s">
        <v>1806</v>
      </c>
      <c r="L37" s="1230" t="s">
        <v>2213</v>
      </c>
      <c r="M37" s="1230" t="s">
        <v>2213</v>
      </c>
      <c r="N37" s="2920" t="s">
        <v>74</v>
      </c>
      <c r="O37" s="2920"/>
      <c r="P37" s="3240"/>
      <c r="Q37" s="3240"/>
      <c r="S37" s="3168" t="s">
        <v>2682</v>
      </c>
      <c r="T37" s="3168"/>
    </row>
    <row r="38" spans="1:20" s="300" customFormat="1" ht="15.75" customHeight="1">
      <c r="A38" s="325"/>
      <c r="B38" s="3201" t="s">
        <v>2613</v>
      </c>
      <c r="C38" s="3202"/>
      <c r="D38" s="3202"/>
      <c r="E38" s="3203" t="s">
        <v>5280</v>
      </c>
      <c r="F38" s="3204"/>
      <c r="G38" s="3204"/>
      <c r="H38" s="3205"/>
      <c r="I38" s="3265">
        <v>10392870</v>
      </c>
      <c r="J38" s="3266"/>
      <c r="K38" s="965">
        <v>4.3499999999999997E-2</v>
      </c>
      <c r="L38" s="1240">
        <v>18</v>
      </c>
      <c r="M38" s="1240">
        <v>40</v>
      </c>
      <c r="N38" s="3242" t="s">
        <v>5281</v>
      </c>
      <c r="O38" s="3242"/>
      <c r="P38" s="3267">
        <f>IF(OR(I38&lt;=0,I38=""),"",IF(N38="Cash Flow",0,IF(N38="Amortizing",-PMT(K38/12,M38*12,I38,0,0)*12,"")))</f>
        <v>548701.65721672866</v>
      </c>
      <c r="Q38" s="3267"/>
      <c r="S38" s="3169"/>
      <c r="T38" s="3170"/>
    </row>
    <row r="39" spans="1:20" s="300" customFormat="1" ht="15.75" customHeight="1">
      <c r="A39" s="325"/>
      <c r="B39" s="3212" t="s">
        <v>2614</v>
      </c>
      <c r="C39" s="3213"/>
      <c r="D39" s="3213"/>
      <c r="E39" s="3214" t="s">
        <v>5282</v>
      </c>
      <c r="F39" s="3215"/>
      <c r="G39" s="3215"/>
      <c r="H39" s="3216"/>
      <c r="I39" s="3236">
        <v>2000000</v>
      </c>
      <c r="J39" s="3237"/>
      <c r="K39" s="966">
        <v>0.01</v>
      </c>
      <c r="L39" s="1241">
        <v>18</v>
      </c>
      <c r="M39" s="1241">
        <v>40</v>
      </c>
      <c r="N39" s="3241" t="s">
        <v>1164</v>
      </c>
      <c r="O39" s="3241"/>
      <c r="P39" s="3238">
        <f>IF(OR(I39&lt;=0,I39=""),"",IF(N39="Cash Flow",0,IF(N39="Amortizing",-PMT(K39/12,M39*12,I39,0,0)*12,"")))</f>
        <v>0</v>
      </c>
      <c r="Q39" s="3238"/>
      <c r="S39" s="3158"/>
      <c r="T39" s="3159"/>
    </row>
    <row r="40" spans="1:20" s="300" customFormat="1" ht="15.75" customHeight="1">
      <c r="A40" s="325"/>
      <c r="B40" s="3212" t="s">
        <v>2615</v>
      </c>
      <c r="C40" s="3213"/>
      <c r="D40" s="3213"/>
      <c r="E40" s="3214" t="s">
        <v>5283</v>
      </c>
      <c r="F40" s="3215"/>
      <c r="G40" s="3215"/>
      <c r="H40" s="3216"/>
      <c r="I40" s="3236">
        <v>720000</v>
      </c>
      <c r="J40" s="3237"/>
      <c r="K40" s="966">
        <v>0</v>
      </c>
      <c r="L40" s="1241">
        <v>18</v>
      </c>
      <c r="M40" s="1241">
        <v>40</v>
      </c>
      <c r="N40" s="3241" t="s">
        <v>1164</v>
      </c>
      <c r="O40" s="3241"/>
      <c r="P40" s="3238">
        <f>IF(OR(I40&lt;=0,I40=""),"",IF(N40="Cash Flow",0,IF(N40="Amortizing",-PMT(K40/12,M40*12,I40,0,0)*12,"")))</f>
        <v>0</v>
      </c>
      <c r="Q40" s="3238"/>
      <c r="S40" s="3158"/>
      <c r="T40" s="3159"/>
    </row>
    <row r="41" spans="1:20" s="300" customFormat="1" ht="15.75" customHeight="1">
      <c r="A41" s="325"/>
      <c r="B41" s="1237" t="s">
        <v>741</v>
      </c>
      <c r="C41" s="3251"/>
      <c r="D41" s="3252"/>
      <c r="E41" s="3214"/>
      <c r="F41" s="3215"/>
      <c r="G41" s="3215"/>
      <c r="H41" s="3216"/>
      <c r="I41" s="3253"/>
      <c r="J41" s="3254"/>
      <c r="K41" s="967"/>
      <c r="L41" s="1234"/>
      <c r="M41" s="1234"/>
      <c r="N41" s="3256"/>
      <c r="O41" s="3256"/>
      <c r="P41" s="3255" t="str">
        <f>IF(OR(I41&lt;=0,I41=""),"",IF(N41="Cash Flow",0,IF(N41="Amortizing",-PMT(K41/12,M41*12,I41,0,0)*12,"")))</f>
        <v/>
      </c>
      <c r="Q41" s="3255"/>
      <c r="S41" s="3158"/>
      <c r="T41" s="3159"/>
    </row>
    <row r="42" spans="1:20" s="300" customFormat="1" ht="15.75" customHeight="1">
      <c r="A42" s="325"/>
      <c r="B42" s="1237" t="s">
        <v>2748</v>
      </c>
      <c r="C42" s="1238"/>
      <c r="D42" s="1242"/>
      <c r="E42" s="3214"/>
      <c r="F42" s="3215"/>
      <c r="G42" s="3215"/>
      <c r="H42" s="3216"/>
      <c r="I42" s="3236"/>
      <c r="J42" s="3237"/>
      <c r="K42" s="523"/>
      <c r="L42" s="1236"/>
      <c r="M42" s="1236"/>
      <c r="N42" s="3258"/>
      <c r="O42" s="3258"/>
      <c r="P42" s="3257"/>
      <c r="Q42" s="3257"/>
      <c r="S42" s="3158"/>
      <c r="T42" s="3159"/>
    </row>
    <row r="43" spans="1:20" s="300" customFormat="1" ht="15.75" customHeight="1">
      <c r="A43" s="325"/>
      <c r="B43" s="1244" t="s">
        <v>228</v>
      </c>
      <c r="C43" s="1245"/>
      <c r="D43" s="424">
        <f>IF(OR(I43="",I43=0,'Part IV-A-Uses of Funds'!$G$118="",'Part IV-A-Uses of Funds'!$G$118=0),"",I43/'Part IV-A-Uses of Funds'!$G$118)</f>
        <v>9.2766521612260691E-2</v>
      </c>
      <c r="E43" s="3192" t="s">
        <v>5214</v>
      </c>
      <c r="F43" s="3193"/>
      <c r="G43" s="3193"/>
      <c r="H43" s="3194"/>
      <c r="I43" s="3243">
        <v>292478</v>
      </c>
      <c r="J43" s="3244"/>
      <c r="K43" s="964"/>
      <c r="L43" s="963"/>
      <c r="M43" s="963"/>
      <c r="N43" s="3247"/>
      <c r="O43" s="3248"/>
      <c r="P43" s="3245" t="str">
        <f>IF(OR(I43&lt;=0,I43=""),"",IF(N43="Cash Flow",0,IF(N43="Amortizing",-PMT(K43/12,M43*12,I43,0,0)*12,"")))</f>
        <v/>
      </c>
      <c r="Q43" s="3246"/>
      <c r="S43" s="3158"/>
      <c r="T43" s="3159"/>
    </row>
    <row r="44" spans="1:20" s="300" customFormat="1" ht="3" customHeight="1">
      <c r="A44" s="325"/>
      <c r="B44" s="325"/>
      <c r="C44" s="325"/>
      <c r="D44" s="325"/>
      <c r="E44" s="325"/>
      <c r="F44" s="325"/>
      <c r="G44" s="325"/>
      <c r="H44" s="325"/>
      <c r="I44" s="1553"/>
      <c r="J44" s="1554"/>
      <c r="K44" s="1279"/>
      <c r="L44" s="375"/>
      <c r="M44" s="375"/>
      <c r="N44" s="1280"/>
      <c r="O44" s="1280"/>
      <c r="P44" s="375"/>
      <c r="Q44" s="375"/>
      <c r="S44" s="3158"/>
      <c r="T44" s="3159"/>
    </row>
    <row r="45" spans="1:20" s="300" customFormat="1" ht="14.25" customHeight="1">
      <c r="A45" s="325"/>
      <c r="B45" s="1278" t="s">
        <v>4183</v>
      </c>
      <c r="C45" s="1535"/>
      <c r="E45" s="300" t="s">
        <v>4085</v>
      </c>
      <c r="F45" s="3249" t="e">
        <f>IF(OR($I$43="",$I$43=0,'Part VII-Pro Forma'!$S$35=0,'Part VII-Pro Forma'!$S$35=""),"",VLOOKUP($L$43,'Part VII-Pro Forma'!$Q$20:$S$40,3))</f>
        <v>#N/A</v>
      </c>
      <c r="G45" s="3250"/>
      <c r="H45" s="712" t="s">
        <v>4182</v>
      </c>
      <c r="I45" s="3249" t="e">
        <f>IF(OR($I$43="",$I$43=0,'Part VII-Pro Forma'!$R$35=0,'Part VII-Pro Forma'!$R$35=""),"",VLOOKUP($L$43,'Part VII-Pro Forma'!$Q$20:$S$35,2))</f>
        <v>#N/A</v>
      </c>
      <c r="J45" s="3250"/>
      <c r="K45" s="712" t="s">
        <v>4184</v>
      </c>
      <c r="L45" s="3259" t="e">
        <f>IF(OR($F$45 = 0,$F$45 =""),"",$I$45/$F$45)</f>
        <v>#N/A</v>
      </c>
      <c r="M45" s="3260"/>
      <c r="N45" s="3263" t="s">
        <v>4970</v>
      </c>
      <c r="O45" s="3264"/>
      <c r="P45" s="3261">
        <f>IF(OR($I$60=0,$I$58&gt;$I$59),0,ABS($I$58-$I$59))</f>
        <v>0.40666565671563148</v>
      </c>
      <c r="Q45" s="3262"/>
      <c r="S45" s="3158"/>
      <c r="T45" s="3159"/>
    </row>
    <row r="46" spans="1:20" s="300" customFormat="1" ht="3" customHeight="1">
      <c r="A46" s="325"/>
      <c r="B46" s="325"/>
      <c r="C46" s="325"/>
      <c r="D46" s="325"/>
      <c r="E46" s="325"/>
      <c r="F46" s="325"/>
      <c r="G46" s="325"/>
      <c r="H46" s="325"/>
      <c r="I46" s="1281"/>
      <c r="J46" s="1282"/>
      <c r="K46" s="1279"/>
      <c r="L46" s="375"/>
      <c r="M46" s="375"/>
      <c r="N46" s="1280"/>
      <c r="O46" s="1280"/>
      <c r="P46" s="375"/>
      <c r="Q46" s="375"/>
      <c r="S46" s="3160"/>
      <c r="T46" s="3161"/>
    </row>
    <row r="47" spans="1:20" s="300" customFormat="1" ht="15.75" customHeight="1">
      <c r="A47" s="325"/>
      <c r="B47" s="3268" t="s">
        <v>2214</v>
      </c>
      <c r="C47" s="3269"/>
      <c r="D47" s="3270"/>
      <c r="E47" s="3203"/>
      <c r="F47" s="3204"/>
      <c r="G47" s="3204"/>
      <c r="H47" s="3205"/>
      <c r="I47" s="3271"/>
      <c r="J47" s="3272"/>
      <c r="K47" s="425"/>
      <c r="L47" s="425"/>
      <c r="M47" s="425"/>
      <c r="N47" s="425"/>
      <c r="O47" s="425"/>
      <c r="P47" s="425"/>
      <c r="Q47" s="425"/>
      <c r="S47" s="3169"/>
      <c r="T47" s="3170"/>
    </row>
    <row r="48" spans="1:20" s="300" customFormat="1" ht="15.75" customHeight="1">
      <c r="A48" s="325"/>
      <c r="B48" s="3212" t="s">
        <v>801</v>
      </c>
      <c r="C48" s="3213"/>
      <c r="D48" s="3273"/>
      <c r="E48" s="3214"/>
      <c r="F48" s="3215"/>
      <c r="G48" s="3215"/>
      <c r="H48" s="3216"/>
      <c r="I48" s="3236"/>
      <c r="J48" s="3237"/>
      <c r="L48" s="3274" t="s">
        <v>517</v>
      </c>
      <c r="M48" s="3274"/>
      <c r="N48" s="3275" t="s">
        <v>518</v>
      </c>
      <c r="O48" s="3275"/>
      <c r="P48" s="458" t="s">
        <v>516</v>
      </c>
      <c r="Q48" s="425"/>
      <c r="S48" s="3158"/>
      <c r="T48" s="3159"/>
    </row>
    <row r="49" spans="1:23" s="300" customFormat="1" ht="15.75" customHeight="1">
      <c r="A49" s="325"/>
      <c r="B49" s="3212" t="s">
        <v>802</v>
      </c>
      <c r="C49" s="3213"/>
      <c r="D49" s="3273"/>
      <c r="E49" s="3214" t="s">
        <v>5242</v>
      </c>
      <c r="F49" s="3215"/>
      <c r="G49" s="3215"/>
      <c r="H49" s="3216"/>
      <c r="I49" s="3236">
        <v>11648008.221190719</v>
      </c>
      <c r="J49" s="3236"/>
      <c r="L49" s="3276">
        <f>'Part IV-A-Uses of Funds'!$J$175*10*'Part IV-A-Uses of Funds'!$N$168</f>
        <v>11649168</v>
      </c>
      <c r="M49" s="3276"/>
      <c r="N49" s="3277">
        <f>I49-L49</f>
        <v>-1159.7788092810661</v>
      </c>
      <c r="O49" s="3277"/>
      <c r="P49" s="459" t="s">
        <v>2559</v>
      </c>
      <c r="Q49" s="425"/>
      <c r="S49" s="3158"/>
      <c r="T49" s="3159"/>
    </row>
    <row r="50" spans="1:23" s="300" customFormat="1" ht="15.75" customHeight="1">
      <c r="A50" s="325"/>
      <c r="B50" s="3212" t="s">
        <v>803</v>
      </c>
      <c r="C50" s="3213"/>
      <c r="D50" s="3273"/>
      <c r="E50" s="3214" t="s">
        <v>5242</v>
      </c>
      <c r="F50" s="3215"/>
      <c r="G50" s="3215"/>
      <c r="H50" s="3216"/>
      <c r="I50" s="3236">
        <v>7644769.8721436234</v>
      </c>
      <c r="J50" s="3236"/>
      <c r="L50" s="3276">
        <f>'Part IV-A-Uses of Funds'!$J$175*10*'Part IV-A-Uses of Funds'!$Q$168</f>
        <v>7644766.5</v>
      </c>
      <c r="M50" s="3276"/>
      <c r="N50" s="3277">
        <f>I50-L50</f>
        <v>3.372143623419106</v>
      </c>
      <c r="O50" s="3277"/>
      <c r="P50" s="460">
        <f>I49/I59</f>
        <v>0.35622861209466294</v>
      </c>
      <c r="Q50" s="425"/>
      <c r="S50" s="3158"/>
      <c r="T50" s="3159"/>
    </row>
    <row r="51" spans="1:23" s="300" customFormat="1" ht="15.75" customHeight="1">
      <c r="A51" s="325"/>
      <c r="B51" s="3212" t="s">
        <v>1410</v>
      </c>
      <c r="C51" s="3213"/>
      <c r="D51" s="3273"/>
      <c r="E51" s="3214"/>
      <c r="F51" s="3215"/>
      <c r="G51" s="3215"/>
      <c r="H51" s="3216"/>
      <c r="I51" s="3236"/>
      <c r="J51" s="3236"/>
      <c r="P51" s="460">
        <f>I50/I59</f>
        <v>0.23379840652777534</v>
      </c>
      <c r="Q51" s="425"/>
      <c r="S51" s="3160"/>
      <c r="T51" s="3161"/>
    </row>
    <row r="52" spans="1:23" s="300" customFormat="1" ht="15.75" customHeight="1">
      <c r="A52" s="325"/>
      <c r="B52" s="1237" t="s">
        <v>531</v>
      </c>
      <c r="C52" s="1238"/>
      <c r="D52" s="1242"/>
      <c r="E52" s="3214"/>
      <c r="F52" s="3215"/>
      <c r="G52" s="3215"/>
      <c r="H52" s="3216"/>
      <c r="I52" s="3236"/>
      <c r="J52" s="3236"/>
      <c r="K52" s="325"/>
      <c r="P52" s="461">
        <f>SUM(P50:P51)</f>
        <v>0.59002701862243834</v>
      </c>
      <c r="Q52" s="425"/>
      <c r="S52" s="3158"/>
      <c r="T52" s="3159"/>
    </row>
    <row r="53" spans="1:23" s="300" customFormat="1" ht="15.75" customHeight="1">
      <c r="A53" s="325"/>
      <c r="B53" s="1237" t="s">
        <v>1868</v>
      </c>
      <c r="C53" s="1238"/>
      <c r="D53" s="1242"/>
      <c r="E53" s="3214"/>
      <c r="F53" s="3215"/>
      <c r="G53" s="3215"/>
      <c r="H53" s="3216"/>
      <c r="I53" s="3236"/>
      <c r="J53" s="3236"/>
      <c r="N53" s="426"/>
      <c r="O53" s="426"/>
      <c r="P53" s="426"/>
      <c r="Q53" s="425"/>
      <c r="S53" s="3158"/>
      <c r="T53" s="3159"/>
    </row>
    <row r="54" spans="1:23" s="300" customFormat="1" ht="15.75" customHeight="1">
      <c r="A54" s="325"/>
      <c r="B54" s="1237" t="s">
        <v>1869</v>
      </c>
      <c r="C54" s="1238"/>
      <c r="D54" s="1242"/>
      <c r="E54" s="3214"/>
      <c r="F54" s="3215"/>
      <c r="G54" s="3215"/>
      <c r="H54" s="3216"/>
      <c r="I54" s="3236"/>
      <c r="J54" s="3236"/>
      <c r="M54" s="426"/>
      <c r="N54" s="426"/>
      <c r="O54" s="426"/>
      <c r="P54" s="426"/>
      <c r="Q54" s="425"/>
      <c r="S54" s="3158"/>
      <c r="T54" s="3159"/>
    </row>
    <row r="55" spans="1:23" s="300" customFormat="1" ht="15.75" customHeight="1">
      <c r="A55" s="325"/>
      <c r="B55" s="1237" t="s">
        <v>741</v>
      </c>
      <c r="C55" s="3227"/>
      <c r="D55" s="3227"/>
      <c r="E55" s="3214"/>
      <c r="F55" s="3215"/>
      <c r="G55" s="3215"/>
      <c r="H55" s="3216"/>
      <c r="I55" s="3236"/>
      <c r="J55" s="3236"/>
      <c r="M55" s="426"/>
      <c r="N55" s="426"/>
      <c r="O55" s="426"/>
      <c r="P55" s="426"/>
      <c r="Q55" s="425"/>
      <c r="S55" s="3158"/>
      <c r="T55" s="3159"/>
    </row>
    <row r="56" spans="1:23" s="300" customFormat="1" ht="15.75" customHeight="1">
      <c r="A56" s="325"/>
      <c r="B56" s="1237" t="s">
        <v>741</v>
      </c>
      <c r="C56" s="3228"/>
      <c r="D56" s="3228"/>
      <c r="E56" s="3214"/>
      <c r="F56" s="3215"/>
      <c r="G56" s="3215"/>
      <c r="H56" s="3216"/>
      <c r="I56" s="3236"/>
      <c r="J56" s="3236"/>
      <c r="K56" s="325"/>
      <c r="L56" s="427"/>
      <c r="M56" s="426"/>
      <c r="N56" s="426"/>
      <c r="O56" s="426"/>
      <c r="P56" s="426"/>
      <c r="Q56" s="425"/>
      <c r="S56" s="3158"/>
      <c r="T56" s="3159"/>
    </row>
    <row r="57" spans="1:23" s="300" customFormat="1" ht="15.75" customHeight="1">
      <c r="A57" s="325"/>
      <c r="B57" s="1244" t="s">
        <v>741</v>
      </c>
      <c r="C57" s="3229"/>
      <c r="D57" s="3229"/>
      <c r="E57" s="3192"/>
      <c r="F57" s="3193"/>
      <c r="G57" s="3193"/>
      <c r="H57" s="3194"/>
      <c r="I57" s="3279"/>
      <c r="J57" s="3279"/>
      <c r="K57" s="325"/>
      <c r="L57" s="427"/>
      <c r="M57" s="426"/>
      <c r="N57" s="426"/>
      <c r="O57" s="426"/>
      <c r="P57" s="426"/>
      <c r="Q57" s="425"/>
      <c r="S57" s="3158"/>
      <c r="T57" s="3159"/>
    </row>
    <row r="58" spans="1:23" s="300" customFormat="1" ht="14.25" customHeight="1">
      <c r="A58" s="325"/>
      <c r="B58" s="1228" t="s">
        <v>2215</v>
      </c>
      <c r="C58" s="325"/>
      <c r="D58" s="325"/>
      <c r="E58" s="325"/>
      <c r="F58" s="325"/>
      <c r="G58" s="325"/>
      <c r="I58" s="3280">
        <f>SUM(I38:J43)+SUM(I47:J57)</f>
        <v>32698126.093334343</v>
      </c>
      <c r="J58" s="3281"/>
      <c r="K58" s="325"/>
      <c r="L58" s="427"/>
      <c r="M58" s="426"/>
      <c r="N58" s="426"/>
      <c r="O58" s="426"/>
      <c r="P58" s="426"/>
      <c r="Q58" s="425"/>
      <c r="S58" s="3158"/>
      <c r="T58" s="3159"/>
    </row>
    <row r="59" spans="1:23" s="300" customFormat="1" ht="14.25" customHeight="1" thickBot="1">
      <c r="A59" s="325"/>
      <c r="B59" s="1228" t="s">
        <v>2216</v>
      </c>
      <c r="C59" s="325"/>
      <c r="D59" s="325"/>
      <c r="E59" s="325"/>
      <c r="F59" s="325"/>
      <c r="G59" s="325"/>
      <c r="I59" s="3282">
        <f>'Part IV-A-Uses of Funds'!$G$132</f>
        <v>32698126.5</v>
      </c>
      <c r="J59" s="3283"/>
      <c r="K59" s="325"/>
      <c r="L59" s="427"/>
      <c r="M59" s="426"/>
      <c r="N59" s="426"/>
      <c r="O59" s="426"/>
      <c r="P59" s="426"/>
      <c r="Q59" s="425"/>
      <c r="S59" s="3158"/>
      <c r="T59" s="3159"/>
    </row>
    <row r="60" spans="1:23" s="300" customFormat="1" ht="14.25" customHeight="1" thickBot="1">
      <c r="A60" s="325"/>
      <c r="B60" s="330" t="s">
        <v>1525</v>
      </c>
      <c r="C60" s="325"/>
      <c r="D60" s="325"/>
      <c r="E60" s="325"/>
      <c r="F60" s="325"/>
      <c r="G60" s="325"/>
      <c r="I60" s="3284">
        <f>I58-I59</f>
        <v>-0.40666565671563148</v>
      </c>
      <c r="J60" s="3285"/>
      <c r="K60" s="325"/>
      <c r="L60" s="427"/>
      <c r="M60" s="426"/>
      <c r="N60" s="426"/>
      <c r="O60" s="426"/>
      <c r="P60" s="426"/>
      <c r="Q60" s="425"/>
      <c r="S60" s="3160"/>
      <c r="T60" s="3161"/>
    </row>
    <row r="61" spans="1:23" s="300" customFormat="1" ht="13.35" customHeight="1">
      <c r="A61" s="325" t="s">
        <v>3467</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287" t="s">
        <v>5304</v>
      </c>
      <c r="B64" s="3287"/>
      <c r="C64" s="3287"/>
      <c r="D64" s="3287"/>
      <c r="E64" s="3287"/>
      <c r="F64" s="3287"/>
      <c r="G64" s="3287"/>
      <c r="H64" s="3287"/>
      <c r="I64" s="3287"/>
      <c r="J64" s="3287"/>
      <c r="K64" s="3287"/>
      <c r="L64" s="3287"/>
      <c r="M64" s="3286"/>
      <c r="N64" s="3286"/>
      <c r="O64" s="3286"/>
      <c r="P64" s="3286"/>
      <c r="Q64" s="3286"/>
      <c r="S64" s="3278" t="s">
        <v>2692</v>
      </c>
      <c r="T64" s="3278"/>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9"/>
    </row>
    <row r="78" spans="1:23" s="300" customFormat="1" ht="14.45" customHeight="1">
      <c r="A78" s="2599"/>
    </row>
    <row r="79" spans="1:23" s="300" customFormat="1" ht="14.45" customHeight="1">
      <c r="A79" s="2600"/>
    </row>
    <row r="80" spans="1:23" s="300" customFormat="1" ht="14.45" customHeight="1">
      <c r="A80" s="2601"/>
    </row>
    <row r="81" spans="1:1" s="300" customFormat="1" ht="14.45" customHeight="1">
      <c r="A81" s="2599"/>
    </row>
    <row r="82" spans="1:1" s="300" customFormat="1" ht="14.45" customHeight="1">
      <c r="A82" s="2599"/>
    </row>
    <row r="83" spans="1:1" s="300" customFormat="1" ht="14.45" customHeight="1">
      <c r="A83" s="2600"/>
    </row>
    <row r="84" spans="1:1" s="300" customFormat="1" ht="14.45" customHeight="1">
      <c r="A84" s="2601"/>
    </row>
    <row r="85" spans="1:1" s="300" customFormat="1" ht="14.45" customHeight="1">
      <c r="A85" s="2599"/>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E8 B5:B14 E9:E10">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96" t="e">
        <f>CONCATENATE("PART III B: USD 538 LOAN","  -  ",#REF!," ",#REF!,", ",#REF!,", ",#REF!," County")</f>
        <v>#REF!</v>
      </c>
      <c r="B1" s="3297"/>
      <c r="C1" s="3297"/>
      <c r="D1" s="3297"/>
      <c r="E1" s="3297"/>
      <c r="F1" s="3298"/>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89" t="s">
        <v>218</v>
      </c>
      <c r="B3" s="3289"/>
      <c r="C3" s="3289"/>
      <c r="D3" s="3289"/>
      <c r="E3" s="3289"/>
      <c r="F3" s="3289"/>
      <c r="G3" s="214"/>
      <c r="H3" s="214"/>
    </row>
    <row r="4" spans="1:17" s="202" customFormat="1" ht="6" customHeight="1"/>
    <row r="5" spans="1:17">
      <c r="A5" s="33" t="s">
        <v>2254</v>
      </c>
      <c r="B5" s="33"/>
      <c r="C5" s="288"/>
      <c r="D5" s="289">
        <f>IF(C5&gt;1500000,1500000,0)</f>
        <v>0</v>
      </c>
      <c r="E5" s="290">
        <f>IF(C5&gt;1500000,C5-1500000,0)</f>
        <v>0</v>
      </c>
    </row>
    <row r="6" spans="1:17">
      <c r="A6" s="33" t="s">
        <v>2462</v>
      </c>
      <c r="B6" s="236" t="s">
        <v>505</v>
      </c>
      <c r="C6" s="291">
        <v>0</v>
      </c>
      <c r="D6" s="121" t="s">
        <v>506</v>
      </c>
      <c r="E6" s="33"/>
    </row>
    <row r="7" spans="1:17">
      <c r="A7" s="33"/>
      <c r="B7" s="236" t="s">
        <v>2478</v>
      </c>
      <c r="C7" s="292"/>
      <c r="D7" s="121" t="s">
        <v>1663</v>
      </c>
      <c r="E7" s="33"/>
    </row>
    <row r="8" spans="1:17" ht="13.35" customHeight="1">
      <c r="A8" s="33" t="s">
        <v>2466</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0" t="s">
        <v>128</v>
      </c>
      <c r="B14" s="3290"/>
      <c r="C14" s="3290"/>
      <c r="D14" s="3290"/>
      <c r="E14" s="3290"/>
      <c r="F14" s="3290"/>
      <c r="G14" s="214"/>
      <c r="H14" s="214"/>
    </row>
    <row r="15" spans="1:17" ht="5.45" customHeight="1">
      <c r="A15" s="28"/>
      <c r="E15" s="225"/>
      <c r="F15" s="214"/>
      <c r="G15" s="214"/>
      <c r="H15" s="214"/>
    </row>
    <row r="16" spans="1:17" ht="13.35" customHeight="1">
      <c r="A16" s="227" t="s">
        <v>2479</v>
      </c>
      <c r="B16" s="228" t="s">
        <v>2476</v>
      </c>
      <c r="C16" s="228" t="s">
        <v>2477</v>
      </c>
      <c r="D16" s="3299" t="s">
        <v>2253</v>
      </c>
      <c r="E16" s="3299"/>
      <c r="F16" s="214"/>
      <c r="G16" s="214"/>
      <c r="H16" s="214"/>
    </row>
    <row r="17" spans="1:8" ht="12.6" customHeight="1">
      <c r="A17" s="82">
        <v>1</v>
      </c>
      <c r="B17" s="203">
        <f>IF(A17&gt;$C$9,0,SUM(C64:C75)*($C$6/$C$7))</f>
        <v>0</v>
      </c>
      <c r="C17" s="226">
        <f>IF(A17&gt;C9,0,(E63+K63)*$C$8)</f>
        <v>0</v>
      </c>
      <c r="D17" s="3294">
        <f t="shared" ref="D17:D56" si="0">IF(A17&gt;$C$9,0,$C$11+C17)</f>
        <v>0</v>
      </c>
      <c r="E17" s="3294"/>
      <c r="F17" s="214"/>
      <c r="G17" s="214"/>
      <c r="H17" s="214"/>
    </row>
    <row r="18" spans="1:8" ht="12.6" customHeight="1">
      <c r="A18" s="82">
        <v>2</v>
      </c>
      <c r="B18" s="203">
        <f>IF(A18&gt;C9,0,SUM(C76:C87)*($C$6/$C$7))</f>
        <v>0</v>
      </c>
      <c r="C18" s="233">
        <f>IF(A18&gt;C9,0,(E75+K75)*$C$8)</f>
        <v>0</v>
      </c>
      <c r="D18" s="3292">
        <f t="shared" si="0"/>
        <v>0</v>
      </c>
      <c r="E18" s="3292"/>
      <c r="F18" s="214"/>
      <c r="G18" s="214"/>
      <c r="H18" s="214"/>
    </row>
    <row r="19" spans="1:8" ht="12.6" customHeight="1">
      <c r="A19" s="82">
        <v>3</v>
      </c>
      <c r="B19" s="203">
        <f>IF(A19&gt;C9,0,SUM(C88:C99)*($C$6/$C$7))</f>
        <v>0</v>
      </c>
      <c r="C19" s="226">
        <f>IF(A19&gt;C9,0,(E87+K87)*$C$8)</f>
        <v>0</v>
      </c>
      <c r="D19" s="3292">
        <f t="shared" si="0"/>
        <v>0</v>
      </c>
      <c r="E19" s="3292"/>
      <c r="F19" s="214"/>
      <c r="G19" s="214"/>
      <c r="H19" s="214"/>
    </row>
    <row r="20" spans="1:8" ht="12.6" customHeight="1">
      <c r="A20" s="82">
        <v>4</v>
      </c>
      <c r="B20" s="203">
        <f>IF(A20&gt;C9,0,SUM(C100:C111)*($C$6/$C$7))</f>
        <v>0</v>
      </c>
      <c r="C20" s="226">
        <f>IF(A20&gt;C9,0,(E99+K99)*$C$8)</f>
        <v>0</v>
      </c>
      <c r="D20" s="3292">
        <f t="shared" si="0"/>
        <v>0</v>
      </c>
      <c r="E20" s="3292"/>
      <c r="F20" s="214"/>
      <c r="G20" s="214"/>
      <c r="H20" s="214"/>
    </row>
    <row r="21" spans="1:8" ht="12.6" customHeight="1">
      <c r="A21" s="82">
        <v>5</v>
      </c>
      <c r="B21" s="203">
        <f>IF(A21&gt;C9,0,SUM(C112:C123)*($C$6/$C$7))</f>
        <v>0</v>
      </c>
      <c r="C21" s="226">
        <f>IF(A21&gt;C9,0,(E111+K111)*$C$8)</f>
        <v>0</v>
      </c>
      <c r="D21" s="3293">
        <f t="shared" si="0"/>
        <v>0</v>
      </c>
      <c r="E21" s="3293"/>
      <c r="F21" s="214"/>
      <c r="G21" s="214"/>
      <c r="H21" s="214"/>
    </row>
    <row r="22" spans="1:8" ht="12.6" customHeight="1">
      <c r="A22" s="204">
        <v>6</v>
      </c>
      <c r="B22" s="205">
        <f>IF(A22&gt;C9,0,SUM(C124:C135)*($C$6/$C$7))</f>
        <v>0</v>
      </c>
      <c r="C22" s="230">
        <f>IF(A22&gt;C9,0,(E123+K123)*$C$8)</f>
        <v>0</v>
      </c>
      <c r="D22" s="3292">
        <f t="shared" si="0"/>
        <v>0</v>
      </c>
      <c r="E22" s="3292"/>
      <c r="F22" s="214"/>
      <c r="G22" s="214"/>
      <c r="H22" s="214"/>
    </row>
    <row r="23" spans="1:8" ht="12.6" customHeight="1">
      <c r="A23" s="206">
        <v>7</v>
      </c>
      <c r="B23" s="207">
        <f>IF(A23&gt;C9,0,SUM(C136:C147)*($C$6/$C$7))</f>
        <v>0</v>
      </c>
      <c r="C23" s="208">
        <f>IF(A23&gt;C9,0,(E135+K135)*$C$8)</f>
        <v>0</v>
      </c>
      <c r="D23" s="3292">
        <f t="shared" si="0"/>
        <v>0</v>
      </c>
      <c r="E23" s="3292"/>
      <c r="F23" s="214"/>
      <c r="G23" s="214"/>
      <c r="H23" s="214"/>
    </row>
    <row r="24" spans="1:8" ht="12.6" customHeight="1">
      <c r="A24" s="206">
        <v>8</v>
      </c>
      <c r="B24" s="207">
        <f>IF(A24&gt;C9,0,SUM(C148:C159)*($C$6/$C$7))</f>
        <v>0</v>
      </c>
      <c r="C24" s="208">
        <f>IF(A24&gt;C9,0,(E147+K147)*$C$8)</f>
        <v>0</v>
      </c>
      <c r="D24" s="3292">
        <f t="shared" si="0"/>
        <v>0</v>
      </c>
      <c r="E24" s="3292"/>
      <c r="F24" s="214"/>
      <c r="G24" s="214"/>
      <c r="H24" s="214"/>
    </row>
    <row r="25" spans="1:8" ht="12.6" customHeight="1">
      <c r="A25" s="206">
        <v>9</v>
      </c>
      <c r="B25" s="207">
        <f>IF(A25&gt;C9,0,SUM(C160:C171)*($C$6/$C$7))</f>
        <v>0</v>
      </c>
      <c r="C25" s="208">
        <f>IF(A25&gt;C9,0,(E159+K159)*$C$8)</f>
        <v>0</v>
      </c>
      <c r="D25" s="3292">
        <f t="shared" si="0"/>
        <v>0</v>
      </c>
      <c r="E25" s="3292"/>
      <c r="F25" s="214"/>
      <c r="G25" s="214"/>
      <c r="H25" s="214"/>
    </row>
    <row r="26" spans="1:8" ht="12.6" customHeight="1">
      <c r="A26" s="209">
        <v>10</v>
      </c>
      <c r="B26" s="210">
        <f>IF(A26&gt;C9,0,SUM(C172:C183)*($C$6/$C$7))</f>
        <v>0</v>
      </c>
      <c r="C26" s="229">
        <f>IF(A26&gt;C9,0,(E171+K171)*$C$8)</f>
        <v>0</v>
      </c>
      <c r="D26" s="3293">
        <f t="shared" si="0"/>
        <v>0</v>
      </c>
      <c r="E26" s="3293"/>
      <c r="F26" s="214"/>
      <c r="G26" s="214"/>
      <c r="H26" s="214"/>
    </row>
    <row r="27" spans="1:8" ht="12.6" customHeight="1">
      <c r="A27" s="211">
        <v>11</v>
      </c>
      <c r="B27" s="203">
        <f>IF(A27&gt;C9,0,SUM(C184:C195)*($C$6/$C$7))</f>
        <v>0</v>
      </c>
      <c r="C27" s="226">
        <f>IF(A27&gt;C9,0,(E183+K183)*$C$8)</f>
        <v>0</v>
      </c>
      <c r="D27" s="3292">
        <f t="shared" si="0"/>
        <v>0</v>
      </c>
      <c r="E27" s="3292"/>
      <c r="F27" s="214"/>
      <c r="G27" s="214"/>
      <c r="H27" s="214"/>
    </row>
    <row r="28" spans="1:8" ht="12.6" customHeight="1">
      <c r="A28" s="211">
        <v>12</v>
      </c>
      <c r="B28" s="203">
        <f>IF(A28&gt;C9,0,SUM(C196:C207)*($C$6/$C$7))</f>
        <v>0</v>
      </c>
      <c r="C28" s="226">
        <f>IF(A28&gt;C9,0,(E195+K195)*$C$8)</f>
        <v>0</v>
      </c>
      <c r="D28" s="3292">
        <f t="shared" si="0"/>
        <v>0</v>
      </c>
      <c r="E28" s="3292"/>
      <c r="F28" s="214"/>
      <c r="G28" s="214"/>
      <c r="H28" s="214"/>
    </row>
    <row r="29" spans="1:8" ht="12.6" customHeight="1">
      <c r="A29" s="211">
        <v>13</v>
      </c>
      <c r="B29" s="203">
        <f>IF(A29&gt;C9,0,SUM(C208:C219)*($C$6/$C$7))</f>
        <v>0</v>
      </c>
      <c r="C29" s="226">
        <f>IF(A29&gt;C9,0,(E207+K207)*$C$8)</f>
        <v>0</v>
      </c>
      <c r="D29" s="3292">
        <f t="shared" si="0"/>
        <v>0</v>
      </c>
      <c r="E29" s="3292"/>
      <c r="F29" s="214"/>
      <c r="G29" s="214"/>
      <c r="H29" s="214"/>
    </row>
    <row r="30" spans="1:8" ht="12.6" customHeight="1">
      <c r="A30" s="211">
        <v>14</v>
      </c>
      <c r="B30" s="203">
        <f>IF(A30&gt;C9,0,SUM(C220:C231)*($C$6/$C$7))</f>
        <v>0</v>
      </c>
      <c r="C30" s="226">
        <f>IF(A30&gt;C9,0,(E219+K219)*$C$8)</f>
        <v>0</v>
      </c>
      <c r="D30" s="3292">
        <f t="shared" si="0"/>
        <v>0</v>
      </c>
      <c r="E30" s="3292"/>
      <c r="F30" s="214"/>
      <c r="G30" s="214"/>
      <c r="H30" s="214"/>
    </row>
    <row r="31" spans="1:8" ht="12.6" customHeight="1">
      <c r="A31" s="211">
        <v>15</v>
      </c>
      <c r="B31" s="203">
        <f>IF(A31&gt;C9,0,SUM(C232:C243)*($C$6/$C$7))</f>
        <v>0</v>
      </c>
      <c r="C31" s="226">
        <f>IF(A31&gt;C9,0,(E231+K231)*$C$8)</f>
        <v>0</v>
      </c>
      <c r="D31" s="3293">
        <f t="shared" si="0"/>
        <v>0</v>
      </c>
      <c r="E31" s="3293"/>
      <c r="F31" s="214"/>
      <c r="G31" s="214"/>
      <c r="H31" s="214"/>
    </row>
    <row r="32" spans="1:8" ht="12.6" customHeight="1">
      <c r="A32" s="213">
        <v>16</v>
      </c>
      <c r="B32" s="205">
        <f>IF(A32&gt;C9,0,SUM(C244:C255)*($C$6/$C$7))</f>
        <v>0</v>
      </c>
      <c r="C32" s="230">
        <f>IF(A32&gt;C9,0,(E243+K243)*$C$8)</f>
        <v>0</v>
      </c>
      <c r="D32" s="3292">
        <f t="shared" si="0"/>
        <v>0</v>
      </c>
      <c r="E32" s="3292"/>
      <c r="F32" s="214"/>
      <c r="G32" s="214"/>
      <c r="H32" s="214"/>
    </row>
    <row r="33" spans="1:8" ht="12.6" customHeight="1">
      <c r="A33" s="206">
        <v>17</v>
      </c>
      <c r="B33" s="207">
        <f>IF(A33&gt;C9,0,SUM(C256:C267)*($C$6/$C$7))</f>
        <v>0</v>
      </c>
      <c r="C33" s="208">
        <f>IF(A33&gt;C9,0,(E255+K255)*$C$8)</f>
        <v>0</v>
      </c>
      <c r="D33" s="3292">
        <f t="shared" si="0"/>
        <v>0</v>
      </c>
      <c r="E33" s="3292"/>
      <c r="F33" s="214"/>
      <c r="G33" s="214"/>
      <c r="H33" s="214"/>
    </row>
    <row r="34" spans="1:8" ht="12.6" customHeight="1">
      <c r="A34" s="206">
        <v>18</v>
      </c>
      <c r="B34" s="207">
        <f>IF(A34&gt;C9,0,SUM(C268:C279)*($C$6/$C$7))</f>
        <v>0</v>
      </c>
      <c r="C34" s="208">
        <f>IF(A34&gt;C9,0,(E267+K267)*$C$8)</f>
        <v>0</v>
      </c>
      <c r="D34" s="3292">
        <f t="shared" si="0"/>
        <v>0</v>
      </c>
      <c r="E34" s="3292"/>
      <c r="F34" s="214"/>
      <c r="G34" s="214"/>
      <c r="H34" s="214"/>
    </row>
    <row r="35" spans="1:8" ht="12.6" customHeight="1">
      <c r="A35" s="206">
        <v>19</v>
      </c>
      <c r="B35" s="207">
        <f>IF(A35&gt;C9,0,SUM(C280:C291)*($C$6/$C$7))</f>
        <v>0</v>
      </c>
      <c r="C35" s="208">
        <f>IF(A35&gt;C9,0,(E279+K279)*$C$8)</f>
        <v>0</v>
      </c>
      <c r="D35" s="3292">
        <f t="shared" si="0"/>
        <v>0</v>
      </c>
      <c r="E35" s="3292"/>
      <c r="F35" s="214"/>
      <c r="G35" s="214"/>
      <c r="H35" s="214"/>
    </row>
    <row r="36" spans="1:8" ht="12.6" customHeight="1">
      <c r="A36" s="209">
        <v>20</v>
      </c>
      <c r="B36" s="210">
        <f>IF(A36&gt;C9,0,SUM(C292:C303)*($C$6/$C$7))</f>
        <v>0</v>
      </c>
      <c r="C36" s="229">
        <f>IF(A36&gt;C9,0,(E291+K291)*$C$8)</f>
        <v>0</v>
      </c>
      <c r="D36" s="3293">
        <f t="shared" si="0"/>
        <v>0</v>
      </c>
      <c r="E36" s="3293"/>
      <c r="F36" s="214"/>
      <c r="G36" s="214"/>
      <c r="H36" s="214"/>
    </row>
    <row r="37" spans="1:8" ht="12.6" customHeight="1">
      <c r="A37" s="82">
        <v>21</v>
      </c>
      <c r="B37" s="205">
        <f>IF(A37&gt;C9,0,SUM(C293:C304)*($C$6/$C$7))</f>
        <v>0</v>
      </c>
      <c r="C37" s="230">
        <f>IF(A37&gt;C9,0,(E303+K303)*$C$8)</f>
        <v>0</v>
      </c>
      <c r="D37" s="3295">
        <f t="shared" si="0"/>
        <v>0</v>
      </c>
      <c r="E37" s="3295"/>
      <c r="F37" s="214"/>
      <c r="G37" s="214"/>
      <c r="H37" s="214"/>
    </row>
    <row r="38" spans="1:8" ht="12.6" customHeight="1">
      <c r="A38" s="82">
        <v>22</v>
      </c>
      <c r="B38" s="207">
        <f>IF(A38&gt;C9,0,SUM(C294:C305)*($C$6/$C$7))</f>
        <v>0</v>
      </c>
      <c r="C38" s="208">
        <f>IF(A38&gt;C9,0,(E315+K315)*$C$8)</f>
        <v>0</v>
      </c>
      <c r="D38" s="3292">
        <f t="shared" si="0"/>
        <v>0</v>
      </c>
      <c r="E38" s="3292"/>
      <c r="F38" s="214"/>
      <c r="G38" s="214"/>
      <c r="H38" s="214"/>
    </row>
    <row r="39" spans="1:8" ht="12.6" customHeight="1">
      <c r="A39" s="82">
        <v>23</v>
      </c>
      <c r="B39" s="207">
        <f>IF(A39&gt;C9,0,SUM(C295:C306)*($C$6/$C$7))</f>
        <v>0</v>
      </c>
      <c r="C39" s="208">
        <f>IF(A39&gt;C9,0,(E327+K327)*$C$8)</f>
        <v>0</v>
      </c>
      <c r="D39" s="3292">
        <f t="shared" si="0"/>
        <v>0</v>
      </c>
      <c r="E39" s="3292"/>
      <c r="F39" s="214"/>
      <c r="G39" s="214"/>
      <c r="H39" s="214"/>
    </row>
    <row r="40" spans="1:8" ht="12.6" customHeight="1">
      <c r="A40" s="82">
        <v>24</v>
      </c>
      <c r="B40" s="207">
        <f>IF(A40&gt;C9,0,SUM(C296:C307)*($C$6/$C$7))</f>
        <v>0</v>
      </c>
      <c r="C40" s="208">
        <f>IF(A40&gt;C9,0,(E339+K339)*$C$8)</f>
        <v>0</v>
      </c>
      <c r="D40" s="3292">
        <f t="shared" si="0"/>
        <v>0</v>
      </c>
      <c r="E40" s="3292"/>
      <c r="F40" s="214"/>
      <c r="G40" s="214"/>
      <c r="H40" s="214"/>
    </row>
    <row r="41" spans="1:8" ht="12.6" customHeight="1">
      <c r="A41" s="82">
        <v>25</v>
      </c>
      <c r="B41" s="210">
        <f>IF(A41&gt;C9,0,SUM(C297:C308)*($C$6/$C$7))</f>
        <v>0</v>
      </c>
      <c r="C41" s="229">
        <f>IF(A41&gt;C9,0,(E351+K351)*$C$8)</f>
        <v>0</v>
      </c>
      <c r="D41" s="3293">
        <f t="shared" si="0"/>
        <v>0</v>
      </c>
      <c r="E41" s="3293"/>
      <c r="F41" s="214"/>
      <c r="G41" s="214"/>
      <c r="H41" s="214"/>
    </row>
    <row r="42" spans="1:8" ht="12.6" customHeight="1">
      <c r="A42" s="204">
        <v>26</v>
      </c>
      <c r="B42" s="205">
        <f>IF(A42&gt;C9,0,SUM(C298:C309)*($C$6/$C$7))</f>
        <v>0</v>
      </c>
      <c r="C42" s="230">
        <f>IF(A42&gt;C9,0,(E363+K363)*$C$8)</f>
        <v>0</v>
      </c>
      <c r="D42" s="3295">
        <f t="shared" si="0"/>
        <v>0</v>
      </c>
      <c r="E42" s="3295"/>
      <c r="F42" s="214"/>
      <c r="G42" s="214"/>
      <c r="H42" s="214"/>
    </row>
    <row r="43" spans="1:8" ht="12.6" customHeight="1">
      <c r="A43" s="206">
        <v>27</v>
      </c>
      <c r="B43" s="207">
        <f>IF(A43&gt;C9,0,SUM(C299:C310)*($C$6/$C$7))</f>
        <v>0</v>
      </c>
      <c r="C43" s="208">
        <f>IF(A43&gt;C9,0,(E375+K375)*$C$8)</f>
        <v>0</v>
      </c>
      <c r="D43" s="3292">
        <f t="shared" si="0"/>
        <v>0</v>
      </c>
      <c r="E43" s="3292"/>
      <c r="F43" s="214"/>
      <c r="G43" s="214"/>
      <c r="H43" s="214"/>
    </row>
    <row r="44" spans="1:8" ht="12.6" customHeight="1">
      <c r="A44" s="206">
        <v>28</v>
      </c>
      <c r="B44" s="207">
        <f>IF(A44&gt;C9,0,SUM(C300:C311)*($C$6/$C$7))</f>
        <v>0</v>
      </c>
      <c r="C44" s="208">
        <f>IF(A44&gt;C9,0,(E387+K387)*$C$8)</f>
        <v>0</v>
      </c>
      <c r="D44" s="3292">
        <f t="shared" si="0"/>
        <v>0</v>
      </c>
      <c r="E44" s="3292"/>
      <c r="F44" s="214"/>
      <c r="G44" s="214"/>
      <c r="H44" s="214"/>
    </row>
    <row r="45" spans="1:8" ht="12.6" customHeight="1">
      <c r="A45" s="206">
        <v>29</v>
      </c>
      <c r="B45" s="207">
        <f>IF(A45&gt;C9,0,SUM(C301:C312)*($C$6/$C$7))</f>
        <v>0</v>
      </c>
      <c r="C45" s="208">
        <f>IF(A45&gt;C9,0,(E411+K411)*$C$8)</f>
        <v>0</v>
      </c>
      <c r="D45" s="3292">
        <f t="shared" si="0"/>
        <v>0</v>
      </c>
      <c r="E45" s="3292"/>
      <c r="F45" s="214"/>
      <c r="G45" s="214"/>
      <c r="H45" s="214"/>
    </row>
    <row r="46" spans="1:8" ht="12.6" customHeight="1">
      <c r="A46" s="209">
        <v>30</v>
      </c>
      <c r="B46" s="210">
        <f>IF(A46&gt;C9,0,SUM(C302:C313)*($C$6/$C$7))</f>
        <v>0</v>
      </c>
      <c r="C46" s="229">
        <f>IF(A46&gt;C9,0,(E423+K423)*$C$8)</f>
        <v>0</v>
      </c>
      <c r="D46" s="3293">
        <f t="shared" si="0"/>
        <v>0</v>
      </c>
      <c r="E46" s="3293"/>
      <c r="F46" s="214"/>
      <c r="G46" s="214"/>
      <c r="H46" s="214"/>
    </row>
    <row r="47" spans="1:8" ht="12.6" customHeight="1">
      <c r="A47" s="213">
        <v>31</v>
      </c>
      <c r="B47" s="205">
        <f>IF(A47&gt;C9,0,SUM(C303:C314)*($C$6/$C$7))</f>
        <v>0</v>
      </c>
      <c r="C47" s="230">
        <f>IF(A47&gt;C9,0,(E435+K435)*$C$8)</f>
        <v>0</v>
      </c>
      <c r="D47" s="3295">
        <f t="shared" si="0"/>
        <v>0</v>
      </c>
      <c r="E47" s="3295"/>
      <c r="F47" s="214"/>
      <c r="G47" s="214"/>
      <c r="H47" s="214"/>
    </row>
    <row r="48" spans="1:8" ht="12.6" customHeight="1">
      <c r="A48" s="206">
        <v>32</v>
      </c>
      <c r="B48" s="207">
        <f>IF(A48&gt;C9,0,SUM(C304:C315)*($C$6/$C$7))</f>
        <v>0</v>
      </c>
      <c r="C48" s="208">
        <f>IF(A48&gt;C9,0,(E447+K447)*$C$8)</f>
        <v>0</v>
      </c>
      <c r="D48" s="3292">
        <f t="shared" si="0"/>
        <v>0</v>
      </c>
      <c r="E48" s="3292"/>
      <c r="F48" s="214"/>
      <c r="G48" s="214"/>
      <c r="H48" s="214"/>
    </row>
    <row r="49" spans="1:12" ht="12.6" customHeight="1">
      <c r="A49" s="206">
        <v>33</v>
      </c>
      <c r="B49" s="207">
        <f>IF(A49&gt;C9,0,SUM(C305:C316)*($C$6/$C$7))</f>
        <v>0</v>
      </c>
      <c r="C49" s="208">
        <f>IF(A49&gt;C9,0,(E459+K459)*$C$8)</f>
        <v>0</v>
      </c>
      <c r="D49" s="3292">
        <f t="shared" si="0"/>
        <v>0</v>
      </c>
      <c r="E49" s="3292"/>
      <c r="F49" s="214"/>
      <c r="G49" s="214"/>
      <c r="H49" s="214"/>
    </row>
    <row r="50" spans="1:12" ht="12.6" customHeight="1">
      <c r="A50" s="206">
        <v>34</v>
      </c>
      <c r="B50" s="207">
        <f>IF(A50&gt;C9,0,SUM(C306:C317)*($C$6/$C$7))</f>
        <v>0</v>
      </c>
      <c r="C50" s="208">
        <f>IF(A50&gt;C9,0,(E471+K471)*$C$8)</f>
        <v>0</v>
      </c>
      <c r="D50" s="3292">
        <f t="shared" si="0"/>
        <v>0</v>
      </c>
      <c r="E50" s="3292"/>
      <c r="F50" s="214"/>
      <c r="G50" s="214"/>
      <c r="H50" s="214"/>
    </row>
    <row r="51" spans="1:12" ht="12.6" customHeight="1">
      <c r="A51" s="209">
        <v>35</v>
      </c>
      <c r="B51" s="210">
        <f>IF(A51&gt;C9,0,SUM(C307:C318)*($C$6/$C$7))</f>
        <v>0</v>
      </c>
      <c r="C51" s="229">
        <f>IF(A51&gt;C9,0,(E483+K483)*$C$8)</f>
        <v>0</v>
      </c>
      <c r="D51" s="3293">
        <f t="shared" si="0"/>
        <v>0</v>
      </c>
      <c r="E51" s="3293"/>
      <c r="F51" s="214"/>
      <c r="G51" s="214"/>
      <c r="H51" s="214"/>
    </row>
    <row r="52" spans="1:12" ht="12.6" customHeight="1">
      <c r="A52" s="213">
        <v>36</v>
      </c>
      <c r="B52" s="205">
        <f>IF(A52&gt;C9,0,SUM(C308:C319)*($C$6/$C$7))</f>
        <v>0</v>
      </c>
      <c r="C52" s="230">
        <f>IF(A52&gt;C9,0,(E495+K495)*$C$8)</f>
        <v>0</v>
      </c>
      <c r="D52" s="3295">
        <f t="shared" si="0"/>
        <v>0</v>
      </c>
      <c r="E52" s="3295"/>
      <c r="F52" s="214"/>
      <c r="G52" s="214"/>
      <c r="H52" s="214"/>
    </row>
    <row r="53" spans="1:12" ht="12.6" customHeight="1">
      <c r="A53" s="206">
        <v>37</v>
      </c>
      <c r="B53" s="207">
        <f>IF(A53&gt;C9,0,SUM(C309:C320)*($C$6/$C$7))</f>
        <v>0</v>
      </c>
      <c r="C53" s="208">
        <f>IF(A53&gt;C9,0,(E507+K507)*$C$8)</f>
        <v>0</v>
      </c>
      <c r="D53" s="3292">
        <f t="shared" si="0"/>
        <v>0</v>
      </c>
      <c r="E53" s="3292"/>
      <c r="F53" s="214"/>
      <c r="G53" s="214"/>
      <c r="H53" s="214"/>
    </row>
    <row r="54" spans="1:12" ht="12.6" customHeight="1">
      <c r="A54" s="206">
        <v>38</v>
      </c>
      <c r="B54" s="207">
        <f>IF(A54&gt;C9,0,SUM(C310:C321)*($C$6/$C$7))</f>
        <v>0</v>
      </c>
      <c r="C54" s="208">
        <f>IF(A54&gt;C9,0,(E519+K519)*$C$8)</f>
        <v>0</v>
      </c>
      <c r="D54" s="3292">
        <f t="shared" si="0"/>
        <v>0</v>
      </c>
      <c r="E54" s="3292"/>
      <c r="F54" s="214"/>
      <c r="G54" s="214"/>
      <c r="H54" s="214"/>
    </row>
    <row r="55" spans="1:12" ht="12.6" customHeight="1">
      <c r="A55" s="206">
        <v>39</v>
      </c>
      <c r="B55" s="207">
        <f>IF(A55&gt;C9,0,SUM(C311:C322)*($C$6/$C$7))</f>
        <v>0</v>
      </c>
      <c r="C55" s="208">
        <f>IF(A55&gt;C9,0,(E531+K531)*$C$8)</f>
        <v>0</v>
      </c>
      <c r="D55" s="3292">
        <f t="shared" si="0"/>
        <v>0</v>
      </c>
      <c r="E55" s="3292"/>
      <c r="F55" s="214"/>
      <c r="G55" s="214"/>
      <c r="H55" s="214"/>
    </row>
    <row r="56" spans="1:12" ht="12.6" customHeight="1">
      <c r="A56" s="209">
        <v>40</v>
      </c>
      <c r="B56" s="210">
        <f>IF(A56&gt;C9,0,SUM(C312:C323)*($C$6/$C$7))</f>
        <v>0</v>
      </c>
      <c r="C56" s="229">
        <f>IF(A56&gt;C9,0,(E543+K543)*$C$8)</f>
        <v>0</v>
      </c>
      <c r="D56" s="3293">
        <f t="shared" si="0"/>
        <v>0</v>
      </c>
      <c r="E56" s="3293"/>
      <c r="F56" s="214"/>
      <c r="G56" s="214"/>
      <c r="H56" s="214"/>
    </row>
    <row r="57" spans="1:12" ht="3" customHeight="1">
      <c r="A57" s="214"/>
      <c r="B57" s="214"/>
      <c r="C57" s="214"/>
      <c r="D57" s="214"/>
      <c r="E57" s="214"/>
      <c r="F57" s="214"/>
      <c r="G57" s="214"/>
      <c r="H57" s="214"/>
    </row>
    <row r="58" spans="1:12" ht="13.35" customHeight="1">
      <c r="A58" s="3291" t="e">
        <f>CONCATENATE(#REF!," ",#REF!,", ",#REF!,", ",#REF!," County")</f>
        <v>#REF!</v>
      </c>
      <c r="B58" s="3291"/>
      <c r="C58" s="3291"/>
      <c r="D58" s="3291"/>
      <c r="E58" s="3291"/>
      <c r="F58" s="3291"/>
      <c r="G58" s="3291" t="e">
        <f>CONCATENATE(#REF!," ",#REF!,", ",#REF!,", ",#REF!," County")</f>
        <v>#REF!</v>
      </c>
      <c r="H58" s="3291"/>
      <c r="I58" s="3291"/>
      <c r="J58" s="3291"/>
      <c r="K58" s="3291"/>
      <c r="L58" s="3291"/>
    </row>
    <row r="59" spans="1:12" ht="15">
      <c r="A59" s="3288" t="s">
        <v>2470</v>
      </c>
      <c r="B59" s="3288"/>
      <c r="C59" s="3288"/>
      <c r="D59" s="3288"/>
      <c r="E59" s="3288"/>
      <c r="F59" s="3288"/>
      <c r="G59" s="3288" t="s">
        <v>2470</v>
      </c>
      <c r="H59" s="3288"/>
      <c r="I59" s="3288"/>
      <c r="J59" s="3288"/>
      <c r="K59" s="3288"/>
      <c r="L59" s="3288"/>
    </row>
    <row r="60" spans="1:12" ht="6" customHeight="1">
      <c r="C60" s="212"/>
      <c r="D60" s="212"/>
      <c r="I60" s="212"/>
      <c r="J60" s="212"/>
    </row>
    <row r="61" spans="1:12">
      <c r="A61" s="215" t="s">
        <v>2471</v>
      </c>
      <c r="B61" s="216" t="s">
        <v>2472</v>
      </c>
      <c r="C61" s="216" t="s">
        <v>1294</v>
      </c>
      <c r="D61" s="216" t="s">
        <v>2473</v>
      </c>
      <c r="E61" s="215" t="s">
        <v>2474</v>
      </c>
      <c r="F61" s="248" t="s">
        <v>2479</v>
      </c>
      <c r="G61" s="215" t="s">
        <v>2471</v>
      </c>
      <c r="H61" s="216" t="s">
        <v>2472</v>
      </c>
      <c r="I61" s="216" t="s">
        <v>1294</v>
      </c>
      <c r="J61" s="216" t="s">
        <v>2473</v>
      </c>
      <c r="K61" s="215" t="s">
        <v>2474</v>
      </c>
      <c r="L61" s="248" t="s">
        <v>2479</v>
      </c>
    </row>
    <row r="62" spans="1:12" ht="3.6" customHeight="1">
      <c r="A62" s="218"/>
      <c r="B62" s="120"/>
      <c r="C62" s="120"/>
      <c r="D62" s="120"/>
      <c r="E62" s="120"/>
      <c r="F62" s="82"/>
      <c r="G62" s="218"/>
      <c r="H62" s="120"/>
      <c r="I62" s="120"/>
      <c r="J62" s="120"/>
      <c r="K62" s="120"/>
      <c r="L62" s="82"/>
    </row>
    <row r="63" spans="1:12">
      <c r="A63" s="219" t="s">
        <v>2475</v>
      </c>
      <c r="B63" s="220"/>
      <c r="C63" s="220"/>
      <c r="D63" s="220"/>
      <c r="E63" s="221">
        <f>IF($C$5&gt;1500000,$D$5,$C$5)</f>
        <v>0</v>
      </c>
      <c r="F63" s="82"/>
      <c r="G63" s="219" t="s">
        <v>2475</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96" t="e">
        <f>CONCATENATE("PART III C  - HUD INSURED LOAN","  -  ",#REF!," ",#REF!,", ",#REF!,", ",#REF!," County")</f>
        <v>#REF!</v>
      </c>
      <c r="B1" s="3297"/>
      <c r="C1" s="3297"/>
      <c r="D1" s="3297"/>
      <c r="E1" s="3297"/>
      <c r="F1" s="3298"/>
      <c r="G1" s="181"/>
      <c r="H1" s="181"/>
      <c r="I1" s="181"/>
      <c r="J1" s="181"/>
      <c r="K1" s="181"/>
      <c r="L1" s="181"/>
      <c r="M1" s="181"/>
      <c r="N1" s="181"/>
      <c r="O1" s="181"/>
      <c r="P1" s="181"/>
      <c r="Q1" s="181"/>
    </row>
    <row r="2" spans="1:17">
      <c r="A2" s="13"/>
      <c r="B2" s="202"/>
      <c r="C2" s="202"/>
      <c r="D2" s="202"/>
    </row>
    <row r="3" spans="1:17" ht="15.6" customHeight="1">
      <c r="A3" s="3289" t="s">
        <v>218</v>
      </c>
      <c r="B3" s="3289"/>
      <c r="C3" s="3289"/>
      <c r="D3" s="3289"/>
      <c r="E3" s="3289"/>
      <c r="F3" s="3289"/>
      <c r="G3" s="252"/>
      <c r="H3" s="252"/>
    </row>
    <row r="4" spans="1:17">
      <c r="A4" s="13"/>
      <c r="B4" s="202"/>
      <c r="C4" s="202"/>
      <c r="D4" s="202"/>
    </row>
    <row r="5" spans="1:17" ht="13.35" customHeight="1">
      <c r="A5" s="27" t="s">
        <v>2254</v>
      </c>
      <c r="D5" s="246"/>
      <c r="E5" s="3300" t="s">
        <v>956</v>
      </c>
      <c r="F5" s="3301"/>
      <c r="G5" s="164"/>
    </row>
    <row r="6" spans="1:17">
      <c r="E6" s="3301"/>
      <c r="F6" s="3301"/>
      <c r="G6" s="164"/>
    </row>
    <row r="7" spans="1:17">
      <c r="A7" s="27" t="s">
        <v>2462</v>
      </c>
      <c r="C7" s="27" t="s">
        <v>2463</v>
      </c>
      <c r="D7" s="247"/>
      <c r="E7" s="3301"/>
      <c r="F7" s="3301"/>
      <c r="G7" s="164"/>
    </row>
    <row r="8" spans="1:17">
      <c r="C8" s="27" t="s">
        <v>2464</v>
      </c>
      <c r="D8" s="247"/>
      <c r="E8" s="3301"/>
      <c r="F8" s="3301"/>
      <c r="G8" s="164"/>
    </row>
    <row r="9" spans="1:17">
      <c r="C9" s="27" t="s">
        <v>2465</v>
      </c>
      <c r="D9" s="247"/>
      <c r="E9" s="3301"/>
      <c r="F9" s="3301"/>
      <c r="G9" s="164"/>
    </row>
    <row r="10" spans="1:17">
      <c r="C10" s="27" t="s">
        <v>2478</v>
      </c>
      <c r="D10" s="253">
        <f>D7+D8+D9</f>
        <v>0</v>
      </c>
      <c r="E10" s="3301"/>
      <c r="F10" s="3301"/>
      <c r="G10" s="164"/>
    </row>
    <row r="11" spans="1:17">
      <c r="F11" s="164"/>
      <c r="G11" s="164"/>
    </row>
    <row r="12" spans="1:17">
      <c r="A12" s="27" t="s">
        <v>1716</v>
      </c>
      <c r="D12" s="245"/>
      <c r="E12" s="27" t="s">
        <v>2133</v>
      </c>
      <c r="F12" s="164"/>
      <c r="G12" s="164"/>
    </row>
    <row r="13" spans="1:17">
      <c r="D13" s="212"/>
      <c r="F13" s="164"/>
      <c r="G13" s="164"/>
    </row>
    <row r="14" spans="1:17">
      <c r="A14" s="27" t="s">
        <v>2467</v>
      </c>
      <c r="D14" s="244"/>
      <c r="E14" s="27" t="s">
        <v>2468</v>
      </c>
      <c r="F14" s="254"/>
    </row>
    <row r="15" spans="1:17">
      <c r="D15" s="232"/>
      <c r="F15" s="254"/>
    </row>
    <row r="16" spans="1:17">
      <c r="A16" s="27" t="s">
        <v>2469</v>
      </c>
      <c r="D16" s="244"/>
      <c r="E16" s="27" t="s">
        <v>2468</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90" t="s">
        <v>1717</v>
      </c>
      <c r="B24" s="3290"/>
      <c r="C24" s="3290"/>
      <c r="D24" s="3290"/>
      <c r="E24" s="3290"/>
      <c r="F24" s="3290"/>
      <c r="J24" s="256"/>
    </row>
    <row r="25" spans="1:10">
      <c r="C25" s="212"/>
      <c r="J25" s="256"/>
    </row>
    <row r="26" spans="1:10">
      <c r="A26" s="107"/>
      <c r="B26" s="82"/>
      <c r="C26" s="3302" t="s">
        <v>2253</v>
      </c>
      <c r="D26" s="251"/>
      <c r="E26" s="82"/>
      <c r="F26" s="3302" t="s">
        <v>2253</v>
      </c>
      <c r="J26" s="256"/>
    </row>
    <row r="27" spans="1:10">
      <c r="A27" s="257" t="s">
        <v>2479</v>
      </c>
      <c r="B27" s="72" t="s">
        <v>1026</v>
      </c>
      <c r="C27" s="3303"/>
      <c r="D27" s="258" t="s">
        <v>2479</v>
      </c>
      <c r="E27" s="72" t="s">
        <v>1026</v>
      </c>
      <c r="F27" s="3303"/>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1" t="e">
        <f>CONCATENATE(#REF!," ",#REF!,", ",#REF!,", ",#REF!," County")</f>
        <v>#REF!</v>
      </c>
      <c r="B50" s="3291"/>
      <c r="C50" s="3291"/>
      <c r="D50" s="3291"/>
      <c r="E50" s="3291"/>
      <c r="F50" s="3291"/>
      <c r="G50" s="236"/>
      <c r="H50" s="236"/>
    </row>
    <row r="51" spans="1:10" ht="15">
      <c r="A51" s="3288" t="s">
        <v>2470</v>
      </c>
      <c r="B51" s="3288"/>
      <c r="C51" s="3288"/>
      <c r="D51" s="3288"/>
      <c r="E51" s="3288"/>
      <c r="F51" s="3288"/>
      <c r="G51" s="268"/>
      <c r="H51" s="268"/>
      <c r="I51" s="268"/>
      <c r="J51" s="268"/>
    </row>
    <row r="52" spans="1:10" ht="5.45" customHeight="1">
      <c r="C52" s="212"/>
      <c r="D52" s="212"/>
      <c r="G52" s="217"/>
      <c r="H52" s="211"/>
      <c r="I52" s="217"/>
    </row>
    <row r="53" spans="1:10">
      <c r="A53" s="215" t="s">
        <v>2471</v>
      </c>
      <c r="B53" s="215" t="s">
        <v>2472</v>
      </c>
      <c r="C53" s="215" t="s">
        <v>1294</v>
      </c>
      <c r="D53" s="215" t="s">
        <v>2473</v>
      </c>
      <c r="E53" s="215" t="s">
        <v>2474</v>
      </c>
      <c r="F53" s="248" t="s">
        <v>2479</v>
      </c>
      <c r="G53" s="269"/>
      <c r="H53" s="269"/>
      <c r="I53" s="269"/>
    </row>
    <row r="54" spans="1:10" ht="3.6" customHeight="1">
      <c r="F54" s="82"/>
      <c r="G54" s="217"/>
      <c r="H54" s="211"/>
      <c r="I54" s="217"/>
    </row>
    <row r="55" spans="1:10">
      <c r="A55" s="27" t="s">
        <v>2475</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61" zoomScaleNormal="100" workbookViewId="0">
      <selection activeCell="S100" sqref="S100:T100"/>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304" t="str">
        <f>CONCATENATE("PART FOUR -  USES OF FUNDS","  -  ",'Part I-Project Information'!$O$6," ",'Part I-Project Information'!$F$34,", ",'Part I-Project Information'!F38,", ",'Part I-Project Information'!J39," County")</f>
        <v>PART FOUR -  USES OF FUNDS  -  2019-5 55 Milton, Atlanta, Fulton County</v>
      </c>
      <c r="B1" s="3305"/>
      <c r="C1" s="3305"/>
      <c r="D1" s="3305"/>
      <c r="E1" s="3305"/>
      <c r="F1" s="3305"/>
      <c r="G1" s="3305"/>
      <c r="H1" s="3305"/>
      <c r="I1" s="3305"/>
      <c r="J1" s="3305"/>
      <c r="K1" s="3305"/>
      <c r="L1" s="3305"/>
      <c r="M1" s="3305"/>
      <c r="N1" s="3305"/>
      <c r="O1" s="3305"/>
      <c r="P1" s="3305"/>
      <c r="Q1" s="3305"/>
      <c r="R1" s="3305"/>
      <c r="S1" s="3305"/>
      <c r="T1" s="3305"/>
      <c r="W1" s="3306" t="str">
        <f>A1</f>
        <v>PART FOUR -  USES OF FUNDS  -  2019-5 55 Milton, Atlanta, Fulton County</v>
      </c>
      <c r="X1" s="3306"/>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434" t="str">
        <f>'Part I-Project Information'!$B$6</f>
        <v>May 2019 Final</v>
      </c>
      <c r="E5" s="3434"/>
      <c r="F5" s="3434"/>
      <c r="G5" s="3434"/>
      <c r="H5" s="3434"/>
      <c r="I5" s="549"/>
      <c r="J5" s="3307" t="s">
        <v>271</v>
      </c>
      <c r="K5" s="3308"/>
      <c r="L5" s="400"/>
      <c r="M5" s="3311" t="s">
        <v>489</v>
      </c>
      <c r="N5" s="3312"/>
      <c r="P5" s="3307" t="s">
        <v>272</v>
      </c>
      <c r="Q5" s="3308"/>
      <c r="S5" s="3307" t="s">
        <v>273</v>
      </c>
      <c r="T5" s="3308"/>
      <c r="V5" s="487" t="str">
        <f>B5</f>
        <v>DEVELOPMENT BUDGET</v>
      </c>
    </row>
    <row r="6" spans="1:24" s="325" customFormat="1" ht="19.5" customHeight="1" thickBot="1">
      <c r="D6" s="2591"/>
      <c r="E6" s="2591"/>
      <c r="F6" s="2591"/>
      <c r="G6" s="3315" t="s">
        <v>101</v>
      </c>
      <c r="H6" s="3316"/>
      <c r="J6" s="3309"/>
      <c r="K6" s="3310"/>
      <c r="L6" s="400"/>
      <c r="M6" s="3313"/>
      <c r="N6" s="3314"/>
      <c r="P6" s="3309"/>
      <c r="Q6" s="3310"/>
      <c r="S6" s="3309"/>
      <c r="T6" s="3310"/>
      <c r="V6" s="371" t="s">
        <v>2682</v>
      </c>
      <c r="X6" s="371"/>
    </row>
    <row r="7" spans="1:24" s="325" customFormat="1" ht="12" customHeight="1">
      <c r="B7" s="327" t="s">
        <v>102</v>
      </c>
      <c r="O7" s="545" t="str">
        <f>B7</f>
        <v>PRE-DEVELOPMENT COSTS</v>
      </c>
      <c r="W7" s="325" t="str">
        <f>B7</f>
        <v>PRE-DEVELOPMENT COSTS</v>
      </c>
    </row>
    <row r="8" spans="1:24" s="325" customFormat="1" ht="12.6" customHeight="1">
      <c r="B8" s="325" t="s">
        <v>1999</v>
      </c>
      <c r="G8" s="3206">
        <v>22000</v>
      </c>
      <c r="H8" s="3207"/>
      <c r="J8" s="3206">
        <v>22000</v>
      </c>
      <c r="K8" s="3207"/>
      <c r="L8" s="1247"/>
      <c r="M8" s="3206"/>
      <c r="N8" s="3207"/>
      <c r="P8" s="3206"/>
      <c r="Q8" s="3207"/>
      <c r="S8" s="3206"/>
      <c r="T8" s="3207"/>
      <c r="V8" s="1295"/>
      <c r="W8" s="3317"/>
      <c r="X8" s="3318"/>
    </row>
    <row r="9" spans="1:24" s="325" customFormat="1" ht="12.6" customHeight="1">
      <c r="B9" s="325" t="s">
        <v>457</v>
      </c>
      <c r="G9" s="3217">
        <v>13000</v>
      </c>
      <c r="H9" s="3218"/>
      <c r="J9" s="3217">
        <v>13000</v>
      </c>
      <c r="K9" s="3218"/>
      <c r="L9" s="1247"/>
      <c r="M9" s="3217"/>
      <c r="N9" s="3218"/>
      <c r="P9" s="3217"/>
      <c r="Q9" s="3218"/>
      <c r="S9" s="3217"/>
      <c r="T9" s="3218"/>
      <c r="V9" s="1295"/>
      <c r="W9" s="3317"/>
      <c r="X9" s="3318"/>
    </row>
    <row r="10" spans="1:24" s="325" customFormat="1" ht="12.6" customHeight="1">
      <c r="B10" s="325" t="s">
        <v>486</v>
      </c>
      <c r="G10" s="3217">
        <v>87100</v>
      </c>
      <c r="H10" s="3218"/>
      <c r="J10" s="3217">
        <v>87100</v>
      </c>
      <c r="K10" s="3218"/>
      <c r="L10" s="1247"/>
      <c r="M10" s="3217"/>
      <c r="N10" s="3218"/>
      <c r="P10" s="3217"/>
      <c r="Q10" s="3218"/>
      <c r="S10" s="3217"/>
      <c r="T10" s="3218"/>
      <c r="V10" s="1295"/>
      <c r="W10" s="3317"/>
      <c r="X10" s="3318"/>
    </row>
    <row r="11" spans="1:24" s="325" customFormat="1" ht="12.6" customHeight="1">
      <c r="B11" s="325" t="s">
        <v>487</v>
      </c>
      <c r="G11" s="3217">
        <v>16200</v>
      </c>
      <c r="H11" s="3218"/>
      <c r="J11" s="3217">
        <v>16200</v>
      </c>
      <c r="K11" s="3218"/>
      <c r="L11" s="1247"/>
      <c r="M11" s="3217"/>
      <c r="N11" s="3218"/>
      <c r="P11" s="3217"/>
      <c r="Q11" s="3218"/>
      <c r="S11" s="3217"/>
      <c r="T11" s="3218"/>
      <c r="V11" s="1295"/>
      <c r="W11" s="3317"/>
      <c r="X11" s="3318"/>
    </row>
    <row r="12" spans="1:24" s="325" customFormat="1" ht="12.6" customHeight="1">
      <c r="B12" s="325" t="s">
        <v>2499</v>
      </c>
      <c r="G12" s="3217">
        <v>7000</v>
      </c>
      <c r="H12" s="3218"/>
      <c r="J12" s="3217">
        <v>7000</v>
      </c>
      <c r="K12" s="3218"/>
      <c r="L12" s="1247"/>
      <c r="M12" s="3217"/>
      <c r="N12" s="3218"/>
      <c r="P12" s="3217"/>
      <c r="Q12" s="3218"/>
      <c r="S12" s="3217"/>
      <c r="T12" s="3218"/>
      <c r="V12" s="1295"/>
      <c r="W12" s="3317"/>
      <c r="X12" s="3318"/>
    </row>
    <row r="13" spans="1:24" s="325" customFormat="1" ht="12.6" customHeight="1">
      <c r="B13" s="325" t="s">
        <v>190</v>
      </c>
      <c r="G13" s="3217"/>
      <c r="H13" s="3218"/>
      <c r="J13" s="3217"/>
      <c r="K13" s="3218"/>
      <c r="L13" s="1247"/>
      <c r="M13" s="3217"/>
      <c r="N13" s="3218"/>
      <c r="P13" s="3217"/>
      <c r="Q13" s="3218"/>
      <c r="S13" s="3217"/>
      <c r="T13" s="3218"/>
      <c r="V13" s="1295"/>
      <c r="W13" s="3317"/>
      <c r="X13" s="3318"/>
    </row>
    <row r="14" spans="1:24" s="325" customFormat="1" ht="12.6" customHeight="1">
      <c r="A14" s="429" t="str">
        <f>IF(AND(G14&gt;0,OR(C14="",C14="&lt;Enter detailed description here; use Comments section if needed&gt;")),"X","")</f>
        <v/>
      </c>
      <c r="B14" s="325" t="s">
        <v>741</v>
      </c>
      <c r="C14" s="3319" t="s">
        <v>3711</v>
      </c>
      <c r="D14" s="3319"/>
      <c r="E14" s="3319"/>
      <c r="F14" s="3320"/>
      <c r="G14" s="3217"/>
      <c r="H14" s="3218"/>
      <c r="J14" s="3217"/>
      <c r="K14" s="3218"/>
      <c r="L14" s="1247"/>
      <c r="M14" s="3217"/>
      <c r="N14" s="3218"/>
      <c r="P14" s="3217"/>
      <c r="Q14" s="3218"/>
      <c r="S14" s="3217"/>
      <c r="T14" s="3218"/>
      <c r="U14" s="428" t="str">
        <f>IF(AND(G14&gt;0,OR(C14="",C14="&lt;Enter detailed description here; use Comments section if needed&gt;")),"NO DESCRIPTION PROVIDED - please enter detailed description in Other box at left; use Comments section below if needed.","")</f>
        <v/>
      </c>
      <c r="V14" s="1296"/>
      <c r="W14" s="3317"/>
      <c r="X14" s="3318"/>
    </row>
    <row r="15" spans="1:24" s="325" customFormat="1" ht="12.6" customHeight="1">
      <c r="A15" s="429" t="str">
        <f>IF(AND(G15&gt;0,OR(C15="",C15="&lt;Enter detailed description here; use Comments section if needed&gt;")),"X","")</f>
        <v/>
      </c>
      <c r="B15" s="325" t="s">
        <v>741</v>
      </c>
      <c r="C15" s="3319" t="s">
        <v>3711</v>
      </c>
      <c r="D15" s="3319"/>
      <c r="E15" s="3319"/>
      <c r="F15" s="3320"/>
      <c r="G15" s="3217"/>
      <c r="H15" s="3218"/>
      <c r="J15" s="3217"/>
      <c r="K15" s="3218"/>
      <c r="L15" s="1247"/>
      <c r="M15" s="3217"/>
      <c r="N15" s="3218"/>
      <c r="P15" s="3217"/>
      <c r="Q15" s="3218"/>
      <c r="S15" s="3217"/>
      <c r="T15" s="3218"/>
      <c r="U15" s="428" t="str">
        <f>IF(AND(G15&gt;0,OR(C15="",C15="&lt;Enter detailed description here; use Comments section if needed&gt;")),"NO DESCRIPTION PROVIDED - please enter detailed description in Other box at left; use Comments section below if needed.","")</f>
        <v/>
      </c>
      <c r="V15" s="1296"/>
      <c r="W15" s="3317"/>
      <c r="X15" s="3318"/>
    </row>
    <row r="16" spans="1:24" s="325" customFormat="1" ht="12.6" customHeight="1" thickBot="1">
      <c r="A16" s="429" t="str">
        <f>IF(AND(G16&gt;0,OR(C16="",C16="&lt;Enter detailed description here; use Comments section if needed&gt;")),"X","")</f>
        <v/>
      </c>
      <c r="B16" s="325" t="s">
        <v>741</v>
      </c>
      <c r="C16" s="3319" t="s">
        <v>3711</v>
      </c>
      <c r="D16" s="3319"/>
      <c r="E16" s="3319"/>
      <c r="F16" s="3320"/>
      <c r="G16" s="3324"/>
      <c r="H16" s="3325"/>
      <c r="J16" s="3324"/>
      <c r="K16" s="3325"/>
      <c r="L16" s="1247"/>
      <c r="M16" s="3324"/>
      <c r="N16" s="3325"/>
      <c r="P16" s="3324"/>
      <c r="Q16" s="3325"/>
      <c r="S16" s="3324"/>
      <c r="T16" s="3325"/>
      <c r="U16" s="428" t="str">
        <f>IF(AND(G16&gt;0,OR(C16="",C16="&lt;Enter detailed description here; use Comments section if needed&gt;")),"NO DESCRIPTION PROVIDED - please enter detailed description in Other box at left; use Comments section below if needed.","")</f>
        <v/>
      </c>
      <c r="V16" s="1296"/>
      <c r="W16" s="3356"/>
      <c r="X16" s="3357"/>
    </row>
    <row r="17" spans="2:24" s="325" customFormat="1" ht="12.6" customHeight="1" thickTop="1">
      <c r="F17" s="401" t="s">
        <v>191</v>
      </c>
      <c r="G17" s="3321">
        <f>SUM(G8:H16)</f>
        <v>145300</v>
      </c>
      <c r="H17" s="3322"/>
      <c r="J17" s="3321">
        <f>SUM(J8:K16)</f>
        <v>145300</v>
      </c>
      <c r="K17" s="3323"/>
      <c r="L17" s="1247"/>
      <c r="M17" s="3321">
        <f>SUM(M8:N16)</f>
        <v>0</v>
      </c>
      <c r="N17" s="3322"/>
      <c r="P17" s="3321">
        <f>SUM(P8:Q16)</f>
        <v>0</v>
      </c>
      <c r="Q17" s="3322"/>
      <c r="S17" s="3321">
        <f>SUM(S8:T16)</f>
        <v>0</v>
      </c>
      <c r="T17" s="3322"/>
      <c r="V17" s="1297">
        <f>SUM(V8:V16)</f>
        <v>0</v>
      </c>
      <c r="W17" s="3369"/>
      <c r="X17" s="3370"/>
    </row>
    <row r="18" spans="2:24" s="325" customFormat="1" ht="12" customHeight="1">
      <c r="B18" s="327" t="s">
        <v>2196</v>
      </c>
      <c r="J18" s="400"/>
      <c r="K18" s="400"/>
      <c r="M18" s="400"/>
      <c r="N18" s="400"/>
      <c r="O18" s="402" t="str">
        <f>B18</f>
        <v>ACQUISITION</v>
      </c>
      <c r="P18" s="400"/>
      <c r="Q18" s="400"/>
      <c r="S18" s="400"/>
      <c r="T18" s="400"/>
      <c r="V18" s="1298"/>
      <c r="W18" s="325" t="str">
        <f>B18</f>
        <v>ACQUISITION</v>
      </c>
    </row>
    <row r="19" spans="2:24" s="325" customFormat="1" ht="12.6" customHeight="1">
      <c r="B19" s="325" t="s">
        <v>2197</v>
      </c>
      <c r="E19" s="969" t="s">
        <v>3726</v>
      </c>
      <c r="F19" s="524">
        <f>IF('Part I-Project Information'!$O$37="","",G19/'Part I-Project Information'!$O$37)</f>
        <v>291545.18950437318</v>
      </c>
      <c r="G19" s="3206">
        <v>1000000</v>
      </c>
      <c r="H19" s="3207"/>
      <c r="J19" s="403"/>
      <c r="K19" s="400"/>
      <c r="L19" s="403"/>
      <c r="M19" s="403"/>
      <c r="N19" s="400"/>
      <c r="P19" s="403"/>
      <c r="Q19" s="400"/>
      <c r="S19" s="3206">
        <v>1000000</v>
      </c>
      <c r="T19" s="3207"/>
      <c r="V19" s="1295"/>
      <c r="W19" s="3317"/>
      <c r="X19" s="3318"/>
    </row>
    <row r="20" spans="2:24" s="325" customFormat="1" ht="12.6" customHeight="1">
      <c r="B20" s="325" t="s">
        <v>1119</v>
      </c>
      <c r="G20" s="3217">
        <v>200000</v>
      </c>
      <c r="H20" s="3218"/>
      <c r="J20" s="403"/>
      <c r="K20" s="400"/>
      <c r="L20" s="403"/>
      <c r="M20" s="403"/>
      <c r="N20" s="400"/>
      <c r="P20" s="403"/>
      <c r="Q20" s="400"/>
      <c r="S20" s="3217">
        <v>200000</v>
      </c>
      <c r="T20" s="3218"/>
      <c r="V20" s="1295"/>
      <c r="W20" s="3317"/>
      <c r="X20" s="3318"/>
    </row>
    <row r="21" spans="2:24" s="325" customFormat="1" ht="12.6" customHeight="1">
      <c r="B21" s="325" t="s">
        <v>458</v>
      </c>
      <c r="G21" s="3217"/>
      <c r="H21" s="3218"/>
      <c r="J21" s="403"/>
      <c r="K21" s="400"/>
      <c r="L21" s="403"/>
      <c r="M21" s="3206"/>
      <c r="N21" s="3207"/>
      <c r="P21" s="403"/>
      <c r="Q21" s="400"/>
      <c r="S21" s="3217"/>
      <c r="T21" s="3218"/>
      <c r="V21" s="1295"/>
      <c r="W21" s="3317"/>
      <c r="X21" s="3318"/>
    </row>
    <row r="22" spans="2:24" s="325" customFormat="1" ht="12.6" customHeight="1" thickBot="1">
      <c r="B22" s="325" t="s">
        <v>430</v>
      </c>
      <c r="G22" s="3324"/>
      <c r="H22" s="3325"/>
      <c r="J22" s="403"/>
      <c r="K22" s="400"/>
      <c r="L22" s="403"/>
      <c r="M22" s="3324"/>
      <c r="N22" s="3325"/>
      <c r="P22" s="403"/>
      <c r="Q22" s="400"/>
      <c r="S22" s="3324"/>
      <c r="T22" s="3325"/>
      <c r="V22" s="1295"/>
      <c r="W22" s="3356"/>
      <c r="X22" s="3357"/>
    </row>
    <row r="23" spans="2:24" s="325" customFormat="1" ht="12.6" customHeight="1" thickTop="1">
      <c r="F23" s="401" t="s">
        <v>191</v>
      </c>
      <c r="G23" s="3321">
        <f>SUM(G19:H22)</f>
        <v>1200000</v>
      </c>
      <c r="H23" s="3322"/>
      <c r="J23" s="403"/>
      <c r="K23" s="400"/>
      <c r="L23" s="403"/>
      <c r="M23" s="3321">
        <f>SUM(M21:N22)</f>
        <v>0</v>
      </c>
      <c r="N23" s="3322"/>
      <c r="P23" s="403"/>
      <c r="Q23" s="400"/>
      <c r="S23" s="3321">
        <f>SUM(S19:T22)</f>
        <v>1200000</v>
      </c>
      <c r="T23" s="3322"/>
      <c r="V23" s="1297">
        <f>SUM(V19:V22)</f>
        <v>0</v>
      </c>
      <c r="W23" s="3369"/>
      <c r="X23" s="3370"/>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3726</v>
      </c>
      <c r="F25" s="524">
        <f>IF('Part I-Project Information'!$O$37="","",G25/'Part I-Project Information'!$O$37)</f>
        <v>29154.518950437316</v>
      </c>
      <c r="G25" s="3206">
        <v>100000</v>
      </c>
      <c r="H25" s="3207"/>
      <c r="J25" s="3206">
        <v>50000</v>
      </c>
      <c r="K25" s="3207"/>
      <c r="L25" s="1247"/>
      <c r="M25" s="3326"/>
      <c r="N25" s="3327"/>
      <c r="P25" s="3326"/>
      <c r="Q25" s="3327"/>
      <c r="S25" s="3206">
        <v>50000</v>
      </c>
      <c r="T25" s="3207"/>
      <c r="V25" s="1295"/>
      <c r="W25" s="3317"/>
      <c r="X25" s="3318"/>
    </row>
    <row r="26" spans="2:24" s="325" customFormat="1" ht="12.6" customHeight="1" thickBot="1">
      <c r="B26" s="325" t="s">
        <v>1122</v>
      </c>
      <c r="G26" s="3324"/>
      <c r="H26" s="3325"/>
      <c r="J26" s="3324"/>
      <c r="K26" s="3325"/>
      <c r="L26" s="404"/>
      <c r="M26" s="3328"/>
      <c r="N26" s="3328"/>
      <c r="P26" s="3328"/>
      <c r="Q26" s="3328"/>
      <c r="S26" s="3324"/>
      <c r="T26" s="3325"/>
      <c r="V26" s="1295"/>
      <c r="W26" s="3356"/>
      <c r="X26" s="3357"/>
    </row>
    <row r="27" spans="2:24" s="325" customFormat="1" ht="12.6" customHeight="1" thickTop="1">
      <c r="F27" s="401" t="s">
        <v>191</v>
      </c>
      <c r="G27" s="3321">
        <f>SUM(G25:H26)</f>
        <v>100000</v>
      </c>
      <c r="H27" s="3322"/>
      <c r="J27" s="3321">
        <f>SUM(J25:K26)</f>
        <v>50000</v>
      </c>
      <c r="K27" s="3322"/>
      <c r="L27" s="403"/>
      <c r="M27" s="3321">
        <f>M25</f>
        <v>0</v>
      </c>
      <c r="N27" s="3322"/>
      <c r="P27" s="3321">
        <f>P25</f>
        <v>0</v>
      </c>
      <c r="Q27" s="3322"/>
      <c r="S27" s="3321">
        <f>SUM(S25:T26)</f>
        <v>50000</v>
      </c>
      <c r="T27" s="3322"/>
      <c r="V27" s="1297">
        <f>SUM(V25:V26)</f>
        <v>0</v>
      </c>
      <c r="W27" s="3369"/>
      <c r="X27" s="3370"/>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06">
        <v>19843628</v>
      </c>
      <c r="H29" s="3207"/>
      <c r="J29" s="3206">
        <v>19828628</v>
      </c>
      <c r="K29" s="3207"/>
      <c r="L29" s="1247"/>
      <c r="M29" s="3206"/>
      <c r="N29" s="3207"/>
      <c r="P29" s="3206"/>
      <c r="Q29" s="3207"/>
      <c r="S29" s="3206">
        <v>15000</v>
      </c>
      <c r="T29" s="3207"/>
      <c r="V29" s="1295"/>
      <c r="W29" s="3317"/>
      <c r="X29" s="3318"/>
    </row>
    <row r="30" spans="2:24" s="325" customFormat="1" ht="12.6" customHeight="1">
      <c r="B30" s="325" t="s">
        <v>1125</v>
      </c>
      <c r="G30" s="3217"/>
      <c r="H30" s="3218"/>
      <c r="J30" s="3217"/>
      <c r="K30" s="3218"/>
      <c r="L30" s="1247"/>
      <c r="M30" s="3217"/>
      <c r="N30" s="3218"/>
      <c r="P30" s="3217"/>
      <c r="Q30" s="3218"/>
      <c r="S30" s="3217"/>
      <c r="T30" s="3218"/>
      <c r="V30" s="1295"/>
      <c r="W30" s="3317"/>
      <c r="X30" s="3318"/>
    </row>
    <row r="31" spans="2:24" s="325" customFormat="1" ht="12.6" customHeight="1">
      <c r="B31" s="325" t="s">
        <v>2779</v>
      </c>
      <c r="G31" s="3217"/>
      <c r="H31" s="3218"/>
      <c r="J31" s="3217"/>
      <c r="K31" s="3218"/>
      <c r="L31" s="1247"/>
      <c r="M31" s="3217"/>
      <c r="N31" s="3218"/>
      <c r="P31" s="3217"/>
      <c r="Q31" s="3218"/>
      <c r="S31" s="3217"/>
      <c r="T31" s="3218"/>
      <c r="V31" s="1295"/>
      <c r="W31" s="3317"/>
      <c r="X31" s="3318"/>
    </row>
    <row r="32" spans="2:24" ht="12.6" customHeight="1" thickBot="1">
      <c r="B32" s="325" t="s">
        <v>2778</v>
      </c>
      <c r="G32" s="3324"/>
      <c r="H32" s="3325"/>
      <c r="I32" s="325"/>
      <c r="J32" s="3324"/>
      <c r="K32" s="3325"/>
      <c r="L32" s="1247"/>
      <c r="M32" s="3324"/>
      <c r="N32" s="3325"/>
      <c r="O32" s="325"/>
      <c r="P32" s="3324"/>
      <c r="Q32" s="3325"/>
      <c r="R32" s="325"/>
      <c r="S32" s="3324"/>
      <c r="T32" s="3325"/>
      <c r="V32" s="1295"/>
      <c r="W32" s="3356"/>
      <c r="X32" s="3357"/>
    </row>
    <row r="33" spans="1:24" s="325" customFormat="1" ht="12.6" customHeight="1" thickTop="1">
      <c r="C33" s="3330"/>
      <c r="D33" s="3330"/>
      <c r="E33" s="1252"/>
      <c r="F33" s="401" t="s">
        <v>191</v>
      </c>
      <c r="G33" s="3321">
        <f>SUM(G29:H32)</f>
        <v>19843628</v>
      </c>
      <c r="H33" s="3322"/>
      <c r="J33" s="3321">
        <f>SUM(J29:K32)</f>
        <v>19828628</v>
      </c>
      <c r="K33" s="3322"/>
      <c r="L33" s="1247"/>
      <c r="M33" s="3321">
        <f>SUM(M29:N32)</f>
        <v>0</v>
      </c>
      <c r="N33" s="3322"/>
      <c r="P33" s="3321">
        <f>SUM(P29:Q32)</f>
        <v>0</v>
      </c>
      <c r="Q33" s="3322"/>
      <c r="S33" s="3321">
        <f>SUM(S29:T32)</f>
        <v>15000</v>
      </c>
      <c r="T33" s="3322"/>
      <c r="V33" s="1297">
        <f>SUM(V29:V32)</f>
        <v>0</v>
      </c>
      <c r="W33" s="3369"/>
      <c r="X33" s="3370"/>
    </row>
    <row r="34" spans="1:24" s="325" customFormat="1" ht="12" customHeight="1">
      <c r="B34" s="327" t="s">
        <v>2342</v>
      </c>
      <c r="D34" s="3329" t="s">
        <v>3730</v>
      </c>
      <c r="E34" s="3329"/>
      <c r="F34" s="1132">
        <f>SUM(F35:F37)</f>
        <v>0.13999997894064209</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2343</v>
      </c>
      <c r="D35" s="1134">
        <f>'DCA Underwriting Assumptions'!$R$73</f>
        <v>0.06</v>
      </c>
      <c r="E35" s="1136">
        <f>D35*(G27+G33)</f>
        <v>1196617.68</v>
      </c>
      <c r="F35" s="1133">
        <f>IF(($G$27+$G$33)=0,0,G35/($G$27+$G$33))</f>
        <v>5.99999909745609E-2</v>
      </c>
      <c r="G35" s="3206">
        <v>1196617.5</v>
      </c>
      <c r="H35" s="3207"/>
      <c r="I35" s="346"/>
      <c r="J35" s="3206">
        <v>1196617.5</v>
      </c>
      <c r="K35" s="3207"/>
      <c r="L35" s="1247"/>
      <c r="M35" s="3206"/>
      <c r="N35" s="3207"/>
      <c r="P35" s="3206"/>
      <c r="Q35" s="3207"/>
      <c r="S35" s="3206"/>
      <c r="T35" s="3207"/>
      <c r="V35" s="1295"/>
      <c r="W35" s="3317"/>
      <c r="X35" s="3318"/>
    </row>
    <row r="36" spans="1:24" s="325" customFormat="1" ht="12.6" customHeight="1">
      <c r="B36" s="325" t="s">
        <v>2735</v>
      </c>
      <c r="D36" s="1135">
        <f>'DCA Underwriting Assumptions'!$R$74</f>
        <v>0.02</v>
      </c>
      <c r="E36" s="1136">
        <f>D36*(G27+G33)</f>
        <v>398872.56</v>
      </c>
      <c r="F36" s="1133">
        <f>IF(($G$27+$G$33)=0,0,G36/($G$27+$G$33))</f>
        <v>1.9999996991520299E-2</v>
      </c>
      <c r="G36" s="3217">
        <v>398872.5</v>
      </c>
      <c r="H36" s="3218"/>
      <c r="I36" s="346"/>
      <c r="J36" s="3217">
        <v>398872.5</v>
      </c>
      <c r="K36" s="3218"/>
      <c r="L36" s="1247"/>
      <c r="M36" s="3217"/>
      <c r="N36" s="3218"/>
      <c r="P36" s="3217"/>
      <c r="Q36" s="3218"/>
      <c r="S36" s="3217"/>
      <c r="T36" s="3218"/>
      <c r="V36" s="1295"/>
      <c r="W36" s="3317"/>
      <c r="X36" s="3318"/>
    </row>
    <row r="37" spans="1:24" s="325" customFormat="1" ht="12.6" customHeight="1" thickBot="1">
      <c r="B37" s="325" t="s">
        <v>2736</v>
      </c>
      <c r="D37" s="1139">
        <f>'DCA Underwriting Assumptions'!$R$75</f>
        <v>0.06</v>
      </c>
      <c r="E37" s="1140">
        <f>D37*(G27+G33)</f>
        <v>1196617.68</v>
      </c>
      <c r="F37" s="1531">
        <f>IF(($G$27+$G$33)=0,0,G37/($G$27+$G$33))</f>
        <v>5.99999909745609E-2</v>
      </c>
      <c r="G37" s="3324">
        <v>1196617.5</v>
      </c>
      <c r="H37" s="3325"/>
      <c r="I37" s="346"/>
      <c r="J37" s="3324">
        <v>1196617.5</v>
      </c>
      <c r="K37" s="3325"/>
      <c r="L37" s="1247"/>
      <c r="M37" s="3324"/>
      <c r="N37" s="3325"/>
      <c r="P37" s="3324"/>
      <c r="Q37" s="3325"/>
      <c r="S37" s="3324"/>
      <c r="T37" s="3325"/>
      <c r="V37" s="1295"/>
      <c r="W37" s="3356"/>
      <c r="X37" s="3357"/>
    </row>
    <row r="38" spans="1:24" s="325" customFormat="1" ht="12.6" customHeight="1" thickTop="1">
      <c r="B38" s="192" t="s">
        <v>3731</v>
      </c>
      <c r="D38" s="1137">
        <f>SUM(D35:D37)</f>
        <v>0.14000000000000001</v>
      </c>
      <c r="E38" s="1138">
        <f>SUM(E35:E37)</f>
        <v>2792107.92</v>
      </c>
      <c r="F38" s="1117" t="s">
        <v>191</v>
      </c>
      <c r="G38" s="3321">
        <f>SUM(G35:H37)</f>
        <v>2792107.5</v>
      </c>
      <c r="H38" s="3322"/>
      <c r="J38" s="3321">
        <f>SUM(J35:K37)</f>
        <v>2792107.5</v>
      </c>
      <c r="K38" s="3322"/>
      <c r="L38" s="403"/>
      <c r="M38" s="3321">
        <f>SUM(M35:N37)</f>
        <v>0</v>
      </c>
      <c r="N38" s="3322"/>
      <c r="P38" s="3321">
        <f>SUM(P35:Q37)</f>
        <v>0</v>
      </c>
      <c r="Q38" s="3322"/>
      <c r="S38" s="3321">
        <f>SUM(S35:T37)</f>
        <v>0</v>
      </c>
      <c r="T38" s="3322"/>
      <c r="V38" s="1297">
        <f>SUM(V35:V37)</f>
        <v>0</v>
      </c>
      <c r="W38" s="3369"/>
      <c r="X38" s="3370"/>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2740</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19" t="s">
        <v>3711</v>
      </c>
      <c r="D41" s="3349"/>
      <c r="E41" s="3349"/>
      <c r="F41" s="3350"/>
      <c r="G41" s="3331"/>
      <c r="H41" s="3332"/>
      <c r="I41" s="325"/>
      <c r="J41" s="3331"/>
      <c r="K41" s="3332"/>
      <c r="L41" s="1247"/>
      <c r="M41" s="3331"/>
      <c r="N41" s="3332"/>
      <c r="O41" s="325"/>
      <c r="P41" s="3331"/>
      <c r="Q41" s="3332"/>
      <c r="R41" s="325"/>
      <c r="S41" s="3331"/>
      <c r="T41" s="3332"/>
      <c r="V41" s="1295"/>
      <c r="W41" s="3337"/>
      <c r="X41" s="3338"/>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339"/>
      <c r="X42" s="3340"/>
    </row>
    <row r="43" spans="1:24" s="325" customFormat="1" ht="12.6" customHeight="1">
      <c r="B43" s="578" t="s">
        <v>2744</v>
      </c>
      <c r="C43" s="579"/>
      <c r="E43" s="3343" t="s">
        <v>2743</v>
      </c>
      <c r="F43" s="1248">
        <f>B44/'Part VI-Revenues &amp; Expenses'!$O$65</f>
        <v>145741.89423076922</v>
      </c>
      <c r="G43" s="1250" t="s">
        <v>2770</v>
      </c>
      <c r="H43" s="546"/>
      <c r="I43" s="546"/>
      <c r="J43" s="3345">
        <f>B44/'Part VI-Revenues &amp; Expenses'!$O$67</f>
        <v>145741.89423076922</v>
      </c>
      <c r="K43" s="3345"/>
      <c r="L43" s="546"/>
      <c r="M43" s="3346" t="s">
        <v>1402</v>
      </c>
      <c r="N43" s="3346"/>
      <c r="O43" s="546"/>
      <c r="P43" s="3345">
        <f>B44/'Part I-Project Information'!$P$75</f>
        <v>160.76519565555571</v>
      </c>
      <c r="Q43" s="3345"/>
      <c r="R43" s="546"/>
      <c r="S43" s="3347" t="s">
        <v>2777</v>
      </c>
      <c r="T43" s="3348"/>
      <c r="V43" s="1298"/>
      <c r="W43" s="3339"/>
      <c r="X43" s="3340"/>
    </row>
    <row r="44" spans="1:24" s="325" customFormat="1" ht="12.6" customHeight="1">
      <c r="B44" s="3333">
        <f>G27+G33+G38+G41</f>
        <v>22735735.5</v>
      </c>
      <c r="C44" s="3334"/>
      <c r="E44" s="3344"/>
      <c r="F44" s="1249">
        <f>B44/'Part VI-Revenues &amp; Expenses'!$O$154</f>
        <v>167.88804994757129</v>
      </c>
      <c r="G44" s="577" t="s">
        <v>2771</v>
      </c>
      <c r="H44" s="1245"/>
      <c r="I44" s="1245"/>
      <c r="J44" s="3335">
        <f>B44/'Part VI-Revenues &amp; Expenses'!$O$156</f>
        <v>167.88804994757129</v>
      </c>
      <c r="K44" s="3335"/>
      <c r="L44" s="1245"/>
      <c r="M44" s="3336" t="s">
        <v>2776</v>
      </c>
      <c r="N44" s="3336"/>
      <c r="O44" s="1245"/>
      <c r="P44" s="1245"/>
      <c r="Q44" s="1245"/>
      <c r="R44" s="1245"/>
      <c r="S44" s="1245"/>
      <c r="T44" s="391"/>
      <c r="V44" s="1298"/>
      <c r="W44" s="3341"/>
      <c r="X44" s="3342"/>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4188</v>
      </c>
      <c r="J46" s="403"/>
      <c r="K46" s="400"/>
      <c r="M46" s="403"/>
      <c r="N46" s="400"/>
      <c r="O46" s="402" t="str">
        <f>B46</f>
        <v>CONSTRUCTION CONTINGENCY</v>
      </c>
      <c r="P46" s="403"/>
      <c r="Q46" s="400"/>
      <c r="S46" s="403"/>
      <c r="T46" s="400"/>
      <c r="V46" s="1298"/>
      <c r="W46" s="325" t="str">
        <f>B46</f>
        <v>CONSTRUCTION CONTINGENCY</v>
      </c>
    </row>
    <row r="47" spans="1:24" ht="12.6" customHeight="1">
      <c r="B47" s="325" t="s">
        <v>1960</v>
      </c>
      <c r="D47" s="596" t="s">
        <v>4187</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1136786.7750000001</v>
      </c>
      <c r="F47" s="405">
        <f>G47/B44</f>
        <v>5.0000009896314986E-2</v>
      </c>
      <c r="G47" s="3331">
        <v>1136787</v>
      </c>
      <c r="H47" s="3332"/>
      <c r="I47" s="325"/>
      <c r="J47" s="3331">
        <v>1136787</v>
      </c>
      <c r="K47" s="3332"/>
      <c r="L47" s="1247"/>
      <c r="M47" s="3331"/>
      <c r="N47" s="3332"/>
      <c r="O47" s="325"/>
      <c r="P47" s="3331"/>
      <c r="Q47" s="3332"/>
      <c r="R47" s="325"/>
      <c r="S47" s="3331"/>
      <c r="T47" s="3332"/>
      <c r="V47" s="1295"/>
      <c r="W47" s="3317"/>
      <c r="X47" s="3318"/>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2844</v>
      </c>
      <c r="H49" s="1238"/>
      <c r="I49" s="1238"/>
      <c r="J49" s="3307" t="s">
        <v>271</v>
      </c>
      <c r="K49" s="3308"/>
      <c r="L49" s="400"/>
      <c r="M49" s="3311" t="s">
        <v>489</v>
      </c>
      <c r="N49" s="3312"/>
      <c r="P49" s="3307" t="s">
        <v>272</v>
      </c>
      <c r="Q49" s="3308"/>
      <c r="S49" s="3307" t="s">
        <v>273</v>
      </c>
      <c r="T49" s="3308"/>
      <c r="V49" s="1298"/>
      <c r="W49" s="487" t="str">
        <f>B49</f>
        <v>DEVELOPMENT BUDGET (cont'd)</v>
      </c>
    </row>
    <row r="50" spans="1:24" s="325" customFormat="1" ht="18.75" customHeight="1" thickBot="1">
      <c r="G50" s="3315" t="s">
        <v>101</v>
      </c>
      <c r="H50" s="3316"/>
      <c r="J50" s="3309"/>
      <c r="K50" s="3310"/>
      <c r="L50" s="400"/>
      <c r="M50" s="3313"/>
      <c r="N50" s="3314"/>
      <c r="P50" s="3309"/>
      <c r="Q50" s="3310"/>
      <c r="S50" s="3309"/>
      <c r="T50" s="3310"/>
      <c r="V50" s="1298"/>
      <c r="W50" s="3431" t="s">
        <v>2682</v>
      </c>
      <c r="X50" s="3431"/>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3732</v>
      </c>
      <c r="G52" s="3206"/>
      <c r="H52" s="3207"/>
      <c r="J52" s="3206"/>
      <c r="K52" s="3207"/>
      <c r="L52" s="1247"/>
      <c r="M52" s="3206"/>
      <c r="N52" s="3207"/>
      <c r="P52" s="3206"/>
      <c r="Q52" s="3207"/>
      <c r="S52" s="3206"/>
      <c r="T52" s="3207"/>
      <c r="V52" s="1299"/>
      <c r="W52" s="3317"/>
      <c r="X52" s="3318"/>
    </row>
    <row r="53" spans="1:24" s="325" customFormat="1" ht="12" customHeight="1">
      <c r="B53" s="325" t="s">
        <v>3733</v>
      </c>
      <c r="G53" s="3217"/>
      <c r="H53" s="3218"/>
      <c r="J53" s="3217"/>
      <c r="K53" s="3218"/>
      <c r="L53" s="1247"/>
      <c r="M53" s="3217"/>
      <c r="N53" s="3218"/>
      <c r="P53" s="3217"/>
      <c r="Q53" s="3218"/>
      <c r="S53" s="3217"/>
      <c r="T53" s="3218"/>
      <c r="V53" s="1299"/>
      <c r="W53" s="3317"/>
      <c r="X53" s="3318"/>
    </row>
    <row r="54" spans="1:24" s="325" customFormat="1" ht="12" customHeight="1">
      <c r="B54" s="325" t="s">
        <v>2345</v>
      </c>
      <c r="G54" s="3217"/>
      <c r="H54" s="3218"/>
      <c r="J54" s="3217"/>
      <c r="K54" s="3218"/>
      <c r="L54" s="1247"/>
      <c r="M54" s="3217"/>
      <c r="N54" s="3218"/>
      <c r="P54" s="3217"/>
      <c r="Q54" s="3218"/>
      <c r="S54" s="3217"/>
      <c r="T54" s="3218"/>
      <c r="V54" s="1299"/>
      <c r="W54" s="3317"/>
      <c r="X54" s="3318"/>
    </row>
    <row r="55" spans="1:24" s="325" customFormat="1" ht="12" customHeight="1">
      <c r="B55" s="325" t="s">
        <v>2346</v>
      </c>
      <c r="G55" s="3217">
        <v>908171</v>
      </c>
      <c r="H55" s="3218"/>
      <c r="J55" s="3217">
        <v>726537</v>
      </c>
      <c r="K55" s="3218"/>
      <c r="L55" s="1247"/>
      <c r="M55" s="3217"/>
      <c r="N55" s="3218"/>
      <c r="P55" s="3217"/>
      <c r="Q55" s="3218"/>
      <c r="S55" s="3217">
        <v>181634</v>
      </c>
      <c r="T55" s="3218"/>
      <c r="V55" s="1299"/>
      <c r="W55" s="3317"/>
      <c r="X55" s="3318"/>
    </row>
    <row r="56" spans="1:24" s="325" customFormat="1" ht="12" customHeight="1">
      <c r="B56" s="325" t="s">
        <v>2347</v>
      </c>
      <c r="G56" s="3217"/>
      <c r="H56" s="3218"/>
      <c r="J56" s="3217"/>
      <c r="K56" s="3218"/>
      <c r="L56" s="1247"/>
      <c r="M56" s="3217"/>
      <c r="N56" s="3218"/>
      <c r="P56" s="3217"/>
      <c r="Q56" s="3218"/>
      <c r="S56" s="3217"/>
      <c r="T56" s="3218"/>
      <c r="V56" s="1299"/>
      <c r="W56" s="3317"/>
      <c r="X56" s="3318"/>
    </row>
    <row r="57" spans="1:24" s="325" customFormat="1" ht="12" customHeight="1">
      <c r="B57" s="325" t="s">
        <v>2686</v>
      </c>
      <c r="G57" s="3217">
        <v>20000</v>
      </c>
      <c r="H57" s="3218"/>
      <c r="J57" s="3217">
        <v>20000</v>
      </c>
      <c r="K57" s="3218"/>
      <c r="L57" s="1247"/>
      <c r="M57" s="3217"/>
      <c r="N57" s="3218"/>
      <c r="P57" s="3217"/>
      <c r="Q57" s="3218"/>
      <c r="S57" s="3217"/>
      <c r="T57" s="3218"/>
      <c r="V57" s="1299"/>
      <c r="W57" s="3317"/>
      <c r="X57" s="3318"/>
    </row>
    <row r="58" spans="1:24" s="325" customFormat="1" ht="12" customHeight="1">
      <c r="B58" s="325" t="s">
        <v>723</v>
      </c>
      <c r="G58" s="3217">
        <v>25000</v>
      </c>
      <c r="H58" s="3218"/>
      <c r="J58" s="3217">
        <v>25000</v>
      </c>
      <c r="K58" s="3218"/>
      <c r="L58" s="1247"/>
      <c r="M58" s="3217"/>
      <c r="N58" s="3218"/>
      <c r="P58" s="3217"/>
      <c r="Q58" s="3218"/>
      <c r="S58" s="3217"/>
      <c r="T58" s="3218"/>
      <c r="V58" s="1299"/>
      <c r="W58" s="3317"/>
      <c r="X58" s="3318"/>
    </row>
    <row r="59" spans="1:24" s="325" customFormat="1" ht="12" customHeight="1">
      <c r="B59" s="325" t="s">
        <v>2348</v>
      </c>
      <c r="G59" s="3217">
        <v>125000</v>
      </c>
      <c r="H59" s="3218"/>
      <c r="J59" s="3217">
        <v>125000</v>
      </c>
      <c r="K59" s="3218"/>
      <c r="L59" s="1247"/>
      <c r="M59" s="3217"/>
      <c r="N59" s="3218"/>
      <c r="P59" s="3217"/>
      <c r="Q59" s="3218"/>
      <c r="S59" s="3217"/>
      <c r="T59" s="3218"/>
      <c r="V59" s="1299"/>
      <c r="W59" s="3317"/>
      <c r="X59" s="3318"/>
    </row>
    <row r="60" spans="1:24" s="325" customFormat="1" ht="12" customHeight="1">
      <c r="B60" s="325" t="s">
        <v>1276</v>
      </c>
      <c r="G60" s="3217">
        <v>75000</v>
      </c>
      <c r="H60" s="3218"/>
      <c r="J60" s="3217">
        <v>75000</v>
      </c>
      <c r="K60" s="3218"/>
      <c r="L60" s="1247"/>
      <c r="M60" s="3217"/>
      <c r="N60" s="3218"/>
      <c r="P60" s="3217"/>
      <c r="Q60" s="3218"/>
      <c r="S60" s="3217"/>
      <c r="T60" s="3218"/>
      <c r="V60" s="1299"/>
      <c r="W60" s="3317"/>
      <c r="X60" s="3318"/>
    </row>
    <row r="61" spans="1:24" s="325" customFormat="1" ht="12" customHeight="1">
      <c r="B61" s="407" t="s">
        <v>1153</v>
      </c>
      <c r="D61" s="405"/>
      <c r="E61" s="405"/>
      <c r="F61" s="406"/>
      <c r="G61" s="3217"/>
      <c r="H61" s="3218"/>
      <c r="I61" s="346"/>
      <c r="J61" s="3217"/>
      <c r="K61" s="3218"/>
      <c r="L61" s="1247"/>
      <c r="M61" s="3217"/>
      <c r="N61" s="3218"/>
      <c r="P61" s="3217"/>
      <c r="Q61" s="3218"/>
      <c r="S61" s="3217"/>
      <c r="T61" s="3218"/>
      <c r="V61" s="1299"/>
      <c r="W61" s="3317"/>
      <c r="X61" s="3318"/>
    </row>
    <row r="62" spans="1:24" s="325" customFormat="1" ht="12" customHeight="1">
      <c r="A62" s="429" t="str">
        <f>IF(AND(G62&gt;0,OR(C62="",C62="&lt;Enter detailed description here; use Comments section if needed&gt;")),"X","")</f>
        <v/>
      </c>
      <c r="B62" s="325" t="s">
        <v>741</v>
      </c>
      <c r="C62" s="3353" t="s">
        <v>5285</v>
      </c>
      <c r="D62" s="3353"/>
      <c r="E62" s="3353"/>
      <c r="F62" s="3354"/>
      <c r="G62" s="3217">
        <v>25000</v>
      </c>
      <c r="H62" s="3218"/>
      <c r="J62" s="3217">
        <v>25000</v>
      </c>
      <c r="K62" s="3218"/>
      <c r="L62" s="1247"/>
      <c r="M62" s="3217"/>
      <c r="N62" s="3218"/>
      <c r="P62" s="3217"/>
      <c r="Q62" s="3218"/>
      <c r="S62" s="3217"/>
      <c r="T62" s="3218"/>
      <c r="U62" s="428" t="str">
        <f>IF(AND(G62&gt;0,OR(C62="",C62="&lt;Enter detailed description here; use Comments section if needed&gt;")),"NO DESCRIPTION PROVIDED - please enter detailed description in Other box at left; use Comments section below if needed.","")</f>
        <v/>
      </c>
      <c r="V62" s="1299"/>
      <c r="W62" s="3317"/>
      <c r="X62" s="3318"/>
    </row>
    <row r="63" spans="1:24" s="325" customFormat="1" ht="12" customHeight="1" thickBot="1">
      <c r="A63" s="429" t="str">
        <f>IF(AND(G63&gt;0,OR(C63="",C63="&lt;Enter detailed description here; use Comments section if needed&gt;")),"X","")</f>
        <v/>
      </c>
      <c r="B63" s="325" t="s">
        <v>741</v>
      </c>
      <c r="C63" s="3351" t="s">
        <v>3711</v>
      </c>
      <c r="D63" s="3351"/>
      <c r="E63" s="3351"/>
      <c r="F63" s="3352"/>
      <c r="G63" s="3195"/>
      <c r="H63" s="3196"/>
      <c r="J63" s="3195"/>
      <c r="K63" s="3196"/>
      <c r="L63" s="1247"/>
      <c r="M63" s="3195"/>
      <c r="N63" s="3196"/>
      <c r="P63" s="3195"/>
      <c r="Q63" s="3196"/>
      <c r="S63" s="3195"/>
      <c r="T63" s="3196"/>
      <c r="U63" s="428" t="str">
        <f>IF(AND(G63&gt;0,OR(C63="",C63="&lt;Enter detailed description here; use Comments section if needed&gt;")),"NO DESCRIPTION PROVIDED - please enter detailed description in Other box at left; use Comments section below if needed.","")</f>
        <v/>
      </c>
      <c r="V63" s="1299"/>
      <c r="W63" s="3356"/>
      <c r="X63" s="3357"/>
    </row>
    <row r="64" spans="1:24" s="325" customFormat="1" ht="12" customHeight="1" thickTop="1">
      <c r="F64" s="401" t="s">
        <v>191</v>
      </c>
      <c r="G64" s="3321">
        <f>SUM(G52:H63)</f>
        <v>1178171</v>
      </c>
      <c r="H64" s="3322"/>
      <c r="J64" s="3321">
        <f>SUM(J52:K63)</f>
        <v>996537</v>
      </c>
      <c r="K64" s="3322"/>
      <c r="L64" s="403"/>
      <c r="M64" s="3321">
        <f>SUM(M52:N63)</f>
        <v>0</v>
      </c>
      <c r="N64" s="3322"/>
      <c r="P64" s="3321">
        <f>SUM(P52:Q63)</f>
        <v>0</v>
      </c>
      <c r="Q64" s="3322"/>
      <c r="S64" s="3321">
        <f>SUM(S52:T63)</f>
        <v>181634</v>
      </c>
      <c r="T64" s="3322"/>
      <c r="V64" s="1300">
        <f>SUM(V52:V63)</f>
        <v>0</v>
      </c>
      <c r="W64" s="3369"/>
      <c r="X64" s="3370"/>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06">
        <v>248000</v>
      </c>
      <c r="H66" s="3207"/>
      <c r="J66" s="3206">
        <v>248000</v>
      </c>
      <c r="K66" s="3207"/>
      <c r="L66" s="1247"/>
      <c r="M66" s="3206"/>
      <c r="N66" s="3207"/>
      <c r="P66" s="3206"/>
      <c r="Q66" s="3207"/>
      <c r="S66" s="3206"/>
      <c r="T66" s="3207"/>
      <c r="V66" s="1295"/>
      <c r="W66" s="3317"/>
      <c r="X66" s="3318"/>
    </row>
    <row r="67" spans="1:24" s="325" customFormat="1" ht="12" customHeight="1">
      <c r="B67" s="325" t="s">
        <v>478</v>
      </c>
      <c r="G67" s="3217"/>
      <c r="H67" s="3218"/>
      <c r="J67" s="3217"/>
      <c r="K67" s="3218"/>
      <c r="L67" s="1247"/>
      <c r="M67" s="3217"/>
      <c r="N67" s="3218"/>
      <c r="P67" s="3217"/>
      <c r="Q67" s="3218"/>
      <c r="S67" s="3217"/>
      <c r="T67" s="3218"/>
      <c r="V67" s="1295"/>
      <c r="W67" s="3317"/>
      <c r="X67" s="3318"/>
    </row>
    <row r="68" spans="1:24" s="325" customFormat="1" ht="12" customHeight="1">
      <c r="B68" s="325" t="s">
        <v>1127</v>
      </c>
      <c r="D68" s="339" t="s">
        <v>3847</v>
      </c>
      <c r="E68" s="1283">
        <f>'DCA Underwriting Assumptions'!R76</f>
        <v>20000</v>
      </c>
      <c r="F68" s="1284" t="str">
        <f>IF(G68&gt;E68,"CHECK!!!","")</f>
        <v/>
      </c>
      <c r="G68" s="3217">
        <v>20000</v>
      </c>
      <c r="H68" s="3218"/>
      <c r="J68" s="3217">
        <v>20000</v>
      </c>
      <c r="K68" s="3218"/>
      <c r="L68" s="1247"/>
      <c r="M68" s="3217"/>
      <c r="N68" s="3218"/>
      <c r="P68" s="3217"/>
      <c r="Q68" s="3218"/>
      <c r="S68" s="3217"/>
      <c r="T68" s="3218"/>
      <c r="V68" s="1295"/>
      <c r="W68" s="3317"/>
      <c r="X68" s="3318"/>
    </row>
    <row r="69" spans="1:24" s="325" customFormat="1" ht="12" customHeight="1">
      <c r="B69" s="325" t="s">
        <v>1128</v>
      </c>
      <c r="G69" s="3217"/>
      <c r="H69" s="3218"/>
      <c r="J69" s="3217"/>
      <c r="K69" s="3218"/>
      <c r="L69" s="1247"/>
      <c r="M69" s="3217"/>
      <c r="N69" s="3218"/>
      <c r="P69" s="3217"/>
      <c r="Q69" s="3218"/>
      <c r="S69" s="3217"/>
      <c r="T69" s="3218"/>
      <c r="V69" s="1295"/>
      <c r="W69" s="3317"/>
      <c r="X69" s="3318"/>
    </row>
    <row r="70" spans="1:24" s="325" customFormat="1" ht="12" customHeight="1">
      <c r="B70" s="325" t="s">
        <v>1129</v>
      </c>
      <c r="G70" s="3217">
        <v>18500</v>
      </c>
      <c r="H70" s="3218"/>
      <c r="J70" s="3217">
        <v>18500</v>
      </c>
      <c r="K70" s="3218"/>
      <c r="L70" s="1247"/>
      <c r="M70" s="3217"/>
      <c r="N70" s="3218"/>
      <c r="P70" s="3217"/>
      <c r="Q70" s="3218"/>
      <c r="S70" s="3217"/>
      <c r="T70" s="3218"/>
      <c r="V70" s="1295"/>
      <c r="W70" s="3317"/>
      <c r="X70" s="3318"/>
    </row>
    <row r="71" spans="1:24" s="325" customFormat="1" ht="12" customHeight="1">
      <c r="B71" s="325" t="s">
        <v>1130</v>
      </c>
      <c r="G71" s="3217">
        <v>20000</v>
      </c>
      <c r="H71" s="3218"/>
      <c r="J71" s="3217">
        <v>20000</v>
      </c>
      <c r="K71" s="3218"/>
      <c r="L71" s="1247"/>
      <c r="M71" s="3217"/>
      <c r="N71" s="3218"/>
      <c r="P71" s="3217"/>
      <c r="Q71" s="3218"/>
      <c r="S71" s="3217"/>
      <c r="T71" s="3218"/>
      <c r="V71" s="1295"/>
      <c r="W71" s="3317"/>
      <c r="X71" s="3318"/>
    </row>
    <row r="72" spans="1:24" s="325" customFormat="1" ht="12" customHeight="1">
      <c r="B72" s="325" t="s">
        <v>479</v>
      </c>
      <c r="G72" s="3217">
        <v>100000</v>
      </c>
      <c r="H72" s="3218"/>
      <c r="J72" s="3217">
        <v>100000</v>
      </c>
      <c r="K72" s="3218"/>
      <c r="L72" s="1247"/>
      <c r="M72" s="3217"/>
      <c r="N72" s="3218"/>
      <c r="P72" s="3217"/>
      <c r="Q72" s="3218"/>
      <c r="S72" s="3217"/>
      <c r="T72" s="3218"/>
      <c r="V72" s="1295"/>
      <c r="W72" s="3317"/>
      <c r="X72" s="3318"/>
    </row>
    <row r="73" spans="1:24" s="325" customFormat="1" ht="12" customHeight="1">
      <c r="B73" s="325" t="s">
        <v>480</v>
      </c>
      <c r="G73" s="3217">
        <v>175000</v>
      </c>
      <c r="H73" s="3218"/>
      <c r="J73" s="3217">
        <v>87500</v>
      </c>
      <c r="K73" s="3218"/>
      <c r="L73" s="1247"/>
      <c r="M73" s="3217"/>
      <c r="N73" s="3218"/>
      <c r="P73" s="3217"/>
      <c r="Q73" s="3218"/>
      <c r="S73" s="3217">
        <v>87500</v>
      </c>
      <c r="T73" s="3218"/>
      <c r="V73" s="1295"/>
      <c r="W73" s="3317"/>
      <c r="X73" s="3318"/>
    </row>
    <row r="74" spans="1:24" s="325" customFormat="1" ht="12" customHeight="1">
      <c r="B74" s="325" t="s">
        <v>2048</v>
      </c>
      <c r="G74" s="3217">
        <v>40000</v>
      </c>
      <c r="H74" s="3218"/>
      <c r="J74" s="3217">
        <v>40000</v>
      </c>
      <c r="K74" s="3218"/>
      <c r="L74" s="1247"/>
      <c r="M74" s="3217"/>
      <c r="N74" s="3218"/>
      <c r="P74" s="3217"/>
      <c r="Q74" s="3218"/>
      <c r="S74" s="3217"/>
      <c r="T74" s="3218"/>
      <c r="V74" s="1295"/>
      <c r="W74" s="3317"/>
      <c r="X74" s="3318"/>
    </row>
    <row r="75" spans="1:24" s="325" customFormat="1" ht="12" customHeight="1">
      <c r="B75" s="325" t="s">
        <v>1277</v>
      </c>
      <c r="G75" s="3217">
        <v>10000</v>
      </c>
      <c r="H75" s="3218"/>
      <c r="J75" s="3217">
        <v>10000</v>
      </c>
      <c r="K75" s="3218"/>
      <c r="L75" s="1247"/>
      <c r="M75" s="3217"/>
      <c r="N75" s="3218"/>
      <c r="P75" s="3217"/>
      <c r="Q75" s="3218"/>
      <c r="S75" s="3217"/>
      <c r="T75" s="3218"/>
      <c r="V75" s="1295"/>
      <c r="W75" s="3317"/>
      <c r="X75" s="3318"/>
    </row>
    <row r="76" spans="1:24" s="325" customFormat="1" ht="12" customHeight="1" thickBot="1">
      <c r="A76" s="429" t="str">
        <f>IF(AND(G76&gt;0,OR(C76="",C76="&lt;Enter detailed description here; use Comments section if needed&gt;")),"X","")</f>
        <v/>
      </c>
      <c r="B76" s="325" t="s">
        <v>741</v>
      </c>
      <c r="C76" s="3319" t="s">
        <v>5284</v>
      </c>
      <c r="D76" s="3319"/>
      <c r="E76" s="3319"/>
      <c r="F76" s="3320"/>
      <c r="G76" s="3195">
        <v>9000</v>
      </c>
      <c r="H76" s="3196"/>
      <c r="J76" s="3195">
        <v>9000</v>
      </c>
      <c r="K76" s="3196"/>
      <c r="L76" s="1247"/>
      <c r="M76" s="3195"/>
      <c r="N76" s="3196"/>
      <c r="P76" s="3195"/>
      <c r="Q76" s="3196"/>
      <c r="S76" s="3195"/>
      <c r="T76" s="3196"/>
      <c r="U76" s="428" t="str">
        <f>IF(AND(G76&gt;0,OR(C76="",C76="&lt;Enter detailed description here; use Comments section if needed&gt;")),"NO DESCRIPTION PROVIDED - please enter detailed description in Other box at left; use Comments section below if needed.","")</f>
        <v/>
      </c>
      <c r="V76" s="1295"/>
      <c r="W76" s="3356"/>
      <c r="X76" s="3357"/>
    </row>
    <row r="77" spans="1:24" s="325" customFormat="1" ht="12" customHeight="1" thickTop="1">
      <c r="F77" s="401" t="s">
        <v>191</v>
      </c>
      <c r="G77" s="3321">
        <f>SUM(G66:H76)</f>
        <v>640500</v>
      </c>
      <c r="H77" s="3322"/>
      <c r="J77" s="3321">
        <f>SUM(J66:K76)</f>
        <v>553000</v>
      </c>
      <c r="K77" s="3322"/>
      <c r="L77" s="403"/>
      <c r="M77" s="3321">
        <f>SUM(M66:N76)</f>
        <v>0</v>
      </c>
      <c r="N77" s="3322"/>
      <c r="P77" s="3321">
        <f>SUM(P66:Q76)</f>
        <v>0</v>
      </c>
      <c r="Q77" s="3322"/>
      <c r="S77" s="3321">
        <f>SUM(S66:T76)</f>
        <v>87500</v>
      </c>
      <c r="T77" s="3322"/>
      <c r="V77" s="1297">
        <f>SUM(V66:V76)</f>
        <v>0</v>
      </c>
      <c r="W77" s="3369"/>
      <c r="X77" s="3370"/>
    </row>
    <row r="78" spans="1:24" ht="12" customHeight="1">
      <c r="A78" s="325"/>
      <c r="B78" s="327" t="s">
        <v>1269</v>
      </c>
      <c r="C78" s="325"/>
      <c r="D78" s="1039" t="s">
        <v>3734</v>
      </c>
      <c r="E78" s="1142">
        <f>G83/'Part VI-Revenues &amp; Expenses'!$O$67</f>
        <v>2671.4423076923076</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06">
        <v>159425</v>
      </c>
      <c r="H79" s="3207"/>
      <c r="J79" s="3206">
        <v>159425</v>
      </c>
      <c r="K79" s="3207"/>
      <c r="L79" s="1247"/>
      <c r="M79" s="3206"/>
      <c r="N79" s="3207"/>
      <c r="P79" s="3206"/>
      <c r="Q79" s="3207"/>
      <c r="S79" s="3206"/>
      <c r="T79" s="3207"/>
      <c r="V79" s="1295"/>
      <c r="W79" s="3317"/>
      <c r="X79" s="3318"/>
    </row>
    <row r="80" spans="1:24" s="325" customFormat="1" ht="12" customHeight="1">
      <c r="B80" s="325" t="s">
        <v>1271</v>
      </c>
      <c r="G80" s="3217">
        <v>257320</v>
      </c>
      <c r="H80" s="3218"/>
      <c r="J80" s="3217">
        <v>257320</v>
      </c>
      <c r="K80" s="3218"/>
      <c r="L80" s="1247"/>
      <c r="M80" s="3217"/>
      <c r="N80" s="3218"/>
      <c r="P80" s="3217"/>
      <c r="Q80" s="3218"/>
      <c r="S80" s="3217"/>
      <c r="T80" s="3218"/>
      <c r="V80" s="1295"/>
      <c r="W80" s="3317"/>
      <c r="X80" s="3318"/>
    </row>
    <row r="81" spans="1:24" s="325" customFormat="1" ht="12" customHeight="1">
      <c r="B81" s="325" t="s">
        <v>1272</v>
      </c>
      <c r="D81" s="409" t="s">
        <v>1403</v>
      </c>
      <c r="E81" s="1321" t="s">
        <v>2992</v>
      </c>
      <c r="G81" s="3217"/>
      <c r="H81" s="3218"/>
      <c r="I81" s="346"/>
      <c r="J81" s="3217"/>
      <c r="K81" s="3218"/>
      <c r="L81" s="1247"/>
      <c r="M81" s="3217"/>
      <c r="N81" s="3218"/>
      <c r="P81" s="3217"/>
      <c r="Q81" s="3218"/>
      <c r="S81" s="3217"/>
      <c r="T81" s="3218"/>
      <c r="V81" s="1295"/>
      <c r="W81" s="3317"/>
      <c r="X81" s="3318"/>
    </row>
    <row r="82" spans="1:24" s="325" customFormat="1" ht="12" customHeight="1" thickBot="1">
      <c r="B82" s="325" t="s">
        <v>1273</v>
      </c>
      <c r="D82" s="409" t="s">
        <v>1403</v>
      </c>
      <c r="E82" s="1322" t="s">
        <v>2992</v>
      </c>
      <c r="G82" s="3195"/>
      <c r="H82" s="3196"/>
      <c r="I82" s="346"/>
      <c r="J82" s="3195"/>
      <c r="K82" s="3196"/>
      <c r="L82" s="1247"/>
      <c r="M82" s="3195"/>
      <c r="N82" s="3196"/>
      <c r="P82" s="3195"/>
      <c r="Q82" s="3196"/>
      <c r="S82" s="3195"/>
      <c r="T82" s="3196"/>
      <c r="V82" s="1295"/>
      <c r="W82" s="3356"/>
      <c r="X82" s="3357"/>
    </row>
    <row r="83" spans="1:24" s="325" customFormat="1" ht="12" customHeight="1" thickTop="1">
      <c r="F83" s="401" t="s">
        <v>191</v>
      </c>
      <c r="G83" s="3321">
        <f>SUM(G79:H82)</f>
        <v>416745</v>
      </c>
      <c r="H83" s="3322"/>
      <c r="J83" s="3321">
        <f>SUM(J79:K82)</f>
        <v>416745</v>
      </c>
      <c r="K83" s="3322"/>
      <c r="L83" s="403"/>
      <c r="M83" s="3321">
        <f>SUM(M79:N82)</f>
        <v>0</v>
      </c>
      <c r="N83" s="3322"/>
      <c r="P83" s="3321">
        <f>SUM(P79:Q82)</f>
        <v>0</v>
      </c>
      <c r="Q83" s="3322"/>
      <c r="S83" s="3321">
        <f>SUM(S79:T82)</f>
        <v>0</v>
      </c>
      <c r="T83" s="3322"/>
      <c r="V83" s="1297">
        <f>SUM(V79:V82)</f>
        <v>0</v>
      </c>
      <c r="W83" s="3369"/>
      <c r="X83" s="3370"/>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06">
        <v>129911</v>
      </c>
      <c r="H85" s="3207"/>
      <c r="J85" s="3355"/>
      <c r="K85" s="3355"/>
      <c r="L85" s="1247"/>
      <c r="M85" s="3355"/>
      <c r="N85" s="3355"/>
      <c r="P85" s="3355"/>
      <c r="Q85" s="3355"/>
      <c r="S85" s="3206">
        <v>129911</v>
      </c>
      <c r="T85" s="3207"/>
      <c r="V85" s="1295"/>
      <c r="W85" s="3317"/>
      <c r="X85" s="3318"/>
    </row>
    <row r="86" spans="1:24" s="325" customFormat="1" ht="12" customHeight="1">
      <c r="B86" s="325" t="s">
        <v>1275</v>
      </c>
      <c r="G86" s="3217">
        <v>60000</v>
      </c>
      <c r="H86" s="3218"/>
      <c r="J86" s="3355"/>
      <c r="K86" s="3355"/>
      <c r="L86" s="1247"/>
      <c r="M86" s="3355"/>
      <c r="N86" s="3355"/>
      <c r="P86" s="3355"/>
      <c r="Q86" s="3355"/>
      <c r="S86" s="3217">
        <v>60000</v>
      </c>
      <c r="T86" s="3218"/>
      <c r="V86" s="1295"/>
      <c r="W86" s="3317"/>
      <c r="X86" s="3318"/>
    </row>
    <row r="87" spans="1:24" s="325" customFormat="1" ht="12" customHeight="1">
      <c r="B87" s="325" t="s">
        <v>1276</v>
      </c>
      <c r="G87" s="3217"/>
      <c r="H87" s="3218"/>
      <c r="J87" s="3355"/>
      <c r="K87" s="3355"/>
      <c r="L87" s="1247"/>
      <c r="M87" s="3355"/>
      <c r="N87" s="3355"/>
      <c r="P87" s="3355"/>
      <c r="Q87" s="3355"/>
      <c r="S87" s="3217"/>
      <c r="T87" s="3218"/>
      <c r="V87" s="1295"/>
      <c r="W87" s="3317"/>
      <c r="X87" s="3318"/>
    </row>
    <row r="88" spans="1:24" s="325" customFormat="1" ht="12" customHeight="1">
      <c r="B88" s="325" t="s">
        <v>1278</v>
      </c>
      <c r="G88" s="3217"/>
      <c r="H88" s="3218"/>
      <c r="J88" s="3355"/>
      <c r="K88" s="3355"/>
      <c r="L88" s="1247"/>
      <c r="M88" s="3355"/>
      <c r="N88" s="3355"/>
      <c r="P88" s="3355"/>
      <c r="Q88" s="3355"/>
      <c r="S88" s="3217"/>
      <c r="T88" s="3218"/>
      <c r="V88" s="1295"/>
      <c r="W88" s="3317"/>
      <c r="X88" s="3318"/>
    </row>
    <row r="89" spans="1:24" s="325" customFormat="1" ht="12" customHeight="1">
      <c r="B89" s="325" t="s">
        <v>2297</v>
      </c>
      <c r="G89" s="3217">
        <v>361225</v>
      </c>
      <c r="H89" s="3218"/>
      <c r="J89" s="3355"/>
      <c r="K89" s="3355"/>
      <c r="L89" s="1247"/>
      <c r="M89" s="3355"/>
      <c r="N89" s="3355"/>
      <c r="P89" s="3355"/>
      <c r="Q89" s="3355"/>
      <c r="S89" s="3217">
        <v>361225</v>
      </c>
      <c r="T89" s="3218"/>
      <c r="V89" s="1295"/>
      <c r="W89" s="3317"/>
      <c r="X89" s="3318"/>
    </row>
    <row r="90" spans="1:24" s="325" customFormat="1" ht="12" customHeight="1" thickBot="1">
      <c r="A90" s="429" t="str">
        <f>IF(AND(G90&gt;0,OR(C90="",C90="&lt;Enter detailed description here; use Comments section if needed&gt;")),"X","")</f>
        <v/>
      </c>
      <c r="B90" s="325" t="s">
        <v>741</v>
      </c>
      <c r="C90" s="3319" t="s">
        <v>3711</v>
      </c>
      <c r="D90" s="3319"/>
      <c r="E90" s="3319"/>
      <c r="F90" s="3320"/>
      <c r="G90" s="3195"/>
      <c r="H90" s="3196"/>
      <c r="J90" s="3355"/>
      <c r="K90" s="3355"/>
      <c r="L90" s="1247"/>
      <c r="M90" s="3355"/>
      <c r="N90" s="3355"/>
      <c r="P90" s="3355"/>
      <c r="Q90" s="3355"/>
      <c r="S90" s="3195"/>
      <c r="T90" s="3196"/>
      <c r="U90" s="428" t="str">
        <f>IF(AND(G90&gt;0,OR(C90="",C90="&lt;Enter detailed description here; use Comments section if needed&gt;")),"NO DESCRIPTION PROVIDED - please enter detailed description in Other box at left; use Comments section below if needed.","")</f>
        <v/>
      </c>
      <c r="V90" s="1295"/>
      <c r="W90" s="3356"/>
      <c r="X90" s="3357"/>
    </row>
    <row r="91" spans="1:24" s="325" customFormat="1" ht="12" customHeight="1" thickTop="1">
      <c r="F91" s="401" t="s">
        <v>191</v>
      </c>
      <c r="G91" s="3321">
        <f>SUM(G85:H90)</f>
        <v>551136</v>
      </c>
      <c r="H91" s="3322"/>
      <c r="J91" s="3355"/>
      <c r="K91" s="3355"/>
      <c r="L91" s="403"/>
      <c r="M91" s="3355"/>
      <c r="N91" s="3355"/>
      <c r="P91" s="3355"/>
      <c r="Q91" s="3355"/>
      <c r="S91" s="3321">
        <f>SUM(S85:T90)</f>
        <v>551136</v>
      </c>
      <c r="T91" s="3322"/>
      <c r="V91" s="1297">
        <f>SUM(V85:V90)</f>
        <v>0</v>
      </c>
      <c r="W91" s="3369"/>
      <c r="X91" s="3370"/>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2843</v>
      </c>
      <c r="H93" s="1238"/>
      <c r="I93" s="1238"/>
      <c r="J93" s="3307" t="s">
        <v>271</v>
      </c>
      <c r="K93" s="3308"/>
      <c r="L93" s="400"/>
      <c r="M93" s="3311" t="s">
        <v>489</v>
      </c>
      <c r="N93" s="3312"/>
      <c r="P93" s="3307" t="s">
        <v>272</v>
      </c>
      <c r="Q93" s="3308"/>
      <c r="S93" s="3307" t="s">
        <v>273</v>
      </c>
      <c r="T93" s="3308"/>
      <c r="V93" s="487" t="str">
        <f>B93</f>
        <v>DEVELOPMENT BUDGET  (cont'd)</v>
      </c>
    </row>
    <row r="94" spans="1:24" s="325" customFormat="1" ht="18" customHeight="1" thickBot="1">
      <c r="G94" s="3315" t="s">
        <v>101</v>
      </c>
      <c r="H94" s="3316"/>
      <c r="J94" s="3309"/>
      <c r="K94" s="3310"/>
      <c r="L94" s="400"/>
      <c r="M94" s="3313"/>
      <c r="N94" s="3314"/>
      <c r="P94" s="3309"/>
      <c r="Q94" s="3310"/>
      <c r="S94" s="3309"/>
      <c r="T94" s="3310"/>
      <c r="V94" s="371" t="s">
        <v>2682</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06"/>
      <c r="H96" s="3207"/>
      <c r="J96" s="403"/>
      <c r="K96" s="403"/>
      <c r="L96" s="1247"/>
      <c r="M96" s="403"/>
      <c r="N96" s="403"/>
      <c r="P96" s="403"/>
      <c r="Q96" s="403"/>
      <c r="S96" s="3206"/>
      <c r="T96" s="3207"/>
      <c r="V96" s="1295"/>
      <c r="W96" s="3317"/>
      <c r="X96" s="3318"/>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17">
        <v>5000</v>
      </c>
      <c r="H97" s="3218"/>
      <c r="J97" s="403"/>
      <c r="K97" s="403"/>
      <c r="L97" s="410"/>
      <c r="M97" s="403"/>
      <c r="N97" s="403"/>
      <c r="P97" s="403"/>
      <c r="Q97" s="403"/>
      <c r="S97" s="3217">
        <v>5000</v>
      </c>
      <c r="T97" s="3218"/>
      <c r="V97" s="1295"/>
      <c r="W97" s="3317"/>
      <c r="X97" s="3318"/>
    </row>
    <row r="98" spans="1:24" s="325" customFormat="1" ht="12.6" customHeight="1">
      <c r="B98" s="325" t="s">
        <v>3949</v>
      </c>
      <c r="G98" s="3217">
        <v>2500</v>
      </c>
      <c r="H98" s="3218"/>
      <c r="J98" s="403"/>
      <c r="K98" s="403"/>
      <c r="L98" s="410"/>
      <c r="M98" s="403"/>
      <c r="N98" s="403"/>
      <c r="O98" s="1238"/>
      <c r="P98" s="403"/>
      <c r="Q98" s="403"/>
      <c r="S98" s="3217">
        <v>2500</v>
      </c>
      <c r="T98" s="3218"/>
      <c r="V98" s="1295"/>
      <c r="W98" s="3317"/>
      <c r="X98" s="3318"/>
    </row>
    <row r="99" spans="1:24" s="325" customFormat="1" ht="12.6" customHeight="1">
      <c r="B99" s="325" t="s">
        <v>519</v>
      </c>
      <c r="E99" s="3358">
        <f>ROUNDUP('DCA Underwriting Assumptions'!$Q$88*J175,0)</f>
        <v>97077</v>
      </c>
      <c r="F99" s="3359"/>
      <c r="G99" s="3217">
        <v>97077</v>
      </c>
      <c r="H99" s="3218"/>
      <c r="J99" s="1143" t="str">
        <f>IF(E99&gt;G99,"WARNING!  LIHTC Allocation Fee proposed is below minimum required.","")</f>
        <v/>
      </c>
      <c r="K99" s="403"/>
      <c r="L99" s="1247"/>
      <c r="M99" s="403"/>
      <c r="N99" s="403"/>
      <c r="O99" s="1238"/>
      <c r="P99" s="403"/>
      <c r="Q99" s="403"/>
      <c r="S99" s="3217">
        <v>97077</v>
      </c>
      <c r="T99" s="3218"/>
      <c r="V99" s="1295"/>
      <c r="W99" s="3317"/>
      <c r="X99" s="3318"/>
    </row>
    <row r="100" spans="1:24" s="325" customFormat="1" ht="12.6" customHeight="1">
      <c r="B100" s="325" t="s">
        <v>753</v>
      </c>
      <c r="E100" s="335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156000</v>
      </c>
      <c r="F100" s="3359"/>
      <c r="G100" s="3217">
        <v>156000</v>
      </c>
      <c r="H100" s="3218"/>
      <c r="J100" s="1143" t="str">
        <f>IF(E100&gt;G100,"WARNING!  LIHTC Compliance Fee proposed is below minimum required.","")</f>
        <v/>
      </c>
      <c r="K100" s="188"/>
      <c r="L100" s="188"/>
      <c r="M100" s="188"/>
      <c r="N100" s="188"/>
      <c r="O100" s="188"/>
      <c r="P100" s="188"/>
      <c r="Q100" s="188"/>
      <c r="S100" s="3217">
        <v>156000</v>
      </c>
      <c r="T100" s="3218"/>
      <c r="V100" s="1295"/>
      <c r="W100" s="3317"/>
      <c r="X100" s="3318"/>
    </row>
    <row r="101" spans="1:24" s="325" customFormat="1" ht="12.6" customHeight="1">
      <c r="B101" s="325" t="s">
        <v>4240</v>
      </c>
      <c r="F101" s="1555">
        <f>ROUNDUP('DCA Underwriting Assumptions'!$Q$90,0)</f>
        <v>3000</v>
      </c>
      <c r="G101" s="3217">
        <v>3000</v>
      </c>
      <c r="H101" s="3218"/>
      <c r="J101" s="188"/>
      <c r="K101" s="188"/>
      <c r="L101" s="188"/>
      <c r="M101" s="188"/>
      <c r="N101" s="188"/>
      <c r="O101" s="188"/>
      <c r="P101" s="188"/>
      <c r="Q101" s="188"/>
      <c r="S101" s="3217">
        <v>3000</v>
      </c>
      <c r="T101" s="3218"/>
      <c r="V101" s="1295"/>
      <c r="W101" s="3317"/>
      <c r="X101" s="3318"/>
    </row>
    <row r="102" spans="1:24" s="325" customFormat="1" ht="12.6" customHeight="1">
      <c r="B102" s="325" t="s">
        <v>4241</v>
      </c>
      <c r="F102" s="1555">
        <f>ROUNDUP('DCA Underwriting Assumptions'!$Q$113,0)</f>
        <v>3000</v>
      </c>
      <c r="G102" s="3217">
        <v>3000</v>
      </c>
      <c r="H102" s="3218"/>
      <c r="J102" s="188"/>
      <c r="K102" s="188"/>
      <c r="L102" s="188"/>
      <c r="M102" s="188"/>
      <c r="N102" s="188"/>
      <c r="O102" s="188"/>
      <c r="P102" s="188"/>
      <c r="Q102" s="188"/>
      <c r="S102" s="3217">
        <v>3000</v>
      </c>
      <c r="T102" s="3218"/>
      <c r="V102" s="1295"/>
      <c r="W102" s="3317"/>
      <c r="X102" s="3318"/>
    </row>
    <row r="103" spans="1:24" s="325" customFormat="1" ht="12.6" customHeight="1">
      <c r="A103" s="429" t="str">
        <f>IF(AND(G103&gt;0,OR(C103="",C103="&lt;Enter detailed description here; use Comments section if needed&gt;")),"X","")</f>
        <v/>
      </c>
      <c r="B103" s="325" t="s">
        <v>741</v>
      </c>
      <c r="C103" s="3353" t="s">
        <v>3711</v>
      </c>
      <c r="D103" s="3353"/>
      <c r="E103" s="3353"/>
      <c r="F103" s="3354"/>
      <c r="G103" s="3217"/>
      <c r="H103" s="3218"/>
      <c r="J103" s="188"/>
      <c r="K103" s="188"/>
      <c r="L103" s="188"/>
      <c r="M103" s="188"/>
      <c r="N103" s="188"/>
      <c r="O103" s="188"/>
      <c r="P103" s="188"/>
      <c r="Q103" s="188"/>
      <c r="S103" s="3217"/>
      <c r="T103" s="3218"/>
      <c r="U103" s="428" t="str">
        <f>IF(AND(G103&gt;0,OR(C103="",C103="&lt;Enter detailed description here; use Comments section if needed&gt;")),"NO DESCRIPTION PROVIDED - please enter detailed description in Other box at left; use Comments section below if needed.","")</f>
        <v/>
      </c>
      <c r="V103" s="1295"/>
      <c r="W103" s="3317"/>
      <c r="X103" s="3318"/>
    </row>
    <row r="104" spans="1:24" s="325" customFormat="1" ht="12.6" customHeight="1" thickBot="1">
      <c r="A104" s="429" t="str">
        <f>IF(AND(G104&gt;0,OR(C104="",C104="&lt;Enter detailed description here; use Comments section if needed&gt;")),"X","")</f>
        <v/>
      </c>
      <c r="B104" s="325" t="s">
        <v>741</v>
      </c>
      <c r="C104" s="3351" t="s">
        <v>3711</v>
      </c>
      <c r="D104" s="3351"/>
      <c r="E104" s="3351"/>
      <c r="F104" s="3352"/>
      <c r="G104" s="3195"/>
      <c r="H104" s="3196"/>
      <c r="J104" s="188"/>
      <c r="K104" s="188"/>
      <c r="L104" s="188"/>
      <c r="M104" s="188"/>
      <c r="N104" s="188"/>
      <c r="O104" s="188"/>
      <c r="P104" s="188"/>
      <c r="Q104" s="188"/>
      <c r="S104" s="3195"/>
      <c r="T104" s="3196"/>
      <c r="U104" s="428" t="str">
        <f>IF(AND(G104&gt;0,OR(C104="",C104="&lt;Enter detailed description here; use Comments section if needed&gt;")),"NO DESCRIPTION PROVIDED - please enter detailed description in Other box at left; use Comments section below if needed.","")</f>
        <v/>
      </c>
      <c r="V104" s="1295"/>
      <c r="W104" s="3356"/>
      <c r="X104" s="3357"/>
    </row>
    <row r="105" spans="1:24" s="325" customFormat="1" ht="12.6" customHeight="1" thickTop="1">
      <c r="F105" s="401" t="s">
        <v>191</v>
      </c>
      <c r="G105" s="3321">
        <f>SUM(G96:H104)</f>
        <v>266577</v>
      </c>
      <c r="H105" s="3322"/>
      <c r="J105" s="403"/>
      <c r="K105" s="403"/>
      <c r="L105" s="1247"/>
      <c r="M105" s="403"/>
      <c r="N105" s="403"/>
      <c r="P105" s="403"/>
      <c r="Q105" s="403"/>
      <c r="S105" s="3321">
        <f>SUM(S96:T104)</f>
        <v>266577</v>
      </c>
      <c r="T105" s="3322"/>
      <c r="V105" s="1297">
        <f>SUM(V96:V104)</f>
        <v>0</v>
      </c>
      <c r="W105" s="3432"/>
      <c r="X105" s="3433"/>
    </row>
    <row r="106" spans="1:24" s="325" customFormat="1" ht="13.35" customHeight="1">
      <c r="B106" s="327" t="s">
        <v>2298</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06">
        <v>50000</v>
      </c>
      <c r="H107" s="3207"/>
      <c r="J107" s="3355"/>
      <c r="K107" s="3355"/>
      <c r="L107" s="1247"/>
      <c r="M107" s="3355"/>
      <c r="N107" s="3355"/>
      <c r="O107" s="1238"/>
      <c r="P107" s="3355"/>
      <c r="Q107" s="3355"/>
      <c r="S107" s="3206">
        <v>50000</v>
      </c>
      <c r="T107" s="3207"/>
      <c r="V107" s="1295"/>
      <c r="W107" s="3317"/>
      <c r="X107" s="3318"/>
    </row>
    <row r="108" spans="1:24" s="325" customFormat="1" ht="12.6" customHeight="1">
      <c r="B108" s="325" t="s">
        <v>280</v>
      </c>
      <c r="G108" s="3217"/>
      <c r="H108" s="3218"/>
      <c r="J108" s="3355"/>
      <c r="K108" s="3355"/>
      <c r="L108" s="1247"/>
      <c r="M108" s="3355"/>
      <c r="N108" s="3355"/>
      <c r="O108" s="1238"/>
      <c r="P108" s="3355"/>
      <c r="Q108" s="3355"/>
      <c r="S108" s="3217"/>
      <c r="T108" s="3218"/>
      <c r="V108" s="1295"/>
      <c r="W108" s="3317"/>
      <c r="X108" s="3318"/>
    </row>
    <row r="109" spans="1:24" s="325" customFormat="1" ht="12.6" customHeight="1">
      <c r="B109" s="325" t="s">
        <v>2385</v>
      </c>
      <c r="G109" s="3217">
        <v>50000</v>
      </c>
      <c r="H109" s="3218"/>
      <c r="J109" s="3355"/>
      <c r="K109" s="3355"/>
      <c r="L109" s="1247"/>
      <c r="M109" s="3355"/>
      <c r="N109" s="3355"/>
      <c r="O109" s="1238"/>
      <c r="P109" s="3355"/>
      <c r="Q109" s="3355"/>
      <c r="S109" s="3217">
        <v>50000</v>
      </c>
      <c r="T109" s="3218"/>
      <c r="V109" s="1295"/>
      <c r="W109" s="3317"/>
      <c r="X109" s="3318"/>
    </row>
    <row r="110" spans="1:24" s="325" customFormat="1" ht="12.6" customHeight="1" thickBot="1">
      <c r="A110" s="429" t="str">
        <f>IF(AND(G110&gt;0,OR(C110="",C110="&lt;Enter detailed description here; use Comments section if needed&gt;")),"X","")</f>
        <v/>
      </c>
      <c r="B110" s="325" t="s">
        <v>741</v>
      </c>
      <c r="C110" s="3319" t="s">
        <v>3711</v>
      </c>
      <c r="D110" s="3319"/>
      <c r="E110" s="3319"/>
      <c r="F110" s="3320"/>
      <c r="G110" s="3195"/>
      <c r="H110" s="3196"/>
      <c r="J110" s="3355"/>
      <c r="K110" s="3355"/>
      <c r="L110" s="1247"/>
      <c r="M110" s="3355"/>
      <c r="N110" s="3355"/>
      <c r="O110" s="1238"/>
      <c r="P110" s="3355"/>
      <c r="Q110" s="3355"/>
      <c r="S110" s="3195"/>
      <c r="T110" s="3196"/>
      <c r="U110" s="428" t="str">
        <f>IF(AND(G110&gt;0,OR(C110="",C110="&lt;Enter detailed description here; use Comments section if needed&gt;")),"NO DESCRIPTION PROVIDED - please enter detailed description in Other box at left; use Comments section below if needed.","")</f>
        <v/>
      </c>
      <c r="V110" s="1295"/>
      <c r="W110" s="3356"/>
      <c r="X110" s="3357"/>
    </row>
    <row r="111" spans="1:24" s="325" customFormat="1" ht="12.6" customHeight="1" thickTop="1">
      <c r="F111" s="401" t="s">
        <v>191</v>
      </c>
      <c r="G111" s="3321">
        <f>SUM(G107:H110)</f>
        <v>100000</v>
      </c>
      <c r="H111" s="3322"/>
      <c r="J111" s="3355"/>
      <c r="K111" s="3355"/>
      <c r="L111" s="1247"/>
      <c r="M111" s="3355"/>
      <c r="N111" s="3355"/>
      <c r="O111" s="1238"/>
      <c r="P111" s="3355"/>
      <c r="Q111" s="3355"/>
      <c r="S111" s="3321">
        <f>SUM(S107:T110)</f>
        <v>100000</v>
      </c>
      <c r="T111" s="3322"/>
      <c r="V111" s="1297">
        <f>SUM(V107:V110)</f>
        <v>0</v>
      </c>
      <c r="W111" s="3369"/>
      <c r="X111" s="3370"/>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1859</v>
      </c>
      <c r="F113" s="457">
        <f>IF($G$118=0,0,G113/$G$118)</f>
        <v>0.5</v>
      </c>
      <c r="G113" s="3360">
        <v>1576420</v>
      </c>
      <c r="H113" s="3360"/>
      <c r="J113" s="3361">
        <v>1576420</v>
      </c>
      <c r="K113" s="3362"/>
      <c r="L113" s="402"/>
      <c r="M113" s="3361"/>
      <c r="N113" s="3362"/>
      <c r="P113" s="3361"/>
      <c r="Q113" s="3362"/>
      <c r="S113" s="3361"/>
      <c r="T113" s="3362"/>
      <c r="V113" s="1295"/>
      <c r="W113" s="3317"/>
      <c r="X113" s="3318"/>
    </row>
    <row r="114" spans="1:24" s="325" customFormat="1" ht="12.6" customHeight="1">
      <c r="B114" s="325" t="s">
        <v>4196</v>
      </c>
      <c r="F114" s="1533">
        <v>1261136</v>
      </c>
      <c r="V114" s="1295"/>
      <c r="W114" s="3317"/>
      <c r="X114" s="3318"/>
    </row>
    <row r="115" spans="1:24" s="325" customFormat="1" ht="12.6" customHeight="1">
      <c r="B115" s="325" t="s">
        <v>1860</v>
      </c>
      <c r="F115" s="457">
        <f>IF($G$118=0,0,G115/$G$118)</f>
        <v>0</v>
      </c>
      <c r="G115" s="3206"/>
      <c r="H115" s="3207"/>
      <c r="J115" s="3206"/>
      <c r="K115" s="3207"/>
      <c r="L115" s="1247"/>
      <c r="M115" s="3206"/>
      <c r="N115" s="3207"/>
      <c r="P115" s="3206"/>
      <c r="Q115" s="3207"/>
      <c r="S115" s="3206"/>
      <c r="T115" s="3207"/>
      <c r="V115" s="1295"/>
      <c r="W115" s="3317"/>
      <c r="X115" s="3318"/>
    </row>
    <row r="116" spans="1:24" s="325" customFormat="1" ht="12.6" customHeight="1">
      <c r="B116" s="325" t="s">
        <v>3633</v>
      </c>
      <c r="F116" s="457">
        <f>IF($G$118=0,0,G116/$G$118)</f>
        <v>0</v>
      </c>
      <c r="G116" s="3217"/>
      <c r="H116" s="3218"/>
      <c r="J116" s="3217"/>
      <c r="K116" s="3218"/>
      <c r="L116" s="1247"/>
      <c r="M116" s="3217"/>
      <c r="N116" s="3218"/>
      <c r="P116" s="3217"/>
      <c r="Q116" s="3218"/>
      <c r="S116" s="3217"/>
      <c r="T116" s="3218"/>
      <c r="V116" s="1295"/>
      <c r="W116" s="3317"/>
      <c r="X116" s="3318"/>
    </row>
    <row r="117" spans="1:24" s="325" customFormat="1" ht="12.6" customHeight="1" thickBot="1">
      <c r="B117" s="325" t="s">
        <v>1852</v>
      </c>
      <c r="F117" s="457">
        <f>IF($G$118=0,0,G117/$G$118)</f>
        <v>0.5</v>
      </c>
      <c r="G117" s="3195">
        <v>1576420</v>
      </c>
      <c r="H117" s="3196"/>
      <c r="J117" s="3195">
        <v>1576420</v>
      </c>
      <c r="K117" s="3196"/>
      <c r="L117" s="1247"/>
      <c r="M117" s="3195"/>
      <c r="N117" s="3196"/>
      <c r="P117" s="3195"/>
      <c r="Q117" s="3196"/>
      <c r="S117" s="3195"/>
      <c r="T117" s="3196"/>
      <c r="V117" s="1295"/>
      <c r="W117" s="3356"/>
      <c r="X117" s="3357"/>
    </row>
    <row r="118" spans="1:24" s="325" customFormat="1" ht="12.6" customHeight="1" thickTop="1">
      <c r="C118" s="428"/>
      <c r="F118" s="401" t="s">
        <v>191</v>
      </c>
      <c r="G118" s="3363">
        <f>SUM(G113:H117)</f>
        <v>3152840</v>
      </c>
      <c r="H118" s="3364"/>
      <c r="J118" s="3321">
        <f>SUM(J113:K117)</f>
        <v>3152840</v>
      </c>
      <c r="K118" s="3322"/>
      <c r="L118" s="1247"/>
      <c r="M118" s="3321">
        <f>SUM(M113:N117)</f>
        <v>0</v>
      </c>
      <c r="N118" s="3322"/>
      <c r="P118" s="3321">
        <f>SUM(P113:Q117)</f>
        <v>0</v>
      </c>
      <c r="Q118" s="3322"/>
      <c r="S118" s="3321">
        <f>SUM(S113:T117)</f>
        <v>0</v>
      </c>
      <c r="T118" s="3322"/>
      <c r="V118" s="1297">
        <f>SUM(V113:V117)</f>
        <v>0</v>
      </c>
      <c r="W118" s="3369"/>
      <c r="X118" s="3370"/>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06">
        <v>20000</v>
      </c>
      <c r="H120" s="3207"/>
      <c r="J120" s="411"/>
      <c r="K120" s="411"/>
      <c r="L120" s="411"/>
      <c r="M120" s="411"/>
      <c r="N120" s="411"/>
      <c r="P120" s="411"/>
      <c r="Q120" s="411"/>
      <c r="S120" s="3206">
        <v>20000</v>
      </c>
      <c r="T120" s="3207"/>
      <c r="V120" s="1295"/>
      <c r="W120" s="3317"/>
      <c r="X120" s="3318"/>
    </row>
    <row r="121" spans="1:24" s="325" customFormat="1" ht="12.6" customHeight="1">
      <c r="B121" s="325" t="s">
        <v>1536</v>
      </c>
      <c r="F121" s="524">
        <f>+'Part VI-Revenues &amp; Expenses'!$P$226*('DCA Underwriting Assumptions'!$Q$112/12)</f>
        <v>210294.75</v>
      </c>
      <c r="G121" s="3217">
        <v>210295</v>
      </c>
      <c r="H121" s="3218"/>
      <c r="J121" s="1145" t="str">
        <f>IF(E121&gt;G121,"WARNING! Rent-Up Reserves proposed is below minimum - add comment.","")</f>
        <v/>
      </c>
      <c r="K121" s="1145"/>
      <c r="L121" s="1247"/>
      <c r="M121" s="1116"/>
      <c r="N121" s="1116"/>
      <c r="O121" s="1238"/>
      <c r="P121" s="1116"/>
      <c r="Q121" s="1116"/>
      <c r="R121" s="1238"/>
      <c r="S121" s="3217">
        <v>210295</v>
      </c>
      <c r="T121" s="3218"/>
      <c r="V121" s="1295"/>
      <c r="W121" s="3317"/>
      <c r="X121" s="3318"/>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694940.32860836433</v>
      </c>
      <c r="G122" s="3217">
        <v>694940</v>
      </c>
      <c r="H122" s="3218"/>
      <c r="J122" s="1145" t="str">
        <f>IF(E122&gt;G122,"WARNING! ODR proposed is below minimum - add comment.","")</f>
        <v/>
      </c>
      <c r="K122" s="410"/>
      <c r="L122" s="410"/>
      <c r="M122" s="410"/>
      <c r="N122" s="410"/>
      <c r="O122" s="1238"/>
      <c r="P122" s="410"/>
      <c r="Q122" s="410"/>
      <c r="R122" s="1238"/>
      <c r="S122" s="3217">
        <v>694940</v>
      </c>
      <c r="T122" s="3218"/>
      <c r="V122" s="1295"/>
      <c r="W122" s="3317"/>
      <c r="X122" s="3318"/>
    </row>
    <row r="123" spans="1:24" s="325" customFormat="1" ht="12.6" customHeight="1">
      <c r="B123" s="325" t="s">
        <v>1244</v>
      </c>
      <c r="G123" s="3217"/>
      <c r="H123" s="3218"/>
      <c r="J123" s="411"/>
      <c r="K123" s="411"/>
      <c r="L123" s="411"/>
      <c r="M123" s="411"/>
      <c r="N123" s="411"/>
      <c r="P123" s="411"/>
      <c r="Q123" s="411"/>
      <c r="S123" s="3217"/>
      <c r="T123" s="3218"/>
      <c r="V123" s="1295"/>
      <c r="W123" s="3317"/>
      <c r="X123" s="3318"/>
    </row>
    <row r="124" spans="1:24" s="325" customFormat="1" ht="12.6" customHeight="1">
      <c r="B124" s="325" t="s">
        <v>1245</v>
      </c>
      <c r="E124" s="969" t="s">
        <v>3566</v>
      </c>
      <c r="F124" s="524">
        <f>IF('Part VI-Revenues &amp; Expenses'!$O$67=0,0,G124/'Part VI-Revenues &amp; Expenses'!$O$67)</f>
        <v>923.71794871794873</v>
      </c>
      <c r="G124" s="3217">
        <v>144100</v>
      </c>
      <c r="H124" s="3218"/>
      <c r="J124" s="3206">
        <v>144100</v>
      </c>
      <c r="K124" s="3207"/>
      <c r="L124" s="1247"/>
      <c r="M124" s="3206"/>
      <c r="N124" s="3207"/>
      <c r="P124" s="3206"/>
      <c r="Q124" s="3207"/>
      <c r="S124" s="3217"/>
      <c r="T124" s="3218"/>
      <c r="V124" s="1295"/>
      <c r="W124" s="3317"/>
      <c r="X124" s="3318"/>
    </row>
    <row r="125" spans="1:24" s="325" customFormat="1" ht="12.6" customHeight="1" thickBot="1">
      <c r="A125" s="429" t="str">
        <f>IF(AND(G125&gt;0,OR(C125="",C125="&lt;Enter detailed description here; use Comments section if needed&gt;")),"X","")</f>
        <v/>
      </c>
      <c r="B125" s="325" t="s">
        <v>741</v>
      </c>
      <c r="C125" s="3319" t="s">
        <v>3129</v>
      </c>
      <c r="D125" s="3319"/>
      <c r="E125" s="3319"/>
      <c r="F125" s="3320"/>
      <c r="G125" s="3195">
        <v>60000</v>
      </c>
      <c r="H125" s="3196"/>
      <c r="J125" s="3324"/>
      <c r="K125" s="3325"/>
      <c r="L125" s="1247"/>
      <c r="M125" s="3195"/>
      <c r="N125" s="3196"/>
      <c r="P125" s="3195"/>
      <c r="Q125" s="3196"/>
      <c r="S125" s="3195">
        <v>60000</v>
      </c>
      <c r="T125" s="3196"/>
      <c r="U125" s="428" t="str">
        <f>IF(AND(G125&gt;0,OR(C125="",C125="&lt;Enter detailed description here; use Comments section if needed&gt;")),"NO DESCRIPTION PROVIDED - please enter detailed description in Other box at left; use Comments section below if needed.","")</f>
        <v/>
      </c>
      <c r="V125" s="1295"/>
      <c r="W125" s="3356"/>
      <c r="X125" s="3357"/>
    </row>
    <row r="126" spans="1:24" s="325" customFormat="1" ht="12.6" customHeight="1" thickTop="1">
      <c r="B126" s="412"/>
      <c r="F126" s="401" t="s">
        <v>191</v>
      </c>
      <c r="G126" s="3321">
        <f>SUM(G120:H125)</f>
        <v>1129335</v>
      </c>
      <c r="H126" s="3322"/>
      <c r="J126" s="3321">
        <f>SUM(J124:K125)</f>
        <v>144100</v>
      </c>
      <c r="K126" s="3322"/>
      <c r="L126" s="1247"/>
      <c r="M126" s="3321">
        <f>SUM(M124:N125)</f>
        <v>0</v>
      </c>
      <c r="N126" s="3322"/>
      <c r="P126" s="3321">
        <f>SUM(P124:Q125)</f>
        <v>0</v>
      </c>
      <c r="Q126" s="3322"/>
      <c r="S126" s="3321">
        <f>SUM(S120:T125)</f>
        <v>985235</v>
      </c>
      <c r="T126" s="3322"/>
      <c r="V126" s="1297">
        <f>SUM(V120:V125)</f>
        <v>0</v>
      </c>
      <c r="W126" s="3369"/>
      <c r="X126" s="3370"/>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06"/>
      <c r="H128" s="3207"/>
      <c r="J128" s="3206"/>
      <c r="K128" s="3207"/>
      <c r="L128" s="402"/>
      <c r="M128" s="3206"/>
      <c r="N128" s="3207"/>
      <c r="P128" s="3206"/>
      <c r="Q128" s="3207"/>
      <c r="S128" s="3206"/>
      <c r="T128" s="3207"/>
      <c r="V128" s="1295"/>
      <c r="W128" s="3317"/>
      <c r="X128" s="3318"/>
    </row>
    <row r="129" spans="1:24" s="325" customFormat="1" ht="12.6" customHeight="1" thickBot="1">
      <c r="A129" s="429" t="str">
        <f>IF(AND(G129&gt;0,OR(C129="",C129="&lt;Enter detailed description here; use Comments section if needed&gt;")),"X","")</f>
        <v/>
      </c>
      <c r="B129" s="325" t="s">
        <v>741</v>
      </c>
      <c r="C129" s="3319" t="s">
        <v>5286</v>
      </c>
      <c r="D129" s="3319"/>
      <c r="E129" s="3319"/>
      <c r="F129" s="3320"/>
      <c r="G129" s="3195">
        <v>45000</v>
      </c>
      <c r="H129" s="3196"/>
      <c r="J129" s="3195">
        <v>45000</v>
      </c>
      <c r="K129" s="3196"/>
      <c r="L129" s="1247"/>
      <c r="M129" s="3195"/>
      <c r="N129" s="3196"/>
      <c r="P129" s="3195"/>
      <c r="Q129" s="3196"/>
      <c r="S129" s="3195"/>
      <c r="T129" s="3196"/>
      <c r="U129" s="428" t="str">
        <f>IF(AND(G129&gt;0,OR(C129="",C129="&lt;Enter detailed description here; use Comments section if needed&gt;")),"NO DESCRIPTION PROVIDED - please enter detailed description in Other box at left; use Comments section below if needed.","")</f>
        <v/>
      </c>
      <c r="V129" s="1295"/>
      <c r="W129" s="3356"/>
      <c r="X129" s="3357"/>
    </row>
    <row r="130" spans="1:24" s="325" customFormat="1" ht="12.6" customHeight="1" thickTop="1">
      <c r="C130" s="1228"/>
      <c r="F130" s="401" t="s">
        <v>191</v>
      </c>
      <c r="G130" s="3321">
        <f>SUM(G128:H129)</f>
        <v>45000</v>
      </c>
      <c r="H130" s="3322"/>
      <c r="J130" s="3321">
        <f>SUM(J128:K129)</f>
        <v>45000</v>
      </c>
      <c r="K130" s="3322"/>
      <c r="L130" s="1247"/>
      <c r="M130" s="3321">
        <f>SUM(M128:N129)</f>
        <v>0</v>
      </c>
      <c r="N130" s="3322"/>
      <c r="P130" s="3321">
        <f>SUM(P128:Q129)</f>
        <v>0</v>
      </c>
      <c r="Q130" s="3322"/>
      <c r="S130" s="3321">
        <f>SUM(S128:T129)</f>
        <v>0</v>
      </c>
      <c r="T130" s="3322"/>
      <c r="V130" s="1297">
        <f>SUM(V128:V129)</f>
        <v>0</v>
      </c>
      <c r="W130" s="3369"/>
      <c r="X130" s="3370"/>
    </row>
    <row r="131" spans="1:24" s="325" customFormat="1" ht="3" customHeight="1" thickBot="1">
      <c r="C131" s="1228"/>
      <c r="H131" s="408"/>
      <c r="I131" s="408"/>
      <c r="L131" s="1238"/>
      <c r="V131" s="1298"/>
      <c r="W131" s="1293"/>
      <c r="X131" s="1294"/>
    </row>
    <row r="132" spans="1:24" s="325" customFormat="1" ht="14.1" customHeight="1" thickBot="1">
      <c r="B132" s="331" t="s">
        <v>2767</v>
      </c>
      <c r="G132" s="3367">
        <f>G17+G23+G27+G33+G38+G41+G47+G64+G77+G83+G91+G105+G111+G118+G126+G130</f>
        <v>32698126.5</v>
      </c>
      <c r="H132" s="3368"/>
      <c r="J132" s="3367">
        <f>J17+J23+J27+J33+J38+J41+J47+J64+J77+J83+J91+J105+J111+J118+J126+J130</f>
        <v>29261044.5</v>
      </c>
      <c r="K132" s="3368"/>
      <c r="M132" s="3367">
        <f>M17+M23+M27+M33+M38+M41+M47+M64+M77+M83+M91+M105+M111+M118+M126+M130</f>
        <v>0</v>
      </c>
      <c r="N132" s="3368"/>
      <c r="P132" s="3367">
        <f>P17+P23+P27+P33+P38+P41+P47+P64+P77+P83+P91+P105+P111+P118+P126+P130</f>
        <v>0</v>
      </c>
      <c r="Q132" s="3368"/>
      <c r="S132" s="3367">
        <f>S17+S23+S27+S33+S38+S41+S47+S64+S77+S83+S91+S105+S111+S118+S126+S130</f>
        <v>3437082</v>
      </c>
      <c r="T132" s="3368"/>
      <c r="V132" s="1301">
        <f>V17+V23+V27+V33+V38+V41+V47+V64+V77+V83+V91+V105+V111+V118+V126+V130</f>
        <v>0</v>
      </c>
      <c r="W132" s="3371"/>
      <c r="X132" s="3370"/>
    </row>
    <row r="133" spans="1:24" s="325" customFormat="1" ht="3" customHeight="1">
      <c r="C133" s="1228"/>
      <c r="H133" s="408"/>
      <c r="I133" s="408"/>
      <c r="L133" s="1238"/>
      <c r="V133" s="1298"/>
    </row>
    <row r="134" spans="1:24" s="325" customFormat="1" ht="14.1" customHeight="1">
      <c r="B134" s="571" t="s">
        <v>2763</v>
      </c>
      <c r="C134" s="569"/>
      <c r="D134" s="3377">
        <f>IF('Part VI-Revenues &amp; Expenses'!$O$67=0,0,G132/'Part VI-Revenues &amp; Expenses'!$O$67)</f>
        <v>209603.375</v>
      </c>
      <c r="E134" s="3377"/>
      <c r="F134" s="570" t="s">
        <v>2762</v>
      </c>
      <c r="G134" s="3378">
        <f>IF('Part I-Project Information'!$P$75=0,0,G132/'Part I-Project Information'!$P$75)</f>
        <v>231.20961731555204</v>
      </c>
      <c r="H134" s="3379"/>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07" t="s">
        <v>271</v>
      </c>
      <c r="K137" s="3308"/>
      <c r="M137" s="3307" t="s">
        <v>100</v>
      </c>
      <c r="N137" s="3308"/>
      <c r="P137" s="3307" t="s">
        <v>272</v>
      </c>
      <c r="Q137" s="3308"/>
      <c r="V137" s="1298"/>
      <c r="W137" s="487" t="str">
        <f>B137</f>
        <v>TAX CREDIT CALCULATION - BASIS METHOD</v>
      </c>
    </row>
    <row r="138" spans="1:24" s="325" customFormat="1" ht="15" customHeight="1" thickBot="1">
      <c r="B138" s="331" t="s">
        <v>2043</v>
      </c>
      <c r="D138" s="1247"/>
      <c r="E138" s="1247"/>
      <c r="I138" s="415"/>
      <c r="J138" s="3309"/>
      <c r="K138" s="3310"/>
      <c r="L138" s="1001"/>
      <c r="M138" s="3309"/>
      <c r="N138" s="3310"/>
      <c r="P138" s="3309"/>
      <c r="Q138" s="3310"/>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80"/>
      <c r="K140" s="3381"/>
      <c r="P140" s="3380"/>
      <c r="Q140" s="3381"/>
      <c r="V140" s="1295"/>
      <c r="W140" s="3317"/>
      <c r="X140" s="3318"/>
    </row>
    <row r="141" spans="1:24" s="325" customFormat="1" ht="14.1" customHeight="1">
      <c r="B141" s="1238" t="s">
        <v>2151</v>
      </c>
      <c r="D141" s="1238"/>
      <c r="E141" s="1238"/>
      <c r="F141" s="1238"/>
      <c r="G141" s="1238"/>
      <c r="H141" s="1238"/>
      <c r="I141" s="415"/>
      <c r="J141" s="3382"/>
      <c r="K141" s="3383"/>
      <c r="P141" s="3382"/>
      <c r="Q141" s="3383"/>
      <c r="V141" s="1295"/>
      <c r="W141" s="3317"/>
      <c r="X141" s="3318"/>
    </row>
    <row r="142" spans="1:24" s="325" customFormat="1" ht="14.1" customHeight="1">
      <c r="B142" s="1238" t="s">
        <v>1862</v>
      </c>
      <c r="D142" s="1238"/>
      <c r="E142" s="1238"/>
      <c r="I142" s="415"/>
      <c r="J142" s="3382"/>
      <c r="K142" s="3383"/>
      <c r="P142" s="3382"/>
      <c r="Q142" s="3383"/>
      <c r="V142" s="1295"/>
      <c r="W142" s="3317"/>
      <c r="X142" s="3318"/>
    </row>
    <row r="143" spans="1:24" s="325" customFormat="1" ht="14.1" customHeight="1">
      <c r="B143" s="1238" t="s">
        <v>1863</v>
      </c>
      <c r="D143" s="1238"/>
      <c r="E143" s="1238"/>
      <c r="I143" s="415"/>
      <c r="J143" s="3382"/>
      <c r="K143" s="3383"/>
      <c r="P143" s="3382"/>
      <c r="Q143" s="3383"/>
      <c r="V143" s="1295"/>
      <c r="W143" s="3317"/>
      <c r="X143" s="3318"/>
    </row>
    <row r="144" spans="1:24" s="325" customFormat="1" ht="14.1" customHeight="1">
      <c r="B144" s="1238" t="s">
        <v>254</v>
      </c>
      <c r="D144" s="1238"/>
      <c r="E144" s="1238"/>
      <c r="I144" s="415"/>
      <c r="J144" s="3382"/>
      <c r="K144" s="3383"/>
      <c r="P144" s="3382"/>
      <c r="Q144" s="3383"/>
      <c r="V144" s="1295"/>
      <c r="W144" s="3317"/>
      <c r="X144" s="3318"/>
    </row>
    <row r="145" spans="1:24" s="325" customFormat="1" ht="14.1" customHeight="1" thickBot="1">
      <c r="B145" s="1238" t="s">
        <v>1601</v>
      </c>
      <c r="C145" s="3384" t="s">
        <v>2414</v>
      </c>
      <c r="D145" s="3384"/>
      <c r="E145" s="3384"/>
      <c r="F145" s="3384"/>
      <c r="G145" s="3384"/>
      <c r="H145" s="3384"/>
      <c r="I145" s="3385"/>
      <c r="J145" s="3365"/>
      <c r="K145" s="3366"/>
      <c r="P145" s="3365"/>
      <c r="Q145" s="3366"/>
      <c r="V145" s="1295"/>
      <c r="W145" s="3356"/>
      <c r="X145" s="3357"/>
    </row>
    <row r="146" spans="1:24" s="325" customFormat="1" ht="14.1" customHeight="1" thickBot="1">
      <c r="B146" s="337" t="s">
        <v>1864</v>
      </c>
      <c r="C146" s="340"/>
      <c r="J146" s="3284">
        <f>SUM(J140:K145)</f>
        <v>0</v>
      </c>
      <c r="K146" s="3285"/>
      <c r="P146" s="3284">
        <f>SUM(P140:Q145)</f>
        <v>0</v>
      </c>
      <c r="Q146" s="3285"/>
      <c r="V146" s="1297">
        <f>SUM(V140:V145)</f>
        <v>0</v>
      </c>
      <c r="W146" s="3369"/>
      <c r="X146" s="3370"/>
    </row>
    <row r="147" spans="1:24" s="325" customFormat="1" ht="3" customHeight="1">
      <c r="V147" s="1298"/>
    </row>
    <row r="148" spans="1:24" s="325" customFormat="1" ht="15" customHeight="1" thickBot="1">
      <c r="B148" s="327" t="s">
        <v>2339</v>
      </c>
      <c r="V148" s="1298"/>
      <c r="W148" s="325" t="str">
        <f>B148</f>
        <v>Eligible Basis Calculation</v>
      </c>
    </row>
    <row r="149" spans="1:24" s="325" customFormat="1" ht="14.1" customHeight="1">
      <c r="B149" s="325" t="s">
        <v>1790</v>
      </c>
      <c r="J149" s="3372">
        <f>J132</f>
        <v>29261044.5</v>
      </c>
      <c r="K149" s="3373"/>
      <c r="M149" s="3374">
        <f>M132</f>
        <v>0</v>
      </c>
      <c r="N149" s="3375"/>
      <c r="P149" s="3372">
        <f>P132</f>
        <v>0</v>
      </c>
      <c r="Q149" s="3373"/>
      <c r="R149" s="3435" t="s">
        <v>4728</v>
      </c>
      <c r="S149" s="3436"/>
      <c r="T149" s="3436"/>
      <c r="V149" s="1295"/>
      <c r="W149" s="3317"/>
      <c r="X149" s="3318"/>
    </row>
    <row r="150" spans="1:24" s="325" customFormat="1" ht="14.1" customHeight="1">
      <c r="B150" s="325" t="s">
        <v>2219</v>
      </c>
      <c r="J150" s="3386">
        <f>J146</f>
        <v>0</v>
      </c>
      <c r="K150" s="3387"/>
      <c r="M150" s="3388"/>
      <c r="N150" s="3388"/>
      <c r="P150" s="3386">
        <f>P146</f>
        <v>0</v>
      </c>
      <c r="Q150" s="3387"/>
      <c r="R150" s="3435"/>
      <c r="S150" s="3436"/>
      <c r="T150" s="3436"/>
      <c r="U150" s="2401"/>
      <c r="V150" s="1295"/>
      <c r="W150" s="3317"/>
      <c r="X150" s="3318"/>
    </row>
    <row r="151" spans="1:24" s="325" customFormat="1" ht="14.1" customHeight="1">
      <c r="B151" s="325" t="s">
        <v>2220</v>
      </c>
      <c r="J151" s="3386">
        <f>J149-J150</f>
        <v>29261044.5</v>
      </c>
      <c r="K151" s="3387"/>
      <c r="M151" s="3386">
        <f>M149</f>
        <v>0</v>
      </c>
      <c r="N151" s="3387"/>
      <c r="P151" s="3386">
        <f>P149-P150</f>
        <v>0</v>
      </c>
      <c r="Q151" s="3387"/>
      <c r="R151" s="3435"/>
      <c r="S151" s="3436"/>
      <c r="T151" s="3436"/>
      <c r="U151" s="2401"/>
      <c r="V151" s="1295"/>
      <c r="W151" s="3317"/>
      <c r="X151" s="3318"/>
    </row>
    <row r="152" spans="1:24" s="325" customFormat="1" ht="14.1" customHeight="1">
      <c r="B152" s="325" t="s">
        <v>1485</v>
      </c>
      <c r="G152" s="1231" t="s">
        <v>1714</v>
      </c>
      <c r="H152" s="2937" t="s">
        <v>5287</v>
      </c>
      <c r="I152" s="2938"/>
      <c r="J152" s="3389">
        <v>1.3</v>
      </c>
      <c r="K152" s="3390"/>
      <c r="M152" s="3391"/>
      <c r="N152" s="3391"/>
      <c r="P152" s="3389"/>
      <c r="Q152" s="3390"/>
      <c r="R152" s="3437" t="s">
        <v>3700</v>
      </c>
      <c r="S152" s="3438"/>
      <c r="T152" s="3439"/>
      <c r="U152" s="2402"/>
      <c r="V152" s="1295"/>
      <c r="W152" s="3317"/>
      <c r="X152" s="3318"/>
    </row>
    <row r="153" spans="1:24" s="325" customFormat="1" ht="14.1" customHeight="1">
      <c r="B153" s="325" t="s">
        <v>2053</v>
      </c>
      <c r="J153" s="3386">
        <f>J151*J152</f>
        <v>38039357.850000001</v>
      </c>
      <c r="K153" s="3387"/>
      <c r="M153" s="3386">
        <f>+M151</f>
        <v>0</v>
      </c>
      <c r="N153" s="3387"/>
      <c r="P153" s="3386">
        <f>P151*P152</f>
        <v>0</v>
      </c>
      <c r="Q153" s="3387"/>
      <c r="R153" s="3440"/>
      <c r="S153" s="3441"/>
      <c r="T153" s="3442"/>
      <c r="U153" s="2402"/>
      <c r="V153" s="1295"/>
      <c r="W153" s="3317"/>
      <c r="X153" s="3318"/>
    </row>
    <row r="154" spans="1:24" s="325" customFormat="1" ht="14.1" customHeight="1">
      <c r="B154" s="325" t="s">
        <v>2540</v>
      </c>
      <c r="J154" s="3392">
        <f>MIN('Part VI-Revenues &amp; Expenses'!$O$63/'Part VI-Revenues &amp; Expenses'!$O$65,'Part VI-Revenues &amp; Expenses'!$O$152/'Part VI-Revenues &amp; Expenses'!$O$154)</f>
        <v>1</v>
      </c>
      <c r="K154" s="3393"/>
      <c r="M154" s="3392">
        <f>MIN('Part VI-Revenues &amp; Expenses'!$O$63/'Part VI-Revenues &amp; Expenses'!$O$65,'Part VI-Revenues &amp; Expenses'!$O$152/'Part VI-Revenues &amp; Expenses'!$O$154)</f>
        <v>1</v>
      </c>
      <c r="N154" s="3393"/>
      <c r="P154" s="3392">
        <f>MIN('Part VI-Revenues &amp; Expenses'!$O$63/'Part VI-Revenues &amp; Expenses'!$O$65,'Part VI-Revenues &amp; Expenses'!$O$152/'Part VI-Revenues &amp; Expenses'!$O$154)</f>
        <v>1</v>
      </c>
      <c r="Q154" s="3393"/>
      <c r="R154" s="3443"/>
      <c r="S154" s="3444"/>
      <c r="T154" s="3445"/>
      <c r="V154" s="1295"/>
      <c r="W154" s="3317"/>
      <c r="X154" s="3318"/>
    </row>
    <row r="155" spans="1:24" s="325" customFormat="1" ht="14.1" customHeight="1">
      <c r="B155" s="325" t="s">
        <v>2044</v>
      </c>
      <c r="J155" s="3386">
        <f>J153*J154</f>
        <v>38039357.850000001</v>
      </c>
      <c r="K155" s="3387"/>
      <c r="M155" s="3386">
        <f>M153*M154</f>
        <v>0</v>
      </c>
      <c r="N155" s="3387"/>
      <c r="P155" s="3386">
        <f>P153*P154</f>
        <v>0</v>
      </c>
      <c r="Q155" s="3387"/>
      <c r="V155" s="1295"/>
      <c r="W155" s="3317"/>
      <c r="X155" s="3318"/>
    </row>
    <row r="156" spans="1:24" s="325" customFormat="1" ht="14.1" customHeight="1">
      <c r="B156" s="325" t="s">
        <v>2045</v>
      </c>
      <c r="J156" s="3389">
        <v>3.1899999999999998E-2</v>
      </c>
      <c r="K156" s="3390"/>
      <c r="M156" s="3389"/>
      <c r="N156" s="3390"/>
      <c r="P156" s="3389"/>
      <c r="Q156" s="3390"/>
      <c r="V156" s="1295"/>
      <c r="W156" s="3317"/>
      <c r="X156" s="3318"/>
    </row>
    <row r="157" spans="1:24" s="325" customFormat="1" ht="14.1" customHeight="1" thickBot="1">
      <c r="B157" s="325" t="s">
        <v>2541</v>
      </c>
      <c r="J157" s="3394">
        <f>J155*J156</f>
        <v>1213455.515415</v>
      </c>
      <c r="K157" s="3395"/>
      <c r="M157" s="3394">
        <f>M155*M156</f>
        <v>0</v>
      </c>
      <c r="N157" s="3395"/>
      <c r="P157" s="3394">
        <f>P155*P156</f>
        <v>0</v>
      </c>
      <c r="Q157" s="3395"/>
      <c r="V157" s="1302"/>
      <c r="W157" s="3356"/>
      <c r="X157" s="3357"/>
    </row>
    <row r="158" spans="1:24" s="325" customFormat="1" ht="14.1" customHeight="1" thickBot="1">
      <c r="B158" s="327" t="s">
        <v>1424</v>
      </c>
      <c r="J158" s="3284">
        <f>ROUNDDOWN(J157+M157+P157,0)</f>
        <v>1213455</v>
      </c>
      <c r="K158" s="3376"/>
      <c r="L158" s="3376"/>
      <c r="M158" s="3376"/>
      <c r="N158" s="3376"/>
      <c r="O158" s="3376"/>
      <c r="P158" s="3376"/>
      <c r="Q158" s="3285"/>
      <c r="V158" s="1297"/>
      <c r="W158" s="3432"/>
      <c r="X158" s="3433"/>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2768</v>
      </c>
      <c r="G162" s="3427" t="str">
        <f>IF(J163&gt;J162,"TDC exceeds QAP PUCL!","")</f>
        <v>TDC exceeds QAP PUCL!</v>
      </c>
      <c r="H162" s="3427"/>
      <c r="I162" s="3428"/>
      <c r="J162" s="3423">
        <f>'Part VIII-Threshold Criteria'!$P$63</f>
        <v>31486324</v>
      </c>
      <c r="K162" s="3424"/>
      <c r="L162" s="3425"/>
      <c r="M162" s="3404" t="s">
        <v>2745</v>
      </c>
      <c r="N162" s="3429"/>
      <c r="O162" s="3429"/>
      <c r="P162" s="3429"/>
      <c r="Q162" s="3429"/>
      <c r="R162" s="3405"/>
      <c r="S162" s="3404" t="s">
        <v>3674</v>
      </c>
      <c r="T162" s="3405"/>
      <c r="V162" s="1295"/>
      <c r="W162" s="3317"/>
      <c r="X162" s="3318"/>
    </row>
    <row r="163" spans="1:24" s="325" customFormat="1" ht="14.1" customHeight="1">
      <c r="B163" s="325" t="s">
        <v>2747</v>
      </c>
      <c r="J163" s="3408">
        <v>32691888</v>
      </c>
      <c r="K163" s="3409"/>
      <c r="L163" s="3410"/>
      <c r="M163" s="3406"/>
      <c r="N163" s="3430"/>
      <c r="O163" s="3430"/>
      <c r="P163" s="3430"/>
      <c r="Q163" s="3430"/>
      <c r="R163" s="3407"/>
      <c r="S163" s="3406"/>
      <c r="T163" s="3407"/>
      <c r="V163" s="1295"/>
      <c r="W163" s="3317"/>
      <c r="X163" s="3318"/>
    </row>
    <row r="164" spans="1:24" s="325" customFormat="1" ht="14.1" customHeight="1">
      <c r="B164" s="325" t="s">
        <v>263</v>
      </c>
      <c r="J164" s="3386">
        <f>'Part III-Sources of Funds'!$I$58-'Part III-Sources of Funds'!$I$42-'Part III-Sources of Funds'!$I$43-'Part III-Sources of Funds'!$I$49-'Part III-Sources of Funds'!$I$50</f>
        <v>13112870.000000004</v>
      </c>
      <c r="K164" s="3388"/>
      <c r="L164" s="3411"/>
      <c r="M164" s="3406"/>
      <c r="N164" s="3430"/>
      <c r="O164" s="3430"/>
      <c r="P164" s="3430"/>
      <c r="Q164" s="3430"/>
      <c r="R164" s="3407"/>
      <c r="S164" s="3406"/>
      <c r="T164" s="3407"/>
      <c r="V164" s="1295"/>
      <c r="W164" s="3317"/>
      <c r="X164" s="3318"/>
    </row>
    <row r="165" spans="1:24" s="325" customFormat="1" ht="14.1" customHeight="1" thickBot="1">
      <c r="B165" s="325" t="s">
        <v>2231</v>
      </c>
      <c r="J165" s="3386">
        <f>+J163-J164</f>
        <v>19579017.999999996</v>
      </c>
      <c r="K165" s="3388"/>
      <c r="L165" s="3411"/>
      <c r="M165" s="3412" t="s">
        <v>2746</v>
      </c>
      <c r="N165" s="3413"/>
      <c r="O165" s="3414">
        <f>'Part III-Sources of Funds'!$I$42</f>
        <v>0</v>
      </c>
      <c r="P165" s="3414"/>
      <c r="Q165" s="3414"/>
      <c r="R165" s="3415"/>
      <c r="S165" s="468" t="s">
        <v>1662</v>
      </c>
      <c r="T165" s="469"/>
      <c r="V165" s="1295"/>
      <c r="W165" s="3317"/>
      <c r="X165" s="3318"/>
    </row>
    <row r="166" spans="1:24" s="325" customFormat="1" ht="14.1" customHeight="1">
      <c r="B166" s="325" t="s">
        <v>1286</v>
      </c>
      <c r="J166" s="3416" t="str">
        <f>"/ 10"</f>
        <v>/ 10</v>
      </c>
      <c r="K166" s="3416"/>
      <c r="L166" s="3416"/>
      <c r="M166" s="1238"/>
      <c r="N166" s="537"/>
      <c r="O166" s="537"/>
      <c r="P166" s="537"/>
      <c r="Q166" s="537"/>
      <c r="R166" s="537"/>
      <c r="V166" s="1298"/>
      <c r="W166" s="3317"/>
      <c r="X166" s="3318"/>
    </row>
    <row r="167" spans="1:24" s="325" customFormat="1" ht="14.1" customHeight="1">
      <c r="B167" s="325" t="s">
        <v>1287</v>
      </c>
      <c r="J167" s="3386">
        <f>J165/10</f>
        <v>1957901.7999999996</v>
      </c>
      <c r="K167" s="3388"/>
      <c r="L167" s="3387"/>
      <c r="M167" s="346"/>
      <c r="N167" s="2920" t="s">
        <v>1288</v>
      </c>
      <c r="O167" s="2920"/>
      <c r="Q167" s="2920" t="s">
        <v>1799</v>
      </c>
      <c r="R167" s="2920"/>
      <c r="V167" s="1295"/>
      <c r="W167" s="3317"/>
      <c r="X167" s="3318"/>
    </row>
    <row r="168" spans="1:24" s="325" customFormat="1" ht="14.1" customHeight="1" thickBot="1">
      <c r="B168" s="325" t="s">
        <v>1484</v>
      </c>
      <c r="J168" s="3396">
        <f>N168+Q168</f>
        <v>1.5899999999999999</v>
      </c>
      <c r="K168" s="3397"/>
      <c r="L168" s="3398"/>
      <c r="M168" s="1231" t="s">
        <v>1289</v>
      </c>
      <c r="N168" s="3399">
        <v>0.96</v>
      </c>
      <c r="O168" s="3400"/>
      <c r="P168" s="1231" t="s">
        <v>612</v>
      </c>
      <c r="Q168" s="3399">
        <v>0.63</v>
      </c>
      <c r="R168" s="3400"/>
      <c r="V168" s="1295"/>
      <c r="W168" s="3317"/>
      <c r="X168" s="3318"/>
    </row>
    <row r="169" spans="1:24" s="325" customFormat="1" ht="14.1" customHeight="1" thickBot="1">
      <c r="B169" s="327" t="s">
        <v>1425</v>
      </c>
      <c r="J169" s="3284">
        <f>ROUNDDOWN(IF(J168=0,"",J167/J168),0)</f>
        <v>1231384</v>
      </c>
      <c r="K169" s="3376"/>
      <c r="L169" s="3285"/>
      <c r="M169" s="346"/>
      <c r="N169" s="1238"/>
      <c r="O169" s="1238"/>
      <c r="V169" s="1295"/>
      <c r="W169" s="3317"/>
      <c r="X169" s="3318"/>
    </row>
    <row r="170" spans="1:24" s="325" customFormat="1" ht="6" customHeight="1">
      <c r="J170" s="418"/>
      <c r="K170" s="418"/>
      <c r="L170" s="418"/>
      <c r="M170" s="346"/>
      <c r="N170" s="1243"/>
      <c r="O170" s="1243"/>
      <c r="V170" s="1298"/>
      <c r="W170" s="3317"/>
      <c r="X170" s="3318"/>
    </row>
    <row r="171" spans="1:24" s="325" customFormat="1" ht="16.350000000000001" customHeight="1">
      <c r="B171" s="327" t="s">
        <v>2900</v>
      </c>
      <c r="J171" s="340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1213455</v>
      </c>
      <c r="K171" s="3402"/>
      <c r="L171" s="3403"/>
      <c r="M171" s="346"/>
      <c r="N171" s="1243"/>
      <c r="O171" s="1243"/>
      <c r="V171" s="1295"/>
      <c r="W171" s="3317"/>
      <c r="X171" s="3318"/>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417">
        <v>1213455</v>
      </c>
      <c r="K173" s="3418"/>
      <c r="L173" s="3419"/>
      <c r="M173" s="419" t="str">
        <f>IF(J171=0,"",IF(J173&gt;J171,"ALLOCATION CANNOT EXCEED MAXIMUM - REVISE REQUEST (Try Round Down)!",""))</f>
        <v/>
      </c>
      <c r="N173" s="1243"/>
      <c r="O173" s="1243"/>
      <c r="V173" s="1295"/>
      <c r="W173" s="3317"/>
      <c r="X173" s="3318"/>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2619</v>
      </c>
      <c r="D175" s="346"/>
      <c r="E175" s="346"/>
      <c r="F175" s="330"/>
      <c r="J175" s="3420">
        <f>IF(J173="",0,+MIN(J171,J173))</f>
        <v>1213455</v>
      </c>
      <c r="K175" s="3421"/>
      <c r="L175" s="3422"/>
      <c r="N175" s="420"/>
      <c r="O175" s="420"/>
      <c r="P175" s="420"/>
      <c r="Q175" s="420"/>
      <c r="R175" s="420"/>
      <c r="S175" s="420"/>
      <c r="T175" s="420"/>
      <c r="V175" s="1295"/>
      <c r="W175" s="3317"/>
      <c r="X175" s="3318"/>
    </row>
    <row r="176" spans="1:24" ht="3" customHeight="1"/>
    <row r="177" spans="1:24" ht="6" customHeight="1"/>
    <row r="178" spans="1:24" ht="12" customHeight="1">
      <c r="A178" s="327" t="s">
        <v>1794</v>
      </c>
      <c r="B178" s="356" t="s">
        <v>572</v>
      </c>
      <c r="N178" s="327" t="s">
        <v>530</v>
      </c>
      <c r="O178" s="327" t="s">
        <v>79</v>
      </c>
    </row>
    <row r="179" spans="1:24" ht="352.5" customHeight="1">
      <c r="A179" s="3287" t="s">
        <v>5305</v>
      </c>
      <c r="B179" s="3287"/>
      <c r="C179" s="3287"/>
      <c r="D179" s="3287"/>
      <c r="E179" s="3287"/>
      <c r="F179" s="3287"/>
      <c r="G179" s="3287"/>
      <c r="H179" s="3287"/>
      <c r="I179" s="3287"/>
      <c r="J179" s="3287"/>
      <c r="K179" s="3287"/>
      <c r="L179" s="3287"/>
      <c r="M179" s="3287"/>
      <c r="N179" s="3426"/>
      <c r="O179" s="3426"/>
      <c r="P179" s="3426"/>
      <c r="Q179" s="3426"/>
      <c r="R179" s="3426"/>
      <c r="S179" s="3426"/>
      <c r="T179" s="3426"/>
      <c r="V179" s="1120"/>
      <c r="W179" s="3278" t="s">
        <v>2692</v>
      </c>
      <c r="X179" s="3278"/>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activeCell="K74" sqref="K74"/>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46" t="str">
        <f>CONCATENATE("PART FOUR (b) -  OTHER COSTS","  -  ",'Part I-Project Information'!$O$6," - ",'Part I-Project Information'!$F$34,"  -  ",'Part I-Project Information'!$F$38,"  -  ",'Part I-Project Information'!$J$39,",  ","County")</f>
        <v>PART FOUR (b) -  OTHER COSTS  -  2019-5 - 55 Milton  -  Atlanta  -  Fulton,  County</v>
      </c>
      <c r="B1" s="3447"/>
      <c r="C1" s="3447"/>
      <c r="D1" s="3447"/>
      <c r="E1" s="3447"/>
      <c r="F1" s="3447"/>
      <c r="G1" s="3447"/>
      <c r="H1" s="3447"/>
      <c r="I1" s="1086"/>
      <c r="J1" s="1086"/>
      <c r="K1" s="1086"/>
      <c r="L1" s="1086"/>
      <c r="M1" s="1086"/>
      <c r="N1" s="1086"/>
    </row>
    <row r="2" spans="1:14" ht="9" customHeight="1"/>
    <row r="3" spans="1:14" ht="57" customHeight="1">
      <c r="A3" s="3448" t="s">
        <v>3713</v>
      </c>
      <c r="B3" s="3449"/>
      <c r="C3" s="3449"/>
      <c r="D3" s="3449"/>
      <c r="E3" s="3449"/>
      <c r="F3" s="3449"/>
      <c r="G3" s="3449"/>
      <c r="H3" s="3450"/>
    </row>
    <row r="4" spans="1:14" ht="6" customHeight="1"/>
    <row r="5" spans="1:14" ht="38.25" customHeight="1">
      <c r="A5" s="3451" t="s">
        <v>3830</v>
      </c>
      <c r="B5" s="3451"/>
      <c r="C5" s="3451"/>
      <c r="D5" s="3451"/>
      <c r="F5" s="1087" t="s">
        <v>3704</v>
      </c>
      <c r="G5" s="649"/>
      <c r="H5" s="1087" t="s">
        <v>3705</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52" t="str">
        <f>'Part IV-A-Uses of Funds'!$C$14</f>
        <v>&lt;&lt; Enter description here; provide detail &amp; justification in tab Part IV-b &gt;&gt;</v>
      </c>
      <c r="B9" s="3453"/>
      <c r="C9" s="3453"/>
      <c r="D9" s="3454"/>
      <c r="F9" s="3458"/>
      <c r="G9" s="1090"/>
      <c r="H9" s="3458"/>
    </row>
    <row r="10" spans="1:14" s="1089" customFormat="1" ht="41.25" customHeight="1">
      <c r="A10" s="3455"/>
      <c r="B10" s="3456"/>
      <c r="C10" s="3456"/>
      <c r="D10" s="3457"/>
      <c r="F10" s="3459"/>
      <c r="G10" s="1090"/>
      <c r="H10" s="3459"/>
    </row>
    <row r="11" spans="1:14" s="1089" customFormat="1" ht="4.5" customHeight="1">
      <c r="F11" s="3459"/>
      <c r="G11" s="1090"/>
      <c r="H11" s="3459"/>
    </row>
    <row r="12" spans="1:14" s="1089" customFormat="1" ht="15" customHeight="1">
      <c r="A12" s="1099" t="s">
        <v>3707</v>
      </c>
      <c r="B12" s="1098">
        <f>'Part IV-A-Uses of Funds'!$G$14</f>
        <v>0</v>
      </c>
      <c r="C12" s="1099" t="s">
        <v>1790</v>
      </c>
      <c r="D12" s="1098">
        <f>'Part IV-A-Uses of Funds'!$J$14+'Part IV-A-Uses of Funds'!$M$14+'Part IV-A-Uses of Funds'!$P$14</f>
        <v>0</v>
      </c>
      <c r="F12" s="3459"/>
      <c r="G12" s="1090"/>
      <c r="H12" s="3459"/>
    </row>
    <row r="13" spans="1:14" s="1089" customFormat="1" ht="6" customHeight="1">
      <c r="A13" s="1090"/>
      <c r="B13" s="1091"/>
      <c r="C13" s="1090"/>
      <c r="D13" s="1090"/>
      <c r="F13" s="3459"/>
      <c r="G13" s="1092"/>
      <c r="H13" s="3459"/>
    </row>
    <row r="14" spans="1:14" s="1089" customFormat="1" ht="41.25" customHeight="1">
      <c r="A14" s="3452" t="str">
        <f>'Part IV-A-Uses of Funds'!$C$15</f>
        <v>&lt;&lt; Enter description here; provide detail &amp; justification in tab Part IV-b &gt;&gt;</v>
      </c>
      <c r="B14" s="3453"/>
      <c r="C14" s="3453"/>
      <c r="D14" s="3454"/>
      <c r="F14" s="3459"/>
      <c r="G14" s="1090"/>
      <c r="H14" s="3459"/>
    </row>
    <row r="15" spans="1:14" s="1089" customFormat="1" ht="41.25" customHeight="1">
      <c r="A15" s="3455"/>
      <c r="B15" s="3456"/>
      <c r="C15" s="3456"/>
      <c r="D15" s="3457"/>
      <c r="F15" s="3459"/>
      <c r="G15" s="1090"/>
      <c r="H15" s="3459"/>
    </row>
    <row r="16" spans="1:14" s="1089" customFormat="1" ht="4.5" customHeight="1">
      <c r="F16" s="3459"/>
      <c r="G16" s="1090"/>
      <c r="H16" s="3459"/>
    </row>
    <row r="17" spans="1:8" s="1089" customFormat="1" ht="15" customHeight="1">
      <c r="A17" s="1099" t="s">
        <v>3707</v>
      </c>
      <c r="B17" s="1098">
        <f>'Part IV-A-Uses of Funds'!$G$15</f>
        <v>0</v>
      </c>
      <c r="C17" s="1099" t="s">
        <v>1790</v>
      </c>
      <c r="D17" s="1098">
        <f>'Part IV-A-Uses of Funds'!$J$15+'Part IV-A-Uses of Funds'!$M$15+'Part IV-A-Uses of Funds'!$P$15</f>
        <v>0</v>
      </c>
      <c r="F17" s="3459"/>
      <c r="G17" s="1090"/>
      <c r="H17" s="3459"/>
    </row>
    <row r="18" spans="1:8" s="1089" customFormat="1" ht="6" customHeight="1">
      <c r="A18" s="1090"/>
      <c r="B18" s="1091"/>
      <c r="C18" s="1090"/>
      <c r="D18" s="1090"/>
      <c r="F18" s="3459"/>
      <c r="G18" s="1092"/>
      <c r="H18" s="3459"/>
    </row>
    <row r="19" spans="1:8" s="1089" customFormat="1" ht="41.25" customHeight="1">
      <c r="A19" s="3452" t="str">
        <f>'Part IV-A-Uses of Funds'!$C$16</f>
        <v>&lt;&lt; Enter description here; provide detail &amp; justification in tab Part IV-b &gt;&gt;</v>
      </c>
      <c r="B19" s="3453"/>
      <c r="C19" s="3453"/>
      <c r="D19" s="3454"/>
      <c r="F19" s="3459"/>
      <c r="G19" s="1090"/>
      <c r="H19" s="3459"/>
    </row>
    <row r="20" spans="1:8" s="1089" customFormat="1" ht="41.25" customHeight="1">
      <c r="A20" s="3455"/>
      <c r="B20" s="3456"/>
      <c r="C20" s="3456"/>
      <c r="D20" s="3457"/>
      <c r="F20" s="3459"/>
      <c r="G20" s="1090"/>
      <c r="H20" s="3459"/>
    </row>
    <row r="21" spans="1:8" s="1089" customFormat="1" ht="4.5" customHeight="1">
      <c r="F21" s="3459"/>
      <c r="G21" s="1090"/>
      <c r="H21" s="3459"/>
    </row>
    <row r="22" spans="1:8" s="1089" customFormat="1" ht="15" customHeight="1">
      <c r="A22" s="1099" t="s">
        <v>3707</v>
      </c>
      <c r="B22" s="1098">
        <f>'Part IV-A-Uses of Funds'!$G$16</f>
        <v>0</v>
      </c>
      <c r="C22" s="1099" t="s">
        <v>1790</v>
      </c>
      <c r="D22" s="1098">
        <f>'Part IV-A-Uses of Funds'!$J$16+'Part IV-A-Uses of Funds'!$M$16+'Part IV-A-Uses of Funds'!$P$16</f>
        <v>0</v>
      </c>
      <c r="F22" s="3459"/>
      <c r="G22" s="1090"/>
      <c r="H22" s="3459"/>
    </row>
    <row r="23" spans="1:8" s="1089" customFormat="1" ht="6" customHeight="1">
      <c r="A23" s="1090"/>
      <c r="B23" s="1091"/>
      <c r="C23" s="1090"/>
      <c r="D23" s="1090"/>
      <c r="F23" s="3460"/>
      <c r="G23" s="1092"/>
      <c r="H23" s="3460"/>
    </row>
    <row r="24" spans="1:8" s="1089" customFormat="1">
      <c r="A24" s="1100" t="s">
        <v>3706</v>
      </c>
      <c r="B24" s="1090"/>
      <c r="C24" s="1090"/>
      <c r="D24" s="1090"/>
      <c r="E24" s="1090"/>
      <c r="F24" s="1090"/>
      <c r="G24" s="1090"/>
    </row>
    <row r="25" spans="1:8" s="1089" customFormat="1" ht="41.25" customHeight="1">
      <c r="A25" s="3452" t="str">
        <f>'Part IV-A-Uses of Funds'!$C$41</f>
        <v>&lt;&lt; Enter description here; provide detail &amp; justification in tab Part IV-b &gt;&gt;</v>
      </c>
      <c r="B25" s="3453"/>
      <c r="C25" s="3453"/>
      <c r="D25" s="3454"/>
      <c r="E25" s="1090"/>
      <c r="F25" s="3461"/>
      <c r="G25" s="1090"/>
      <c r="H25" s="3461"/>
    </row>
    <row r="26" spans="1:8" s="1089" customFormat="1" ht="41.25" customHeight="1">
      <c r="A26" s="3455"/>
      <c r="B26" s="3456"/>
      <c r="C26" s="3456"/>
      <c r="D26" s="3457"/>
      <c r="E26" s="1090"/>
      <c r="F26" s="3462"/>
      <c r="G26" s="1090"/>
      <c r="H26" s="3462"/>
    </row>
    <row r="27" spans="1:8" s="1089" customFormat="1" ht="4.5" customHeight="1">
      <c r="A27" s="1090"/>
      <c r="B27" s="1090"/>
      <c r="C27" s="1090"/>
      <c r="D27" s="1090"/>
      <c r="E27" s="1090"/>
      <c r="F27" s="3462"/>
      <c r="G27" s="1090"/>
      <c r="H27" s="3462"/>
    </row>
    <row r="28" spans="1:8" s="1089" customFormat="1" ht="25.5">
      <c r="A28" s="1099" t="s">
        <v>3707</v>
      </c>
      <c r="B28" s="1098">
        <f>'Part IV-A-Uses of Funds'!$G$41</f>
        <v>0</v>
      </c>
      <c r="C28" s="1099" t="s">
        <v>1790</v>
      </c>
      <c r="D28" s="1098">
        <f>'Part IV-A-Uses of Funds'!$J$41+'Part IV-A-Uses of Funds'!$M$41+'Part IV-A-Uses of Funds'!$P$41</f>
        <v>0</v>
      </c>
      <c r="E28" s="1090"/>
      <c r="F28" s="3462"/>
      <c r="G28" s="1090"/>
      <c r="H28" s="3462"/>
    </row>
    <row r="29" spans="1:8" s="1089" customFormat="1" ht="6" customHeight="1">
      <c r="A29" s="1090"/>
      <c r="B29" s="1091"/>
      <c r="C29" s="1090"/>
      <c r="D29" s="1090"/>
      <c r="E29" s="1090"/>
      <c r="F29" s="3463"/>
      <c r="G29" s="1092"/>
      <c r="H29" s="3463"/>
    </row>
    <row r="30" spans="1:8" s="1089" customFormat="1">
      <c r="A30" s="1100" t="s">
        <v>722</v>
      </c>
      <c r="B30" s="1090"/>
      <c r="C30" s="1090"/>
      <c r="D30" s="1090"/>
      <c r="E30" s="1090"/>
      <c r="F30" s="1090"/>
      <c r="G30" s="1090"/>
    </row>
    <row r="31" spans="1:8" s="1089" customFormat="1" ht="41.25" customHeight="1">
      <c r="A31" s="3464" t="str">
        <f>'Part IV-A-Uses of Funds'!$C$62</f>
        <v>Lender Commitment Fee</v>
      </c>
      <c r="B31" s="3465"/>
      <c r="C31" s="3465"/>
      <c r="D31" s="3466"/>
      <c r="E31" s="1090"/>
      <c r="F31" s="3458" t="s">
        <v>5288</v>
      </c>
      <c r="G31" s="1090"/>
      <c r="H31" s="3458" t="s">
        <v>5289</v>
      </c>
    </row>
    <row r="32" spans="1:8" s="1089" customFormat="1" ht="41.25" customHeight="1">
      <c r="A32" s="3455"/>
      <c r="B32" s="3456"/>
      <c r="C32" s="3456"/>
      <c r="D32" s="3457"/>
      <c r="E32" s="1090"/>
      <c r="F32" s="3459"/>
      <c r="G32" s="1090"/>
      <c r="H32" s="3459"/>
    </row>
    <row r="33" spans="1:8" s="1089" customFormat="1" ht="4.5" customHeight="1">
      <c r="A33" s="1090"/>
      <c r="B33" s="1090"/>
      <c r="C33" s="1090"/>
      <c r="D33" s="1090"/>
      <c r="E33" s="1090"/>
      <c r="F33" s="3459"/>
      <c r="G33" s="1090"/>
      <c r="H33" s="3459"/>
    </row>
    <row r="34" spans="1:8" s="1089" customFormat="1" ht="14.25" customHeight="1">
      <c r="A34" s="1099" t="s">
        <v>3707</v>
      </c>
      <c r="B34" s="1098">
        <f>'Part IV-A-Uses of Funds'!$G$62</f>
        <v>25000</v>
      </c>
      <c r="C34" s="1099" t="s">
        <v>1790</v>
      </c>
      <c r="D34" s="1098">
        <f>'Part IV-A-Uses of Funds'!$J$62+'Part IV-A-Uses of Funds'!$M$62+'Part IV-A-Uses of Funds'!$P$62</f>
        <v>25000</v>
      </c>
      <c r="E34" s="1090"/>
      <c r="F34" s="3459"/>
      <c r="G34" s="1090"/>
      <c r="H34" s="3459"/>
    </row>
    <row r="35" spans="1:8" s="1089" customFormat="1" ht="6" customHeight="1">
      <c r="D35" s="1090"/>
      <c r="E35" s="1090"/>
      <c r="F35" s="3459"/>
      <c r="G35" s="1092"/>
      <c r="H35" s="3459"/>
    </row>
    <row r="36" spans="1:8" s="1089" customFormat="1" ht="41.25" customHeight="1">
      <c r="A36" s="3464" t="str">
        <f>'Part IV-A-Uses of Funds'!$C$63</f>
        <v>&lt;&lt; Enter description here; provide detail &amp; justification in tab Part IV-b &gt;&gt;</v>
      </c>
      <c r="B36" s="3465"/>
      <c r="C36" s="3465"/>
      <c r="D36" s="3466"/>
      <c r="E36" s="1090"/>
      <c r="F36" s="3459"/>
      <c r="G36" s="1090"/>
      <c r="H36" s="3459"/>
    </row>
    <row r="37" spans="1:8" s="1089" customFormat="1" ht="41.25" customHeight="1">
      <c r="A37" s="3455"/>
      <c r="B37" s="3456"/>
      <c r="C37" s="3456"/>
      <c r="D37" s="3457"/>
      <c r="E37" s="1090"/>
      <c r="F37" s="3459"/>
      <c r="G37" s="1090"/>
      <c r="H37" s="3459"/>
    </row>
    <row r="38" spans="1:8" s="1089" customFormat="1" ht="4.5" customHeight="1">
      <c r="A38" s="1090"/>
      <c r="B38" s="1090"/>
      <c r="C38" s="1090"/>
      <c r="D38" s="1090"/>
      <c r="E38" s="1090"/>
      <c r="F38" s="3459"/>
      <c r="G38" s="1090"/>
      <c r="H38" s="3459"/>
    </row>
    <row r="39" spans="1:8" s="1089" customFormat="1" ht="14.25" customHeight="1">
      <c r="A39" s="1099" t="s">
        <v>3707</v>
      </c>
      <c r="B39" s="1098">
        <f>'Part IV-A-Uses of Funds'!$G$63</f>
        <v>0</v>
      </c>
      <c r="C39" s="1099" t="s">
        <v>1790</v>
      </c>
      <c r="D39" s="1098">
        <f>'Part IV-A-Uses of Funds'!$J$63+'Part IV-A-Uses of Funds'!$M$63+'Part IV-A-Uses of Funds'!$P$63</f>
        <v>0</v>
      </c>
      <c r="E39" s="1090"/>
      <c r="F39" s="3459"/>
      <c r="G39" s="1090"/>
      <c r="H39" s="3459"/>
    </row>
    <row r="40" spans="1:8" s="1089" customFormat="1" ht="6" customHeight="1">
      <c r="D40" s="1090"/>
      <c r="E40" s="1090"/>
      <c r="F40" s="3460"/>
      <c r="G40" s="1092"/>
      <c r="H40" s="3460"/>
    </row>
    <row r="41" spans="1:8" s="1089" customFormat="1">
      <c r="A41" s="1100" t="s">
        <v>476</v>
      </c>
      <c r="B41" s="1090"/>
      <c r="C41" s="1090"/>
      <c r="D41" s="1090"/>
      <c r="E41" s="1094"/>
      <c r="F41" s="1094"/>
      <c r="G41" s="1090"/>
    </row>
    <row r="42" spans="1:8" s="1089" customFormat="1" ht="41.25" customHeight="1">
      <c r="A42" s="3464" t="str">
        <f>'Part IV-A-Uses of Funds'!$C$76</f>
        <v>Radon Testing</v>
      </c>
      <c r="B42" s="3465"/>
      <c r="C42" s="3465"/>
      <c r="D42" s="3466"/>
      <c r="F42" s="3461" t="s">
        <v>5290</v>
      </c>
      <c r="G42" s="1090"/>
      <c r="H42" s="3461" t="s">
        <v>5289</v>
      </c>
    </row>
    <row r="43" spans="1:8" s="1089" customFormat="1" ht="41.25" customHeight="1">
      <c r="A43" s="3455"/>
      <c r="B43" s="3456"/>
      <c r="C43" s="3456"/>
      <c r="D43" s="3457"/>
      <c r="E43" s="1090"/>
      <c r="F43" s="3462"/>
      <c r="G43" s="1090"/>
      <c r="H43" s="3462"/>
    </row>
    <row r="44" spans="1:8" s="1089" customFormat="1" ht="4.5" customHeight="1">
      <c r="A44" s="1090"/>
      <c r="B44" s="1090"/>
      <c r="C44" s="1090"/>
      <c r="D44" s="1090"/>
      <c r="E44" s="1090"/>
      <c r="F44" s="3462"/>
      <c r="G44" s="1090"/>
      <c r="H44" s="3462"/>
    </row>
    <row r="45" spans="1:8" s="1089" customFormat="1" ht="13.5" customHeight="1">
      <c r="A45" s="1099" t="s">
        <v>3707</v>
      </c>
      <c r="B45" s="1098">
        <f>'Part IV-A-Uses of Funds'!$G$76</f>
        <v>9000</v>
      </c>
      <c r="C45" s="1099" t="s">
        <v>1790</v>
      </c>
      <c r="D45" s="1098">
        <f>'Part IV-A-Uses of Funds'!$J$76+'Part IV-A-Uses of Funds'!$M$76+'Part IV-A-Uses of Funds'!$P$76</f>
        <v>9000</v>
      </c>
      <c r="E45" s="1090"/>
      <c r="F45" s="3462"/>
      <c r="G45" s="1090"/>
      <c r="H45" s="3462"/>
    </row>
    <row r="46" spans="1:8" s="1089" customFormat="1" ht="6" customHeight="1">
      <c r="A46" s="1090"/>
      <c r="B46" s="1091"/>
      <c r="C46" s="1090"/>
      <c r="D46" s="1090"/>
      <c r="E46" s="1090"/>
      <c r="F46" s="3463"/>
      <c r="G46" s="1092"/>
      <c r="H46" s="3463"/>
    </row>
    <row r="47" spans="1:8" s="1089" customFormat="1">
      <c r="A47" s="1100" t="s">
        <v>724</v>
      </c>
      <c r="B47" s="1090"/>
      <c r="C47" s="1090"/>
      <c r="D47" s="1090"/>
      <c r="E47" s="1090"/>
      <c r="F47" s="1090"/>
      <c r="G47" s="1090"/>
    </row>
    <row r="48" spans="1:8" s="1089" customFormat="1" ht="41.25" customHeight="1">
      <c r="A48" s="3464" t="str">
        <f>'Part IV-A-Uses of Funds'!$C$90</f>
        <v>&lt;&lt; Enter description here; provide detail &amp; justification in tab Part IV-b &gt;&gt;</v>
      </c>
      <c r="B48" s="3465"/>
      <c r="C48" s="3465"/>
      <c r="D48" s="3466"/>
      <c r="F48" s="3461"/>
      <c r="G48" s="1090"/>
    </row>
    <row r="49" spans="1:7" s="1089" customFormat="1" ht="41.25" customHeight="1">
      <c r="A49" s="3455"/>
      <c r="B49" s="3456"/>
      <c r="C49" s="3456"/>
      <c r="D49" s="3457"/>
      <c r="E49" s="1090"/>
      <c r="F49" s="3462"/>
      <c r="G49" s="1090"/>
    </row>
    <row r="50" spans="1:7" s="1089" customFormat="1" ht="3" customHeight="1">
      <c r="A50" s="1090"/>
      <c r="B50" s="1090"/>
      <c r="C50" s="1090"/>
      <c r="D50" s="1090"/>
      <c r="E50" s="1090"/>
      <c r="F50" s="3462"/>
      <c r="G50" s="1090"/>
    </row>
    <row r="51" spans="1:7" s="1089" customFormat="1" ht="13.5" customHeight="1">
      <c r="A51" s="1099" t="s">
        <v>3707</v>
      </c>
      <c r="B51" s="1098">
        <f>'Part IV-A-Uses of Funds'!$G$90</f>
        <v>0</v>
      </c>
      <c r="C51" s="1093"/>
      <c r="D51" s="1093"/>
      <c r="E51" s="1090"/>
      <c r="F51" s="3462"/>
      <c r="G51" s="1090"/>
    </row>
    <row r="52" spans="1:7" s="1089" customFormat="1" ht="3.75" customHeight="1">
      <c r="A52" s="1090"/>
      <c r="B52" s="1090"/>
      <c r="C52" s="1090"/>
      <c r="D52" s="1090"/>
      <c r="E52" s="1090"/>
      <c r="F52" s="3463"/>
      <c r="G52" s="1092"/>
    </row>
    <row r="53" spans="1:7" s="1089" customFormat="1">
      <c r="A53" s="1100" t="s">
        <v>3708</v>
      </c>
      <c r="B53" s="1090"/>
      <c r="C53" s="1090"/>
      <c r="D53" s="1090"/>
      <c r="E53" s="1090"/>
      <c r="F53" s="1090"/>
      <c r="G53" s="1090"/>
    </row>
    <row r="54" spans="1:7" s="1089" customFormat="1" ht="41.25" customHeight="1">
      <c r="A54" s="3464" t="str">
        <f>'Part IV-A-Uses of Funds'!$C$103</f>
        <v>&lt;&lt; Enter description here; provide detail &amp; justification in tab Part IV-b &gt;&gt;</v>
      </c>
      <c r="B54" s="3465"/>
      <c r="C54" s="3465"/>
      <c r="D54" s="3466"/>
      <c r="F54" s="3458"/>
      <c r="G54" s="1090"/>
    </row>
    <row r="55" spans="1:7" s="1089" customFormat="1" ht="41.25" customHeight="1">
      <c r="A55" s="3455"/>
      <c r="B55" s="3456"/>
      <c r="C55" s="3456"/>
      <c r="D55" s="3457"/>
      <c r="E55" s="1090"/>
      <c r="F55" s="3459"/>
      <c r="G55" s="1090"/>
    </row>
    <row r="56" spans="1:7" s="1089" customFormat="1" ht="3" customHeight="1">
      <c r="A56" s="1090"/>
      <c r="B56" s="1090"/>
      <c r="C56" s="1090"/>
      <c r="D56" s="1090"/>
      <c r="E56" s="1090"/>
      <c r="F56" s="3459"/>
      <c r="G56" s="1090"/>
    </row>
    <row r="57" spans="1:7" s="1089" customFormat="1" ht="25.5">
      <c r="A57" s="1099" t="s">
        <v>3707</v>
      </c>
      <c r="B57" s="1098">
        <f>'Part IV-A-Uses of Funds'!$G$103</f>
        <v>0</v>
      </c>
      <c r="C57" s="1093"/>
      <c r="D57" s="1093"/>
      <c r="E57" s="1090"/>
      <c r="F57" s="3459"/>
      <c r="G57" s="1090"/>
    </row>
    <row r="58" spans="1:7" s="1089" customFormat="1" ht="3.75" customHeight="1">
      <c r="A58" s="1088"/>
      <c r="B58" s="1088"/>
      <c r="C58" s="1088"/>
      <c r="D58" s="1088"/>
      <c r="E58" s="1088"/>
      <c r="F58" s="3459"/>
      <c r="G58" s="1092"/>
    </row>
    <row r="59" spans="1:7" s="1089" customFormat="1" ht="41.25" customHeight="1">
      <c r="A59" s="3464" t="str">
        <f>'Part IV-A-Uses of Funds'!$C$104</f>
        <v>&lt;&lt; Enter description here; provide detail &amp; justification in tab Part IV-b &gt;&gt;</v>
      </c>
      <c r="B59" s="3465"/>
      <c r="C59" s="3465"/>
      <c r="D59" s="3466"/>
      <c r="F59" s="3459"/>
      <c r="G59" s="1090"/>
    </row>
    <row r="60" spans="1:7" s="1089" customFormat="1" ht="41.25" customHeight="1">
      <c r="A60" s="3455"/>
      <c r="B60" s="3456"/>
      <c r="C60" s="3456"/>
      <c r="D60" s="3457"/>
      <c r="E60" s="1090"/>
      <c r="F60" s="3459"/>
      <c r="G60" s="1090"/>
    </row>
    <row r="61" spans="1:7" s="1089" customFormat="1" ht="3" customHeight="1">
      <c r="A61" s="1090"/>
      <c r="B61" s="1090"/>
      <c r="C61" s="1090"/>
      <c r="D61" s="1090"/>
      <c r="E61" s="1090"/>
      <c r="F61" s="3459"/>
      <c r="G61" s="1090"/>
    </row>
    <row r="62" spans="1:7" s="1089" customFormat="1" ht="25.5">
      <c r="A62" s="1099" t="s">
        <v>3707</v>
      </c>
      <c r="B62" s="1098">
        <f>'Part IV-A-Uses of Funds'!$G$104</f>
        <v>0</v>
      </c>
      <c r="C62" s="1093"/>
      <c r="D62" s="1093"/>
      <c r="E62" s="1090"/>
      <c r="F62" s="3459"/>
      <c r="G62" s="1090"/>
    </row>
    <row r="63" spans="1:7" s="1089" customFormat="1" ht="3.75" customHeight="1">
      <c r="A63" s="1088"/>
      <c r="B63" s="1088"/>
      <c r="C63" s="1088"/>
      <c r="D63" s="1088"/>
      <c r="E63" s="1088"/>
      <c r="F63" s="3460"/>
      <c r="G63" s="1092"/>
    </row>
    <row r="64" spans="1:7" s="1089" customFormat="1">
      <c r="A64" s="1100" t="s">
        <v>3709</v>
      </c>
      <c r="B64" s="1090"/>
      <c r="C64" s="1090"/>
      <c r="D64" s="1090"/>
      <c r="E64" s="1090"/>
      <c r="F64" s="1090"/>
      <c r="G64" s="1090"/>
    </row>
    <row r="65" spans="1:8" s="1089" customFormat="1" ht="41.25" customHeight="1">
      <c r="A65" s="3464" t="str">
        <f>'Part IV-A-Uses of Funds'!$C$110</f>
        <v>&lt;&lt; Enter description here; provide detail &amp; justification in tab Part IV-b &gt;&gt;</v>
      </c>
      <c r="B65" s="3465"/>
      <c r="C65" s="3465"/>
      <c r="D65" s="3466"/>
      <c r="F65" s="3461"/>
      <c r="G65" s="1090"/>
    </row>
    <row r="66" spans="1:8" s="1089" customFormat="1" ht="41.25" customHeight="1">
      <c r="A66" s="3455"/>
      <c r="B66" s="3456"/>
      <c r="C66" s="3456"/>
      <c r="D66" s="3457"/>
      <c r="E66" s="1090"/>
      <c r="F66" s="3462"/>
      <c r="G66" s="1090"/>
    </row>
    <row r="67" spans="1:8" s="1089" customFormat="1" ht="3" customHeight="1">
      <c r="A67" s="1090"/>
      <c r="B67" s="1090"/>
      <c r="C67" s="1090"/>
      <c r="D67" s="1090"/>
      <c r="E67" s="1090"/>
      <c r="F67" s="3462"/>
      <c r="G67" s="1090"/>
    </row>
    <row r="68" spans="1:8" s="1089" customFormat="1" ht="25.5">
      <c r="A68" s="1099" t="s">
        <v>3707</v>
      </c>
      <c r="B68" s="1098">
        <f>'Part IV-A-Uses of Funds'!$G$110</f>
        <v>0</v>
      </c>
      <c r="C68" s="1093"/>
      <c r="D68" s="1093"/>
      <c r="E68" s="1090"/>
      <c r="F68" s="3462"/>
      <c r="G68" s="1090"/>
    </row>
    <row r="69" spans="1:8" s="1089" customFormat="1" ht="3.75" customHeight="1">
      <c r="A69" s="1090"/>
      <c r="B69" s="1091"/>
      <c r="C69" s="1090"/>
      <c r="D69" s="1090"/>
      <c r="E69" s="1090"/>
      <c r="F69" s="3463"/>
      <c r="G69" s="1092"/>
    </row>
    <row r="70" spans="1:8" s="1089" customFormat="1">
      <c r="A70" s="1100" t="s">
        <v>1309</v>
      </c>
      <c r="B70" s="1090"/>
      <c r="C70" s="1090"/>
      <c r="D70" s="1090"/>
      <c r="E70" s="1090"/>
      <c r="F70" s="1090"/>
      <c r="G70" s="1090"/>
    </row>
    <row r="71" spans="1:8" s="1089" customFormat="1" ht="41.25" customHeight="1">
      <c r="A71" s="3464" t="str">
        <f>'Part IV-A-Uses of Funds'!$C$125</f>
        <v>Tax and Insurance Escrow</v>
      </c>
      <c r="B71" s="3465"/>
      <c r="C71" s="3465"/>
      <c r="D71" s="3466"/>
      <c r="F71" s="3461" t="s">
        <v>5291</v>
      </c>
      <c r="G71" s="1090"/>
      <c r="H71" s="3461" t="s">
        <v>5292</v>
      </c>
    </row>
    <row r="72" spans="1:8" s="1089" customFormat="1" ht="41.25" customHeight="1">
      <c r="A72" s="3455"/>
      <c r="B72" s="3456"/>
      <c r="C72" s="3456"/>
      <c r="D72" s="3457"/>
      <c r="E72" s="1090"/>
      <c r="F72" s="3462"/>
      <c r="G72" s="1090"/>
      <c r="H72" s="3462"/>
    </row>
    <row r="73" spans="1:8" s="1089" customFormat="1" ht="4.5" customHeight="1">
      <c r="A73" s="1090"/>
      <c r="B73" s="1090"/>
      <c r="C73" s="1090"/>
      <c r="D73" s="1090"/>
      <c r="E73" s="1090"/>
      <c r="F73" s="3462"/>
      <c r="G73" s="1090"/>
      <c r="H73" s="3462"/>
    </row>
    <row r="74" spans="1:8" s="1089" customFormat="1" ht="12.75" customHeight="1">
      <c r="A74" s="1099" t="s">
        <v>3707</v>
      </c>
      <c r="B74" s="1098">
        <f>'Part IV-A-Uses of Funds'!$G$125</f>
        <v>60000</v>
      </c>
      <c r="C74" s="1099" t="s">
        <v>1790</v>
      </c>
      <c r="D74" s="1098">
        <f>'Part IV-A-Uses of Funds'!$J$125+'Part IV-A-Uses of Funds'!$M$125+'Part IV-A-Uses of Funds'!$P$125</f>
        <v>0</v>
      </c>
      <c r="E74" s="1090"/>
      <c r="F74" s="3462"/>
      <c r="G74" s="1090"/>
      <c r="H74" s="3462"/>
    </row>
    <row r="75" spans="1:8" s="1089" customFormat="1" ht="6" customHeight="1">
      <c r="A75" s="1090"/>
      <c r="B75" s="1091"/>
      <c r="C75" s="1090"/>
      <c r="D75" s="1090"/>
      <c r="E75" s="1090"/>
      <c r="F75" s="3463"/>
      <c r="G75" s="1092"/>
      <c r="H75" s="3463"/>
    </row>
    <row r="76" spans="1:8" s="1089" customFormat="1">
      <c r="A76" s="1100" t="s">
        <v>3710</v>
      </c>
      <c r="B76" s="1091"/>
      <c r="C76" s="1090"/>
      <c r="D76" s="1090"/>
      <c r="E76" s="1090"/>
      <c r="F76" s="1090"/>
      <c r="G76" s="1092"/>
    </row>
    <row r="77" spans="1:8" s="1089" customFormat="1" ht="41.25" customHeight="1">
      <c r="A77" s="3464" t="str">
        <f>'Part IV-A-Uses of Funds'!$C$129</f>
        <v>Site Lighting</v>
      </c>
      <c r="B77" s="3465"/>
      <c r="C77" s="3465"/>
      <c r="D77" s="3466"/>
      <c r="F77" s="3461" t="s">
        <v>5293</v>
      </c>
      <c r="G77" s="1090"/>
      <c r="H77" s="3461" t="s">
        <v>5289</v>
      </c>
    </row>
    <row r="78" spans="1:8" s="1089" customFormat="1" ht="41.25" customHeight="1">
      <c r="A78" s="3455"/>
      <c r="B78" s="3456"/>
      <c r="C78" s="3456"/>
      <c r="D78" s="3457"/>
      <c r="E78" s="1090"/>
      <c r="F78" s="3462"/>
      <c r="G78" s="1090"/>
      <c r="H78" s="3462"/>
    </row>
    <row r="79" spans="1:8" s="1089" customFormat="1" ht="4.5" customHeight="1">
      <c r="A79" s="1090"/>
      <c r="B79" s="1090"/>
      <c r="C79" s="1090"/>
      <c r="D79" s="1090"/>
      <c r="E79" s="1090"/>
      <c r="F79" s="3462"/>
      <c r="G79" s="1090"/>
      <c r="H79" s="3462"/>
    </row>
    <row r="80" spans="1:8" s="1089" customFormat="1" ht="12.75" customHeight="1">
      <c r="A80" s="1099" t="s">
        <v>3707</v>
      </c>
      <c r="B80" s="1098">
        <f>'Part IV-A-Uses of Funds'!$G$129</f>
        <v>45000</v>
      </c>
      <c r="C80" s="1099" t="s">
        <v>1790</v>
      </c>
      <c r="D80" s="1098">
        <f>'Part IV-A-Uses of Funds'!$J$129+'Part IV-A-Uses of Funds'!$M$129+'Part IV-A-Uses of Funds'!$P$129</f>
        <v>45000</v>
      </c>
      <c r="E80" s="1095"/>
      <c r="F80" s="3462"/>
      <c r="G80" s="1090"/>
      <c r="H80" s="3462"/>
    </row>
    <row r="81" spans="4:8" s="1089" customFormat="1" ht="6" customHeight="1">
      <c r="D81" s="1096"/>
      <c r="E81" s="1097"/>
      <c r="F81" s="3463"/>
      <c r="G81" s="1092"/>
      <c r="H81" s="3463"/>
    </row>
    <row r="82" spans="4:8" s="1089" customFormat="1"/>
    <row r="83" spans="4:8" s="1089" customFormat="1"/>
    <row r="84" spans="4:8" s="1089" customFormat="1"/>
    <row r="85" spans="4:8" s="1089" customFormat="1"/>
    <row r="86" spans="4:8" s="1089" customFormat="1"/>
    <row r="87" spans="4:8" s="1089" customFormat="1"/>
    <row r="88" spans="4:8" s="1089" customFormat="1"/>
    <row r="89" spans="4:8" s="1089" customFormat="1"/>
    <row r="90" spans="4:8" s="1089" customFormat="1"/>
    <row r="91" spans="4:8" s="1089" customFormat="1"/>
    <row r="92" spans="4:8" s="1089" customFormat="1"/>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topLeftCell="A7" zoomScaleNormal="100" workbookViewId="0">
      <selection activeCell="P28" sqref="P2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70" t="str">
        <f>CONCATENATE("PART FIVE - UTILITY ALLOWANCES","  -  ",'Part I-Project Information'!$O$6," ",'Part I-Project Information'!$F$34,", ",'Part I-Project Information'!F38,", ",'Part I-Project Information'!J39," County")</f>
        <v>PART FIVE - UTILITY ALLOWANCES  -  2019-5 55 Milton, Atlanta, Fulton County</v>
      </c>
      <c r="B1" s="3471"/>
      <c r="C1" s="3471"/>
      <c r="D1" s="3471"/>
      <c r="E1" s="3471"/>
      <c r="F1" s="3471"/>
      <c r="G1" s="3471"/>
      <c r="H1" s="3471"/>
      <c r="I1" s="3471"/>
      <c r="J1" s="3471"/>
      <c r="K1" s="3471"/>
      <c r="L1" s="3471"/>
      <c r="M1" s="3471"/>
      <c r="N1" s="10"/>
      <c r="O1" s="10"/>
      <c r="P1" s="10"/>
      <c r="Q1" s="10"/>
      <c r="R1" s="16"/>
      <c r="S1" s="16"/>
      <c r="T1" s="16"/>
    </row>
    <row r="2" spans="1:20" s="8" customFormat="1" ht="7.5" customHeight="1"/>
    <row r="3" spans="1:20" s="8" customFormat="1" ht="12.75" customHeight="1">
      <c r="B3" s="3481" t="str">
        <f>'Part I-Project Information'!$B$6</f>
        <v>May 2019 Final</v>
      </c>
      <c r="C3" s="3481"/>
      <c r="D3" s="3481"/>
      <c r="E3" s="3481"/>
      <c r="F3" s="4" t="s">
        <v>4609</v>
      </c>
      <c r="I3" s="1260" t="str">
        <f>VLOOKUP('Part I-Project Information'!$J$39,'DCA Underwriting Assumptions'!$G$158:$H$317,2)</f>
        <v>Local PHA</v>
      </c>
    </row>
    <row r="4" spans="1:20" s="8" customFormat="1" ht="6" customHeight="1"/>
    <row r="5" spans="1:20">
      <c r="A5" s="279" t="s">
        <v>3804</v>
      </c>
    </row>
    <row r="6" spans="1:20" ht="6" customHeight="1">
      <c r="A6" s="8"/>
    </row>
    <row r="7" spans="1:20" s="8" customFormat="1">
      <c r="A7" s="13" t="s">
        <v>616</v>
      </c>
      <c r="B7" s="13" t="s">
        <v>2226</v>
      </c>
      <c r="F7" s="1" t="s">
        <v>2518</v>
      </c>
      <c r="G7" s="1"/>
      <c r="H7" s="1"/>
      <c r="I7" s="3472" t="s">
        <v>5294</v>
      </c>
      <c r="J7" s="3473"/>
      <c r="K7" s="3473"/>
      <c r="L7" s="3473"/>
      <c r="M7" s="3474"/>
    </row>
    <row r="8" spans="1:20" s="8" customFormat="1" ht="13.35" customHeight="1">
      <c r="A8" s="13"/>
      <c r="F8" s="1" t="s">
        <v>636</v>
      </c>
      <c r="G8" s="1"/>
      <c r="H8" s="33"/>
      <c r="I8" s="3475">
        <v>43452</v>
      </c>
      <c r="J8" s="3476"/>
      <c r="K8" s="6" t="s">
        <v>540</v>
      </c>
      <c r="L8" s="3477" t="s">
        <v>5295</v>
      </c>
      <c r="M8" s="3478"/>
    </row>
    <row r="9" spans="1:20" s="8" customFormat="1" ht="4.5" customHeight="1">
      <c r="A9" s="13"/>
    </row>
    <row r="10" spans="1:20" s="13" customFormat="1">
      <c r="B10" s="273"/>
      <c r="C10" s="273"/>
      <c r="D10" s="273"/>
      <c r="E10" s="273"/>
      <c r="F10" s="3479" t="s">
        <v>609</v>
      </c>
      <c r="G10" s="3479"/>
      <c r="I10" s="3480" t="s">
        <v>200</v>
      </c>
      <c r="J10" s="3480"/>
      <c r="K10" s="3480"/>
      <c r="L10" s="3480"/>
      <c r="M10" s="3480"/>
    </row>
    <row r="11" spans="1:20" s="13" customFormat="1">
      <c r="B11" s="273" t="s">
        <v>798</v>
      </c>
      <c r="D11" s="273" t="s">
        <v>1599</v>
      </c>
      <c r="F11" s="1253" t="s">
        <v>642</v>
      </c>
      <c r="G11" s="1253" t="s">
        <v>1849</v>
      </c>
      <c r="I11" s="274" t="s">
        <v>568</v>
      </c>
      <c r="J11" s="275">
        <v>1</v>
      </c>
      <c r="K11" s="275">
        <v>2</v>
      </c>
      <c r="L11" s="275">
        <v>3</v>
      </c>
      <c r="M11" s="275">
        <v>4</v>
      </c>
    </row>
    <row r="12" spans="1:20" s="8" customFormat="1" ht="12" customHeight="1">
      <c r="B12" s="2689" t="s">
        <v>1851</v>
      </c>
      <c r="C12" s="2690"/>
      <c r="D12" s="3491" t="s">
        <v>5296</v>
      </c>
      <c r="E12" s="3492"/>
      <c r="F12" s="280" t="s">
        <v>441</v>
      </c>
      <c r="G12" s="280"/>
      <c r="H12" s="1195"/>
      <c r="I12" s="2684"/>
      <c r="J12" s="2684">
        <v>12</v>
      </c>
      <c r="K12" s="2684">
        <v>14</v>
      </c>
      <c r="L12" s="2684">
        <v>15</v>
      </c>
      <c r="M12" s="2684"/>
      <c r="O12" s="3482" t="s">
        <v>3829</v>
      </c>
      <c r="P12" s="3482"/>
    </row>
    <row r="13" spans="1:20" s="8" customFormat="1" ht="12" customHeight="1">
      <c r="B13" s="2691" t="s">
        <v>1597</v>
      </c>
      <c r="C13" s="2692"/>
      <c r="D13" s="3483" t="s">
        <v>1596</v>
      </c>
      <c r="E13" s="3484"/>
      <c r="F13" s="281" t="s">
        <v>441</v>
      </c>
      <c r="G13" s="281"/>
      <c r="H13" s="1194"/>
      <c r="I13" s="2685"/>
      <c r="J13" s="2685">
        <v>6</v>
      </c>
      <c r="K13" s="2685">
        <v>8</v>
      </c>
      <c r="L13" s="2686">
        <v>11</v>
      </c>
      <c r="M13" s="2686"/>
      <c r="O13" s="3482"/>
      <c r="P13" s="3482"/>
    </row>
    <row r="14" spans="1:20" s="8" customFormat="1" ht="12" customHeight="1">
      <c r="B14" s="2693" t="s">
        <v>1598</v>
      </c>
      <c r="C14" s="2694"/>
      <c r="D14" s="3483" t="s">
        <v>1596</v>
      </c>
      <c r="E14" s="3484"/>
      <c r="F14" s="281" t="s">
        <v>441</v>
      </c>
      <c r="G14" s="281"/>
      <c r="H14" s="276"/>
      <c r="I14" s="2685"/>
      <c r="J14" s="2685">
        <v>13</v>
      </c>
      <c r="K14" s="2685">
        <v>17</v>
      </c>
      <c r="L14" s="2686">
        <v>20</v>
      </c>
      <c r="M14" s="2686"/>
      <c r="O14" s="3482"/>
      <c r="P14" s="3482"/>
    </row>
    <row r="15" spans="1:20" s="8" customFormat="1" ht="12" customHeight="1">
      <c r="B15" s="2695" t="s">
        <v>467</v>
      </c>
      <c r="C15" s="2696"/>
      <c r="D15" s="2695" t="s">
        <v>1596</v>
      </c>
      <c r="E15" s="277"/>
      <c r="F15" s="281" t="s">
        <v>441</v>
      </c>
      <c r="G15" s="281"/>
      <c r="H15" s="1193"/>
      <c r="I15" s="2685"/>
      <c r="J15" s="2685">
        <v>10</v>
      </c>
      <c r="K15" s="2685">
        <v>16</v>
      </c>
      <c r="L15" s="2686">
        <v>24</v>
      </c>
      <c r="M15" s="2686"/>
      <c r="O15" s="3482"/>
      <c r="P15" s="3482"/>
    </row>
    <row r="16" spans="1:20" s="8" customFormat="1" ht="12" customHeight="1">
      <c r="B16" s="2697" t="s">
        <v>3801</v>
      </c>
      <c r="C16" s="2692"/>
      <c r="D16" s="2691" t="s">
        <v>1596</v>
      </c>
      <c r="E16" s="1192"/>
      <c r="F16" s="281"/>
      <c r="G16" s="281"/>
      <c r="H16" s="1194"/>
      <c r="I16" s="2685"/>
      <c r="J16" s="2685"/>
      <c r="K16" s="2685"/>
      <c r="L16" s="2686"/>
      <c r="M16" s="2686"/>
      <c r="O16" s="3482"/>
      <c r="P16" s="3482"/>
    </row>
    <row r="17" spans="1:19" s="8" customFormat="1" ht="12" customHeight="1">
      <c r="B17" s="2697" t="s">
        <v>3802</v>
      </c>
      <c r="C17" s="2692"/>
      <c r="D17" s="2691" t="s">
        <v>1596</v>
      </c>
      <c r="E17" s="1192"/>
      <c r="F17" s="281"/>
      <c r="G17" s="281"/>
      <c r="H17" s="1194"/>
      <c r="I17" s="2685"/>
      <c r="J17" s="2685"/>
      <c r="K17" s="2685"/>
      <c r="L17" s="2686"/>
      <c r="M17" s="2686"/>
      <c r="O17" s="3482"/>
      <c r="P17" s="3482"/>
    </row>
    <row r="18" spans="1:19" s="8" customFormat="1" ht="12" customHeight="1">
      <c r="B18" s="2698" t="s">
        <v>3803</v>
      </c>
      <c r="C18" s="2694"/>
      <c r="D18" s="2693" t="s">
        <v>1596</v>
      </c>
      <c r="E18" s="1192"/>
      <c r="F18" s="281" t="s">
        <v>441</v>
      </c>
      <c r="G18" s="281"/>
      <c r="H18" s="276"/>
      <c r="I18" s="2685"/>
      <c r="J18" s="2685">
        <v>31</v>
      </c>
      <c r="K18" s="2685">
        <v>39</v>
      </c>
      <c r="L18" s="2686">
        <v>48</v>
      </c>
      <c r="M18" s="2686"/>
      <c r="O18" s="3482"/>
      <c r="P18" s="3482"/>
    </row>
    <row r="19" spans="1:19" s="8" customFormat="1" ht="12" customHeight="1">
      <c r="B19" s="2695" t="s">
        <v>1370</v>
      </c>
      <c r="C19" s="2696"/>
      <c r="D19" s="2701" t="s">
        <v>3468</v>
      </c>
      <c r="E19" s="2683" t="s">
        <v>2989</v>
      </c>
      <c r="F19" s="281"/>
      <c r="G19" s="281" t="s">
        <v>441</v>
      </c>
      <c r="H19" s="1193"/>
      <c r="I19" s="2685"/>
      <c r="J19" s="2685"/>
      <c r="K19" s="2685"/>
      <c r="L19" s="2686"/>
      <c r="M19" s="2686"/>
      <c r="O19" s="3482"/>
      <c r="P19" s="3482"/>
    </row>
    <row r="20" spans="1:19" s="8" customFormat="1" ht="12" customHeight="1">
      <c r="B20" s="2699" t="s">
        <v>1850</v>
      </c>
      <c r="C20" s="2700"/>
      <c r="D20" s="278"/>
      <c r="E20" s="250"/>
      <c r="F20" s="281"/>
      <c r="G20" s="281" t="s">
        <v>441</v>
      </c>
      <c r="H20" s="1194"/>
      <c r="I20" s="2685"/>
      <c r="J20" s="2685"/>
      <c r="K20" s="2685"/>
      <c r="L20" s="2686"/>
      <c r="M20" s="2686"/>
      <c r="O20" s="3482"/>
      <c r="P20" s="3482"/>
    </row>
    <row r="21" spans="1:19" s="8" customFormat="1" ht="12" customHeight="1">
      <c r="B21" s="2699" t="s">
        <v>741</v>
      </c>
      <c r="C21" s="3467"/>
      <c r="D21" s="3468"/>
      <c r="E21" s="3469"/>
      <c r="F21" s="282"/>
      <c r="G21" s="282"/>
      <c r="H21" s="1196"/>
      <c r="I21" s="2687"/>
      <c r="J21" s="2687"/>
      <c r="K21" s="2687"/>
      <c r="L21" s="2688"/>
      <c r="M21" s="2688"/>
      <c r="O21" s="3482"/>
      <c r="P21" s="3482"/>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72</v>
      </c>
      <c r="K22" s="155">
        <f>IF(SUM(K12:K21)=0,0,IF(OR($D12="&lt;&lt;Select Fuel &gt;&gt;",$D13="&lt;&lt;Select Fuel &gt;&gt;",$D14="&lt;&lt;Select Fuel &gt;&gt;"),"Select Fuel",IF($E19="&lt;Select&gt;","Submeter?",SUM(K12:K21))))</f>
        <v>94</v>
      </c>
      <c r="L22" s="155">
        <f>IF(SUM(L12:L21)=0,0,IF(OR($D12="&lt;&lt;Select Fuel &gt;&gt;",$D13="&lt;&lt;Select Fuel &gt;&gt;",$D14="&lt;&lt;Select Fuel &gt;&gt;"),"Select Fuel",IF($E19="&lt;Select&gt;","Submeter?",SUM(L12:L21))))</f>
        <v>118</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2227</v>
      </c>
      <c r="F24" s="1" t="s">
        <v>2518</v>
      </c>
      <c r="G24" s="1"/>
      <c r="H24" s="1"/>
      <c r="I24" s="3472" t="s">
        <v>5297</v>
      </c>
      <c r="J24" s="3473"/>
      <c r="K24" s="3473"/>
      <c r="L24" s="3473"/>
      <c r="M24" s="3474"/>
    </row>
    <row r="25" spans="1:19" s="8" customFormat="1" ht="13.35" customHeight="1">
      <c r="A25" s="13"/>
      <c r="B25" s="13"/>
      <c r="F25" s="1" t="s">
        <v>636</v>
      </c>
      <c r="G25" s="1"/>
      <c r="H25" s="33"/>
      <c r="I25" s="3475">
        <v>43466</v>
      </c>
      <c r="J25" s="3476"/>
      <c r="K25" s="6" t="s">
        <v>540</v>
      </c>
      <c r="L25" s="3477" t="s">
        <v>5295</v>
      </c>
      <c r="M25" s="3478"/>
    </row>
    <row r="26" spans="1:19" s="8" customFormat="1" ht="4.5" customHeight="1">
      <c r="A26" s="13"/>
    </row>
    <row r="27" spans="1:19" s="13" customFormat="1">
      <c r="B27" s="273"/>
      <c r="C27" s="273"/>
      <c r="D27" s="273"/>
      <c r="E27" s="273"/>
      <c r="F27" s="3479" t="s">
        <v>609</v>
      </c>
      <c r="G27" s="3479"/>
      <c r="I27" s="3480" t="s">
        <v>200</v>
      </c>
      <c r="J27" s="3480"/>
      <c r="K27" s="3480"/>
      <c r="L27" s="3480"/>
      <c r="M27" s="3480"/>
    </row>
    <row r="28" spans="1:19" s="13" customFormat="1">
      <c r="B28" s="273" t="s">
        <v>798</v>
      </c>
      <c r="D28" s="273" t="s">
        <v>1599</v>
      </c>
      <c r="F28" s="1253" t="s">
        <v>642</v>
      </c>
      <c r="G28" s="1253" t="s">
        <v>1849</v>
      </c>
      <c r="I28" s="274" t="s">
        <v>568</v>
      </c>
      <c r="J28" s="275">
        <v>1</v>
      </c>
      <c r="K28" s="275">
        <v>2</v>
      </c>
      <c r="L28" s="275">
        <v>3</v>
      </c>
      <c r="M28" s="275">
        <v>4</v>
      </c>
    </row>
    <row r="29" spans="1:19" s="8" customFormat="1" ht="12" customHeight="1">
      <c r="B29" s="2689" t="s">
        <v>1851</v>
      </c>
      <c r="C29" s="2690"/>
      <c r="D29" s="3491" t="s">
        <v>5296</v>
      </c>
      <c r="E29" s="3492"/>
      <c r="F29" s="280"/>
      <c r="G29" s="280" t="s">
        <v>441</v>
      </c>
      <c r="H29" s="1195"/>
      <c r="I29" s="2684"/>
      <c r="J29" s="2684"/>
      <c r="K29" s="2684"/>
      <c r="L29" s="2684"/>
      <c r="M29" s="2684"/>
      <c r="O29" s="3482" t="s">
        <v>3829</v>
      </c>
      <c r="P29" s="3482"/>
    </row>
    <row r="30" spans="1:19" s="8" customFormat="1" ht="12" customHeight="1">
      <c r="B30" s="2691" t="s">
        <v>1597</v>
      </c>
      <c r="C30" s="2692"/>
      <c r="D30" s="3483" t="s">
        <v>1596</v>
      </c>
      <c r="E30" s="3484"/>
      <c r="F30" s="281"/>
      <c r="G30" s="281" t="s">
        <v>441</v>
      </c>
      <c r="H30" s="1194"/>
      <c r="I30" s="2685"/>
      <c r="J30" s="2685"/>
      <c r="K30" s="2685"/>
      <c r="L30" s="2686"/>
      <c r="M30" s="2686"/>
      <c r="O30" s="3482"/>
      <c r="P30" s="3482"/>
    </row>
    <row r="31" spans="1:19" s="8" customFormat="1" ht="12" customHeight="1">
      <c r="B31" s="2693" t="s">
        <v>1598</v>
      </c>
      <c r="C31" s="2694"/>
      <c r="D31" s="3483" t="s">
        <v>1596</v>
      </c>
      <c r="E31" s="3484"/>
      <c r="F31" s="281"/>
      <c r="G31" s="281" t="s">
        <v>441</v>
      </c>
      <c r="H31" s="276"/>
      <c r="I31" s="2685"/>
      <c r="J31" s="2685"/>
      <c r="K31" s="2685"/>
      <c r="L31" s="2686"/>
      <c r="M31" s="2686"/>
      <c r="O31" s="3482"/>
      <c r="P31" s="3482"/>
    </row>
    <row r="32" spans="1:19" s="8" customFormat="1" ht="12" customHeight="1">
      <c r="B32" s="2695" t="s">
        <v>467</v>
      </c>
      <c r="C32" s="2696"/>
      <c r="D32" s="2695" t="s">
        <v>1596</v>
      </c>
      <c r="E32" s="277"/>
      <c r="F32" s="281"/>
      <c r="G32" s="281" t="s">
        <v>441</v>
      </c>
      <c r="H32" s="1193"/>
      <c r="I32" s="2685"/>
      <c r="J32" s="2685"/>
      <c r="K32" s="2685"/>
      <c r="L32" s="2686"/>
      <c r="M32" s="2686"/>
      <c r="O32" s="3482"/>
      <c r="P32" s="3482"/>
    </row>
    <row r="33" spans="1:19" s="8" customFormat="1" ht="12" customHeight="1">
      <c r="B33" s="2697" t="s">
        <v>3801</v>
      </c>
      <c r="C33" s="2692"/>
      <c r="D33" s="2691" t="s">
        <v>1596</v>
      </c>
      <c r="E33" s="1192"/>
      <c r="F33" s="281"/>
      <c r="G33" s="281"/>
      <c r="H33" s="1194"/>
      <c r="I33" s="2685"/>
      <c r="J33" s="2685"/>
      <c r="K33" s="2685"/>
      <c r="L33" s="2686"/>
      <c r="M33" s="2686"/>
      <c r="O33" s="3482"/>
      <c r="P33" s="3482"/>
    </row>
    <row r="34" spans="1:19" s="8" customFormat="1" ht="12" customHeight="1">
      <c r="B34" s="2697" t="s">
        <v>3802</v>
      </c>
      <c r="C34" s="2692"/>
      <c r="D34" s="2691" t="s">
        <v>1596</v>
      </c>
      <c r="E34" s="1192"/>
      <c r="F34" s="281"/>
      <c r="G34" s="281"/>
      <c r="H34" s="1194"/>
      <c r="I34" s="2685"/>
      <c r="J34" s="2685"/>
      <c r="K34" s="2685"/>
      <c r="L34" s="2686"/>
      <c r="M34" s="2686"/>
      <c r="O34" s="3482"/>
      <c r="P34" s="3482"/>
    </row>
    <row r="35" spans="1:19" s="8" customFormat="1" ht="12" customHeight="1">
      <c r="B35" s="2698" t="s">
        <v>3803</v>
      </c>
      <c r="C35" s="2694"/>
      <c r="D35" s="2693" t="s">
        <v>1596</v>
      </c>
      <c r="E35" s="1192"/>
      <c r="F35" s="281"/>
      <c r="G35" s="281" t="s">
        <v>441</v>
      </c>
      <c r="H35" s="276"/>
      <c r="I35" s="2685"/>
      <c r="J35" s="2685"/>
      <c r="K35" s="2685"/>
      <c r="L35" s="2686"/>
      <c r="M35" s="2686"/>
      <c r="O35" s="3482"/>
      <c r="P35" s="3482"/>
    </row>
    <row r="36" spans="1:19" s="8" customFormat="1" ht="12" customHeight="1">
      <c r="B36" s="2695" t="s">
        <v>1370</v>
      </c>
      <c r="C36" s="2696"/>
      <c r="D36" s="2701" t="s">
        <v>3468</v>
      </c>
      <c r="E36" s="2683" t="s">
        <v>2989</v>
      </c>
      <c r="F36" s="281"/>
      <c r="G36" s="281" t="s">
        <v>441</v>
      </c>
      <c r="H36" s="1193"/>
      <c r="I36" s="2685"/>
      <c r="J36" s="2685"/>
      <c r="K36" s="2685"/>
      <c r="L36" s="2686"/>
      <c r="M36" s="2686"/>
      <c r="O36" s="3482"/>
      <c r="P36" s="3482"/>
    </row>
    <row r="37" spans="1:19" s="8" customFormat="1" ht="12" customHeight="1">
      <c r="B37" s="2699" t="s">
        <v>1850</v>
      </c>
      <c r="C37" s="2700"/>
      <c r="D37" s="278"/>
      <c r="E37" s="250"/>
      <c r="F37" s="281"/>
      <c r="G37" s="281" t="s">
        <v>441</v>
      </c>
      <c r="H37" s="1194"/>
      <c r="I37" s="2685"/>
      <c r="J37" s="2685"/>
      <c r="K37" s="2685"/>
      <c r="L37" s="2686"/>
      <c r="M37" s="2686"/>
      <c r="O37" s="3482"/>
      <c r="P37" s="3482"/>
    </row>
    <row r="38" spans="1:19" s="8" customFormat="1" ht="12" customHeight="1">
      <c r="B38" s="2699" t="s">
        <v>741</v>
      </c>
      <c r="C38" s="3467"/>
      <c r="D38" s="3468"/>
      <c r="E38" s="3469"/>
      <c r="F38" s="282"/>
      <c r="G38" s="282"/>
      <c r="H38" s="1196"/>
      <c r="I38" s="2687"/>
      <c r="J38" s="2687"/>
      <c r="K38" s="2687"/>
      <c r="L38" s="2688"/>
      <c r="M38" s="2688"/>
      <c r="O38" s="3482"/>
      <c r="P38" s="3482"/>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3469</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38.25" customHeight="1">
      <c r="B43" s="3485" t="s">
        <v>5298</v>
      </c>
      <c r="C43" s="3486"/>
      <c r="D43" s="3486"/>
      <c r="E43" s="3486"/>
      <c r="F43" s="3486"/>
      <c r="G43" s="3486"/>
      <c r="H43" s="3486"/>
      <c r="I43" s="3486"/>
      <c r="J43" s="3486"/>
      <c r="K43" s="3486"/>
      <c r="L43" s="3486"/>
      <c r="M43" s="3487"/>
      <c r="N43" s="27"/>
      <c r="O43" s="2881" t="s">
        <v>2692</v>
      </c>
      <c r="P43" s="2881"/>
      <c r="Q43" s="2881"/>
      <c r="R43" s="2881"/>
      <c r="S43" s="2881"/>
    </row>
    <row r="44" spans="1:19" s="8" customFormat="1" ht="3" customHeight="1">
      <c r="M44" s="27"/>
      <c r="N44" s="27"/>
      <c r="O44" s="2881"/>
      <c r="P44" s="2881"/>
      <c r="Q44" s="2881"/>
      <c r="R44" s="2881"/>
      <c r="S44" s="2881"/>
    </row>
    <row r="45" spans="1:19" s="8" customFormat="1" ht="12" customHeight="1">
      <c r="A45" s="13"/>
      <c r="B45" s="13" t="s">
        <v>1844</v>
      </c>
      <c r="M45" s="27"/>
      <c r="N45" s="27"/>
      <c r="O45" s="2881"/>
      <c r="P45" s="2881"/>
      <c r="Q45" s="2881"/>
      <c r="R45" s="2881"/>
      <c r="S45" s="2881"/>
    </row>
    <row r="46" spans="1:19" s="8" customFormat="1" ht="24.75" customHeight="1">
      <c r="B46" s="3488"/>
      <c r="C46" s="3489"/>
      <c r="D46" s="3489"/>
      <c r="E46" s="3489"/>
      <c r="F46" s="3489"/>
      <c r="G46" s="3489"/>
      <c r="H46" s="3489"/>
      <c r="I46" s="3489"/>
      <c r="J46" s="3489"/>
      <c r="K46" s="3489"/>
      <c r="L46" s="3489"/>
      <c r="M46" s="3490"/>
      <c r="N46" s="27"/>
      <c r="O46" s="2881"/>
      <c r="P46" s="2881"/>
      <c r="Q46" s="2881"/>
      <c r="R46" s="2881"/>
      <c r="S46" s="2881"/>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L25:M25 L8:M8">
      <formula1>"MF, SF Detached, Mfd Home, Duplex, Townhome, 1-Story, 2-Story, 2-Story Walkup, 3+ Story"</formula1>
    </dataValidation>
    <dataValidation type="list" allowBlank="1" showInputMessage="1" showErrorMessage="1" sqref="F12:G21 F29:G38">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Edrick Harris</cp:lastModifiedBy>
  <cp:lastPrinted>2019-04-18T21:32:14Z</cp:lastPrinted>
  <dcterms:created xsi:type="dcterms:W3CDTF">2005-09-15T20:51:37Z</dcterms:created>
  <dcterms:modified xsi:type="dcterms:W3CDTF">2019-12-27T18:43:50Z</dcterms:modified>
</cp:coreProperties>
</file>